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Myagdi Khola\"/>
    </mc:Choice>
  </mc:AlternateContent>
  <bookViews>
    <workbookView xWindow="-120" yWindow="-120" windowWidth="20730" windowHeight="11040" activeTab="4"/>
  </bookViews>
  <sheets>
    <sheet name="Summary" sheetId="8" r:id="rId1"/>
    <sheet name="Basic Rates" sheetId="32" r:id="rId2"/>
    <sheet name="NoC fuel rates" sheetId="58" r:id="rId3"/>
    <sheet name="Distances" sheetId="6" r:id="rId4"/>
    <sheet name="RATES INCLUDING TRANSPORATION" sheetId="33" r:id="rId5"/>
    <sheet name="Site Clearance" sheetId="7" r:id="rId6"/>
    <sheet name="Excavation" sheetId="9" r:id="rId7"/>
    <sheet name="Filling" sheetId="10" r:id="rId8"/>
    <sheet name="Dry stone soling" sheetId="36" r:id="rId9"/>
    <sheet name="Formwork" sheetId="11" r:id="rId10"/>
    <sheet name="Surface_Rockbolt" sheetId="49" r:id="rId11"/>
    <sheet name="Surface Water Stopper" sheetId="48" r:id="rId12"/>
    <sheet name="Concrete" sheetId="12" r:id="rId13"/>
    <sheet name="Underground Concrete" sheetId="51" r:id="rId14"/>
    <sheet name="Reinforcement" sheetId="13" r:id="rId15"/>
    <sheet name="Underground Reinforcement" sheetId="47" r:id="rId16"/>
    <sheet name="Brickwork" sheetId="14" r:id="rId17"/>
    <sheet name="Plaster" sheetId="16" r:id="rId18"/>
    <sheet name="Masonry" sheetId="17" r:id="rId19"/>
    <sheet name="Gabion" sheetId="18" r:id="rId20"/>
    <sheet name="Grouting" sheetId="19" r:id="rId21"/>
    <sheet name="Protection(Boulder Riprap)" sheetId="21" r:id="rId22"/>
    <sheet name="Geotextile" sheetId="22" r:id="rId23"/>
    <sheet name="Roofing" sheetId="27" r:id="rId24"/>
    <sheet name="Painting" sheetId="28" r:id="rId25"/>
    <sheet name="Doors &amp; Windows" sheetId="29" r:id="rId26"/>
    <sheet name="Screeding &amp; Punning" sheetId="31" r:id="rId27"/>
    <sheet name="Boulder Riprap" sheetId="52" r:id="rId28"/>
    <sheet name="Exploratory Drilling 1" sheetId="53" r:id="rId29"/>
    <sheet name="Surface Shotcrete" sheetId="45" r:id="rId30"/>
    <sheet name="Underground" sheetId="35" r:id="rId31"/>
    <sheet name="Spilling rate" sheetId="57" r:id="rId32"/>
    <sheet name="Exploratory Drilling" sheetId="46" r:id="rId33"/>
    <sheet name="Mucking" sheetId="37" r:id="rId34"/>
    <sheet name="Underground Formworks" sheetId="38" r:id="rId35"/>
    <sheet name="U Formworks for vertical shaft" sheetId="55" r:id="rId36"/>
    <sheet name="Sheet3" sheetId="54" state="hidden" r:id="rId37"/>
    <sheet name="Steel Ribs" sheetId="40" r:id="rId38"/>
    <sheet name="Additionals" sheetId="34" r:id="rId39"/>
    <sheet name="Sheet1" sheetId="56" r:id="rId40"/>
  </sheets>
  <externalReferences>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__123Graph_A" hidden="1">[1]Solu!#REF!</definedName>
    <definedName name="__123Graph_AANNUAL" hidden="1">[1]Solu!#REF!</definedName>
    <definedName name="__123Graph_AFLOW" hidden="1">[1]Solu!#REF!</definedName>
    <definedName name="__123Graph_BANNUAL" hidden="1">[1]Solu!#REF!</definedName>
    <definedName name="__123Graph_CANNUAL" hidden="1">[1]Solu!#REF!</definedName>
    <definedName name="__123Graph_X" hidden="1">[1]Solu!#REF!</definedName>
    <definedName name="__123Graph_XANNUAL" hidden="1">[1]Solu!#REF!</definedName>
    <definedName name="__123Graph_XFLOW" hidden="1">[1]Solu!#REF!</definedName>
    <definedName name="_agg510">#REF!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Dist_Bin" hidden="1">[1]Solu!#REF!</definedName>
    <definedName name="_Dist_Values" hidden="1">[1]Solu!#REF!</definedName>
    <definedName name="_Fill" hidden="1">[1]Solu!#REF!</definedName>
    <definedName name="_xlnm._FilterDatabase" localSheetId="1" hidden="1">'Basic Rates'!$A$138:$E$174</definedName>
    <definedName name="_xlnm._FilterDatabase" localSheetId="0" hidden="1">Summary!$K$2:$K$332</definedName>
    <definedName name="_Kt1">#REF!</definedName>
    <definedName name="_p1">[2]Autocad_Plan!$E$2</definedName>
    <definedName name="_p10">[2]Autocad_Plan!$E$11</definedName>
    <definedName name="_p11">[2]Autocad_Plan!$E$12</definedName>
    <definedName name="_p12">[2]Autocad_Plan!$E$13</definedName>
    <definedName name="_p13">[2]Autocad_Plan!$E$14</definedName>
    <definedName name="_p14">[2]Autocad_Plan!$E$15</definedName>
    <definedName name="_p15">[2]Autocad_Plan!$E$16</definedName>
    <definedName name="_p16">[2]Autocad_Plan!$E$17</definedName>
    <definedName name="_p17">[2]Autocad_Plan!$E$18</definedName>
    <definedName name="_p18">[2]Autocad_Plan!$E$19</definedName>
    <definedName name="_p19">[2]Autocad_Plan!$E$20</definedName>
    <definedName name="_p2">[2]Autocad_Plan!$E$3</definedName>
    <definedName name="_p20">[2]Autocad_Plan!$E$21</definedName>
    <definedName name="_p21">[2]Autocad_Plan!$E$22</definedName>
    <definedName name="_p22">[2]Autocad_Plan!$E$23</definedName>
    <definedName name="_p23">[2]Autocad_Plan!$E$24</definedName>
    <definedName name="_p24">[2]Autocad_Plan!$E$25</definedName>
    <definedName name="_p3">[2]Autocad_Plan!$E$4</definedName>
    <definedName name="_p4">[2]Autocad_Plan!$E$5</definedName>
    <definedName name="_p5">[2]Autocad_Plan!$E$6</definedName>
    <definedName name="_p6">[2]Autocad_Plan!$E$7</definedName>
    <definedName name="_p7">[2]Autocad_Plan!$E$8</definedName>
    <definedName name="_p8">[2]Autocad_Plan!$E$9</definedName>
    <definedName name="_p9">[2]Autocad_Plan!$E$10</definedName>
    <definedName name="A">'[3]Headloss calculation'!$D$16</definedName>
    <definedName name="aaa">#REF!</definedName>
    <definedName name="aaaa">#REF!</definedName>
    <definedName name="aaaaa">#REF!</definedName>
    <definedName name="Acc.due2gravity">'[4]Energy_INPUT&amp;OUTPUT'!$C$37</definedName>
    <definedName name="accelerator" localSheetId="31">'[5]RATES INCLUDING TRANSPORATION'!$V$44</definedName>
    <definedName name="accelerator">'RATES INCLUDING TRANSPORATION'!$V$44</definedName>
    <definedName name="Additional_Width_for_Excavation">#REF!</definedName>
    <definedName name="Agg_10" localSheetId="31">'[5]RATES INCLUDING TRANSPORATION'!$V$25</definedName>
    <definedName name="Agg_10">'RATES INCLUDING TRANSPORATION'!$V$25</definedName>
    <definedName name="Agg_20" localSheetId="31">'[5]RATES INCLUDING TRANSPORATION'!$V$24</definedName>
    <definedName name="Agg_20">'RATES INCLUDING TRANSPORATION'!$V$24</definedName>
    <definedName name="Agg_40" localSheetId="31">'[5]RATES INCLUDING TRANSPORATION'!$V$23</definedName>
    <definedName name="Agg_40">'RATES INCLUDING TRANSPORATION'!$V$23</definedName>
    <definedName name="agitator" localSheetId="31">'[5]Basic Rates'!$D$145</definedName>
    <definedName name="agitator">'Basic Rates'!$D$145</definedName>
    <definedName name="Ai">'[6]settling basin 240'!$D$7</definedName>
    <definedName name="air_pipe_big">#REF!</definedName>
    <definedName name="air_pipe_small">#REF!</definedName>
    <definedName name="alpha">#REF!</definedName>
    <definedName name="anchor_pin" localSheetId="31">'[5]RATES INCLUDING TRANSPORATION'!$V$91</definedName>
    <definedName name="anchor_pin">'RATES INCLUDING TRANSPORATION'!$V$91</definedName>
    <definedName name="Annuinity_factor">[4]OPTIMIZATION!$E$19</definedName>
    <definedName name="anscount" hidden="1">5</definedName>
    <definedName name="Area_orifice">#REF!</definedName>
    <definedName name="Area3000">#REF!</definedName>
    <definedName name="Area5000">#REF!</definedName>
    <definedName name="as" hidden="1">{#N/A,#N/A,TRUE,"Flat Before Crest";#N/A,#N/A,TRUE,"1-4 Before Crest";#N/A,#N/A,TRUE,"Crest";#N/A,#N/A,TRUE,"after crest";#N/A,#N/A,TRUE,"Data"}</definedName>
    <definedName name="Average_GrossHead">'[4]Energy_INPUT&amp;OUTPUT'!$C$14</definedName>
    <definedName name="AverageParticle">#REF!</definedName>
    <definedName name="AvgHWL">'[4]Energy_INPUT&amp;OUTPUT'!$C$10</definedName>
    <definedName name="AX">#REF!</definedName>
    <definedName name="AX_canal">#REF!</definedName>
    <definedName name="AX_headcanal">#REF!</definedName>
    <definedName name="B">'[6]settling basin 240'!$D$6</definedName>
    <definedName name="backhoe" localSheetId="31">'[5]Basic Rates'!$D$151</definedName>
    <definedName name="backhoe">'Basic Rates'!$D$151</definedName>
    <definedName name="barbedwire">'RATES INCLUDING TRANSPORATION'!$V$47</definedName>
    <definedName name="Basin">#REF!</definedName>
    <definedName name="Basin_area">#REF!</definedName>
    <definedName name="BBKK" hidden="1">{"Mahesh Maskey - Personal View",#N/A,FALSE,"HeadLossApril (2)";#N/A,#N/A,FALSE,"Hydraulic Gadient"}</definedName>
    <definedName name="Bcanal">'[7]Intake Canal'!$C$13</definedName>
    <definedName name="bearing_plate" localSheetId="31">'[5]RATES INCLUDING TRANSPORATION'!$V$94</definedName>
    <definedName name="bearing_plate">'RATES INCLUDING TRANSPORATION'!$V$94</definedName>
    <definedName name="Bentonite" localSheetId="4">'RATES INCLUDING TRANSPORATION'!$V$58</definedName>
    <definedName name="Bentonite" localSheetId="31">'[5]RATES INCLUDING TRANSPORATION'!$V$58</definedName>
    <definedName name="Bentonite">'RATES INCLUDING TRANSPORATION'!$V$58</definedName>
    <definedName name="beta">#REF!</definedName>
    <definedName name="Bgt">#REF!</definedName>
    <definedName name="Bheadcanal">#REF!</definedName>
    <definedName name="binding" localSheetId="31">'[5]RATES INCLUDING TRANSPORATION'!$V$31</definedName>
    <definedName name="binding">'RATES INCLUDING TRANSPORATION'!$V$31</definedName>
    <definedName name="Binding_Wire">#REF!</definedName>
    <definedName name="BK" hidden="1">{"Mahesh Maskey - Personal View",#N/A,FALSE,"HeadLossApril (2)";#N/A,#N/A,FALSE,"Hydraulic Gadient"}</definedName>
    <definedName name="Blk">[8]Rates!$C$36</definedName>
    <definedName name="Block_Stone" localSheetId="4">'RATES INCLUDING TRANSPORATION'!$V$21</definedName>
    <definedName name="Block_Stone" localSheetId="31">'[5]RATES INCLUDING TRANSPORATION'!$V$21</definedName>
    <definedName name="Block_Stone">'RATES INCLUDING TRANSPORATION'!$V$21</definedName>
    <definedName name="blow_fan">#REF!</definedName>
    <definedName name="Bond_Stone" localSheetId="4">'RATES INCLUDING TRANSPORATION'!$V$22</definedName>
    <definedName name="Bond_Stone" localSheetId="31">'[5]RATES INCLUDING TRANSPORATION'!$V$22</definedName>
    <definedName name="Bond_Stone">'RATES INCLUDING TRANSPORATION'!$V$22</definedName>
    <definedName name="Bottom_Slab_Thickness">#REF!</definedName>
    <definedName name="br" localSheetId="31">'[5]Basic Rates'!$D$35</definedName>
    <definedName name="br">'Basic Rates'!$D$35</definedName>
    <definedName name="bricks" localSheetId="31">'[5]RATES INCLUDING TRANSPORATION'!$V$42</definedName>
    <definedName name="bricks">'RATES INCLUDING TRANSPORATION'!$V$42</definedName>
    <definedName name="bt">#REF!</definedName>
    <definedName name="cal">"Ronit Kayastha"</definedName>
    <definedName name="Canal_Bottom_Slab_Thickness">#REF!</definedName>
    <definedName name="Canal_Height">#REF!</definedName>
    <definedName name="Canal_Wall_Bottom_Thickness">#REF!</definedName>
    <definedName name="Canal_Wall_Top_Thickness">#REF!</definedName>
    <definedName name="Canal_Width">#REF!</definedName>
    <definedName name="cement" localSheetId="31">'[5]RATES INCLUDING TRANSPORATION'!$V$29</definedName>
    <definedName name="cement">'RATES INCLUDING TRANSPORATION'!$V$29</definedName>
    <definedName name="Cement_bag">#REF!</definedName>
    <definedName name="cement_capsule">'RATES INCLUDING TRANSPORATION'!$V$92</definedName>
    <definedName name="CGI" localSheetId="31">'[5]RATES INCLUDING TRANSPORATION'!$V$71</definedName>
    <definedName name="CGI">'RATES INCLUDING TRANSPORATION'!$V$71</definedName>
    <definedName name="Cgt">#REF!</definedName>
    <definedName name="chk">"Anamaya Upadhaya"</definedName>
    <definedName name="clamps" localSheetId="4">'RATES INCLUDING TRANSPORATION'!$V$56</definedName>
    <definedName name="Clamps" localSheetId="31">'[5]RATES INCLUDING TRANSPORATION'!$V$56</definedName>
    <definedName name="Clamps">'RATES INCLUDING TRANSPORATION'!$V$56</definedName>
    <definedName name="Clearance_for_Penstock_Pipe">#REF!</definedName>
    <definedName name="compressor" localSheetId="31">'[5]Basic Rates'!$D$163</definedName>
    <definedName name="compressor">'Basic Rates'!$D$163</definedName>
    <definedName name="compressor_big">#REF!</definedName>
    <definedName name="Compressor_small">#REF!</definedName>
    <definedName name="concrete_mixer">#REF!</definedName>
    <definedName name="concrete_pump" localSheetId="31">'[5]Basic Rates'!$D$172</definedName>
    <definedName name="concrete_pump">'Basic Rates'!$D$172</definedName>
    <definedName name="cone_bolt">#REF!</definedName>
    <definedName name="Contin">#REF!</definedName>
    <definedName name="Contract_tax">#REF!</definedName>
    <definedName name="core_box" localSheetId="31">'[5]RATES INCLUDING TRANSPORATION'!#REF!</definedName>
    <definedName name="core_box">'RATES INCLUDING TRANSPORATION'!#REF!</definedName>
    <definedName name="Corific">#REF!</definedName>
    <definedName name="crane" localSheetId="31">'[5]Basic Rates'!$D$152</definedName>
    <definedName name="crane">'Basic Rates'!$D$152</definedName>
    <definedName name="Cresrlevel">#REF!</definedName>
    <definedName name="cutting_hammer">#REF!</definedName>
    <definedName name="CW">#REF!</definedName>
    <definedName name="Cweir">#REF!</definedName>
    <definedName name="cww">'[9]7m weir'!$B$3</definedName>
    <definedName name="d">#REF!</definedName>
    <definedName name="d_pen">#REF!</definedName>
    <definedName name="damite" localSheetId="31">'[5]RATES INCLUDING TRANSPORATION'!$V$85</definedName>
    <definedName name="damite">'RATES INCLUDING TRANSPORATION'!$V$85</definedName>
    <definedName name="Day_After_MonsoonPeriod">'[4]Energy_INPUT&amp;OUTPUT'!$C$51</definedName>
    <definedName name="dd">#REF!</definedName>
    <definedName name="ddd">#REF!</definedName>
    <definedName name="delta">#REF!</definedName>
    <definedName name="DesignDischarge">'[4]Energy_INPUT&amp;OUTPUT'!$C$17</definedName>
    <definedName name="Detonating_chord" localSheetId="31">'[5]RATES INCLUDING TRANSPORATION'!$V$84</definedName>
    <definedName name="Detonating_chord">'RATES INCLUDING TRANSPORATION'!$V$84</definedName>
    <definedName name="detonator" localSheetId="31">'[5]RATES INCLUDING TRANSPORATION'!$V$83</definedName>
    <definedName name="detonator">'RATES INCLUDING TRANSPORATION'!$V$83</definedName>
    <definedName name="dfg">#REF!</definedName>
    <definedName name="Diameter_of_Spillway_pipe">'[2]Spillway Pipe Design'!$B$11</definedName>
    <definedName name="diesel" localSheetId="31">'[5]RATES INCLUDING TRANSPORATION'!$V$60</definedName>
    <definedName name="diesel">'RATES INCLUDING TRANSPORATION'!$V$60</definedName>
    <definedName name="Discharg_1_basin">#REF!</definedName>
    <definedName name="Discount_Rate">[10]Summary!#REF!</definedName>
    <definedName name="distance" localSheetId="31">[11]Distances!$B$5:$E$14</definedName>
    <definedName name="distance">Distances!$B$5:$E$13</definedName>
    <definedName name="dlimit">#REF!</definedName>
    <definedName name="dr" localSheetId="31">'[5]Basic Rates'!$D$33</definedName>
    <definedName name="dr">'Basic Rates'!$D$33</definedName>
    <definedName name="draft">'Basic Rates'!$D$42</definedName>
    <definedName name="Drawdown_Start">'[4]Energy_INPUT&amp;OUTPUT'!$C$44</definedName>
    <definedName name="drh" localSheetId="31">'[5]Basic Rates'!$D$34</definedName>
    <definedName name="drh">'Basic Rates'!$D$34</definedName>
    <definedName name="Drill_bit">#REF!</definedName>
    <definedName name="Drill_plateformwithrig">#REF!</definedName>
    <definedName name="drill_rod" localSheetId="31">'[5]RATES INCLUDING TRANSPORATION'!$V$86</definedName>
    <definedName name="drill_rod">'RATES INCLUDING TRANSPORATION'!$V$86</definedName>
    <definedName name="drill_workingplateform">#REF!</definedName>
    <definedName name="Drillbit_32" localSheetId="31">'[5]RATES INCLUDING TRANSPORATION'!$V$87</definedName>
    <definedName name="Drillbit_32">'RATES INCLUDING TRANSPORATION'!$V$87</definedName>
    <definedName name="Drillbit_38" localSheetId="31">'[5]RATES INCLUDING TRANSPORATION'!$V$88</definedName>
    <definedName name="Drillbit_38">'RATES INCLUDING TRANSPORATION'!$V$88</definedName>
    <definedName name="dropped">#REF!</definedName>
    <definedName name="drv" localSheetId="31">'[5]Basic Rates'!$D$30</definedName>
    <definedName name="drv">'Basic Rates'!$D$30</definedName>
    <definedName name="Dump_truck">#REF!</definedName>
    <definedName name="EBD95_drillhammer">#REF!</definedName>
    <definedName name="eee">#REF!</definedName>
    <definedName name="el" localSheetId="31">'[5]Basic Rates'!$D$36</definedName>
    <definedName name="el">'Basic Rates'!$D$36</definedName>
    <definedName name="enamel" localSheetId="31">'[5]RATES INCLUDING TRANSPORATION'!$V$68</definedName>
    <definedName name="enamel">'RATES INCLUDING TRANSPORATION'!$V$68</definedName>
    <definedName name="er" localSheetId="31">'[5]Basic Rates'!$D$40</definedName>
    <definedName name="er">'Basic Rates'!$D$40</definedName>
    <definedName name="Excavation">#REF!</definedName>
    <definedName name="excavator" localSheetId="31">'[12]Basic Rates'!$D$143</definedName>
    <definedName name="excavator">'Basic Rates'!$D$149</definedName>
    <definedName name="excavator_breaker" localSheetId="31">'[12]Basic Rates'!$D$144</definedName>
    <definedName name="excavator_breaker">'Basic Rates'!$D$150</definedName>
    <definedName name="Exch_rate">#REF!</definedName>
    <definedName name="exr" localSheetId="31">'[5]Basic Rates'!$D$20</definedName>
    <definedName name="exr">'Basic Rates'!$D$20</definedName>
    <definedName name="ExRate">'[4]Energy_INPUT&amp;OUTPUT'!$C$36</definedName>
    <definedName name="f">#REF!</definedName>
    <definedName name="f_10">#REF!</definedName>
    <definedName name="f_1d">#REF!</definedName>
    <definedName name="f_1u">#REF!</definedName>
    <definedName name="f_3">#REF!</definedName>
    <definedName name="f_5">#REF!</definedName>
    <definedName name="f_6">#REF!</definedName>
    <definedName name="f_7">#REF!</definedName>
    <definedName name="f_8">#REF!</definedName>
    <definedName name="f_9">#REF!</definedName>
    <definedName name="f1u">#REF!</definedName>
    <definedName name="f2u">#REF!</definedName>
    <definedName name="fan" localSheetId="31">'[5]Basic Rates'!$D$164</definedName>
    <definedName name="fan">'Basic Rates'!$D$164</definedName>
    <definedName name="fgt" hidden="1">[1]Solu!#REF!</definedName>
    <definedName name="fid">#REF!</definedName>
    <definedName name="filter" localSheetId="31">'[5]RATES INCLUDING TRANSPORATION'!$V$27</definedName>
    <definedName name="filter">'RATES INCLUDING TRANSPORATION'!$V$27</definedName>
    <definedName name="FLinlet">'[13]Settling Basin'!#REF!</definedName>
    <definedName name="Flushing_Pipe_Dia">#REF!</definedName>
    <definedName name="Flushing_Start">'[4]Energy_INPUT&amp;OUTPUT'!$C$45</definedName>
    <definedName name="Flushing_Till">'[4]Energy_INPUT&amp;OUTPUT'!$C$47</definedName>
    <definedName name="Forebay_Height">#REF!</definedName>
    <definedName name="Forebay_Length">#REF!</definedName>
    <definedName name="Forebay_Width">#REF!</definedName>
    <definedName name="Form_oil">#REF!</definedName>
    <definedName name="fr" localSheetId="31">'[5]Basic Rates'!$D$28</definedName>
    <definedName name="fr">'Basic Rates'!$D$28</definedName>
    <definedName name="Francis">#REF!</definedName>
    <definedName name="Freaboard">#REF!</definedName>
    <definedName name="FSL">'[4]Energy_INPUT&amp;OUTPUT'!$C$43</definedName>
    <definedName name="g">#REF!</definedName>
    <definedName name="gabion_10" localSheetId="31">'[5]RATES INCLUDING TRANSPORATION'!$V$34</definedName>
    <definedName name="gabion_10">'RATES INCLUDING TRANSPORATION'!$V$34</definedName>
    <definedName name="gabion_12" localSheetId="31">'[5]RATES INCLUDING TRANSPORATION'!$V$35</definedName>
    <definedName name="gabion_12">'RATES INCLUDING TRANSPORATION'!$V$35</definedName>
    <definedName name="gabion_9" localSheetId="31">'[5]RATES INCLUDING TRANSPORATION'!$V$33</definedName>
    <definedName name="gabion_9">'RATES INCLUDING TRANSPORATION'!$V$33</definedName>
    <definedName name="gamma_concrete">#REF!</definedName>
    <definedName name="gamma_soil">#REF!</definedName>
    <definedName name="gamma_steel">#REF!</definedName>
    <definedName name="gelatine" localSheetId="31">'[5]RATES INCLUDING TRANSPORATION'!$V$82</definedName>
    <definedName name="gelatine">'RATES INCLUDING TRANSPORATION'!$V$82</definedName>
    <definedName name="gen">'Basic Rates'!$D$159</definedName>
    <definedName name="gen_30">'Basic Rates'!$D$160</definedName>
    <definedName name="geotex" localSheetId="31">'[5]RATES INCLUDING TRANSPORATION'!$V$51</definedName>
    <definedName name="geotex">'RATES INCLUDING TRANSPORATION'!$V$51</definedName>
    <definedName name="gh">#REF!</definedName>
    <definedName name="GI_commercial">'RATES INCLUDING TRANSPORATION'!$V$36</definedName>
    <definedName name="GI_Nipple">#REF!</definedName>
    <definedName name="gi_wiremesh" localSheetId="31">'[5]RATES INCLUDING TRANSPORATION'!#REF!</definedName>
    <definedName name="gi_wiremesh">'RATES INCLUDING TRANSPORATION'!#REF!</definedName>
    <definedName name="gipipe" localSheetId="31">'[5]RATES INCLUDING TRANSPORATION'!$V$49</definedName>
    <definedName name="gipipe">'RATES INCLUDING TRANSPORATION'!$V$49</definedName>
    <definedName name="glass" localSheetId="31">'[5]RATES INCLUDING TRANSPORATION'!$V$79</definedName>
    <definedName name="glass">'RATES INCLUDING TRANSPORATION'!$V$79</definedName>
    <definedName name="GrossHead">'[4]Energy_INPUT&amp;OUTPUT'!$C$13</definedName>
    <definedName name="Grout_cap">#REF!</definedName>
    <definedName name="grout_machine">#REF!</definedName>
    <definedName name="grout_pump" localSheetId="31">'[5]Basic Rates'!$D$167</definedName>
    <definedName name="grout_pump">'Basic Rates'!$D$167</definedName>
    <definedName name="groutcap" localSheetId="31">'[5]RATES INCLUDING TRANSPORATION'!#REF!</definedName>
    <definedName name="groutcap">'RATES INCLUDING TRANSPORATION'!#REF!</definedName>
    <definedName name="Grt_plg">[8]Rates!$C$37</definedName>
    <definedName name="gum" localSheetId="31">'[5]RATES INCLUDING TRANSPORATION'!$V$80</definedName>
    <definedName name="gum">'RATES INCLUDING TRANSPORATION'!$V$80</definedName>
    <definedName name="H">#REF!</definedName>
    <definedName name="h_1">#REF!</definedName>
    <definedName name="H_100">'[14]Side Intake and Orifice'!#REF!</definedName>
    <definedName name="h_2">#REF!</definedName>
    <definedName name="H_20">'[14]Side Intake and Orifice'!#REF!</definedName>
    <definedName name="H_beam">#REF!</definedName>
    <definedName name="H_L_orifice">'[14]Side Intake and Orifice'!#REF!</definedName>
    <definedName name="H100y">'[15]Water Level'!$B$19</definedName>
    <definedName name="H10y">#REF!</definedName>
    <definedName name="H20y">#REF!</definedName>
    <definedName name="H2y">#REF!</definedName>
    <definedName name="H5y">#REF!</definedName>
    <definedName name="hand_drill" localSheetId="31">'[5]Basic Rates'!$D$156</definedName>
    <definedName name="hand_drill">'Basic Rates'!$D$156</definedName>
    <definedName name="handle" localSheetId="31">'[5]RATES INCLUDING TRANSPORATION'!$V$78</definedName>
    <definedName name="handle">'RATES INCLUDING TRANSPORATION'!$V$78</definedName>
    <definedName name="Hbasin">'[14]Settling Basin'!$I$31</definedName>
    <definedName name="Hcanal">#REF!</definedName>
    <definedName name="HcatCrest">'[16]Scour depth'!#REF!</definedName>
    <definedName name="Hd">'[15]Water Level'!$B$14</definedName>
    <definedName name="HDPE" localSheetId="31">'[5]RATES INCLUDING TRANSPORATION'!$V$50</definedName>
    <definedName name="HDPE">'RATES INCLUDING TRANSPORATION'!$V$50</definedName>
    <definedName name="Head">#REF!</definedName>
    <definedName name="HeadraceTunnel">'[4]Energy_INPUT&amp;OUTPUT'!$C$20</definedName>
    <definedName name="Height_Orifice">#REF!</definedName>
    <definedName name="HFL">'[16]Scour depth'!#REF!</definedName>
    <definedName name="Hflood">'[16]Scour depth'!#REF!</definedName>
    <definedName name="hg">#REF!</definedName>
    <definedName name="hinges" localSheetId="31">'[5]RATES INCLUDING TRANSPORATION'!$V$76</definedName>
    <definedName name="hinges">'RATES INCLUDING TRANSPORATION'!$V$76</definedName>
    <definedName name="hjj" hidden="1">[1]Solu!#REF!</definedName>
    <definedName name="Hmin">#REF!</definedName>
    <definedName name="holdfast" localSheetId="31">'[5]RATES INCLUDING TRANSPORATION'!$V$75</definedName>
    <definedName name="holdfast">'RATES INCLUDING TRANSPORATION'!$V$75</definedName>
    <definedName name="Hopper_Depth">#REF!</definedName>
    <definedName name="hose_pipe">'Basic Rates'!$D$165</definedName>
    <definedName name="hr" localSheetId="31">'[5]Basic Rates'!$D$32</definedName>
    <definedName name="hr">'Basic Rates'!$D$32</definedName>
    <definedName name="HRWL">'[4]Energy_INPUT&amp;OUTPUT'!$C$9</definedName>
    <definedName name="hs">#REF!</definedName>
    <definedName name="Htrash">#REF!</definedName>
    <definedName name="hui" hidden="1">[1]Solu!#REF!</definedName>
    <definedName name="hWEIR">#REF!</definedName>
    <definedName name="hydraulic_jack" localSheetId="31">'[5]Basic Rates'!$D$170</definedName>
    <definedName name="hydraulic_jack">'Basic Rates'!$D$170</definedName>
    <definedName name="Hydraulic_oil" localSheetId="31">'[5]RATES INCLUDING TRANSPORATION'!$V$64</definedName>
    <definedName name="Hydraulic_oil">'RATES INCLUDING TRANSPORATION'!$V$64</definedName>
    <definedName name="i">#REF!</definedName>
    <definedName name="ih" hidden="1">[1]Solu!#REF!</definedName>
    <definedName name="inlet_transition_end_height">'[2]Forebay Design'!$D$56</definedName>
    <definedName name="Inlet_Transition_Length">#REF!</definedName>
    <definedName name="Installed_Capacity">'[4]Energy_INPUT&amp;OUTPUT'!$C$34</definedName>
    <definedName name="jack_hammer" localSheetId="31">'[5]Basic Rates'!$D$158</definedName>
    <definedName name="jack_hammer">'Basic Rates'!$D$158</definedName>
    <definedName name="jhooks" localSheetId="31">'[5]RATES INCLUDING TRANSPORATION'!$V$73</definedName>
    <definedName name="jhooks">'RATES INCLUDING TRANSPORATION'!$V$73</definedName>
    <definedName name="jn">930074</definedName>
    <definedName name="ka">#REF!</definedName>
    <definedName name="kerosene">'RATES INCLUDING TRANSPORATION'!$V$61</definedName>
    <definedName name="kt">#REF!</definedName>
    <definedName name="Kv">#REF!</definedName>
    <definedName name="l">#REF!</definedName>
    <definedName name="L1d">#REF!</definedName>
    <definedName name="L1u">#REF!</definedName>
    <definedName name="l2u">#REF!</definedName>
    <definedName name="l4u">#REF!</definedName>
    <definedName name="Laceyf">#REF!</definedName>
    <definedName name="Lbasin">#REF!</definedName>
    <definedName name="Lcanal">#REF!</definedName>
    <definedName name="Lcrest">#REF!</definedName>
    <definedName name="Lgt">#REF!</definedName>
    <definedName name="LHeadCanal">#REF!</definedName>
    <definedName name="lifting_jack">#REF!</definedName>
    <definedName name="limcount" hidden="1">1</definedName>
    <definedName name="Lining_Thickness">'[4]Energy_INPUT&amp;OUTPUT'!$C$29</definedName>
    <definedName name="LiningThickness">'[4]Energy_INPUT&amp;OUTPUT'!#REF!</definedName>
    <definedName name="ListPF">[17]Assumptions!$C$27:$C$28</definedName>
    <definedName name="ListVoltage">[17]Assumptions!$C$45:$C$48</definedName>
    <definedName name="Lo">'[18]fixing of water way crest '!$D$353</definedName>
    <definedName name="locking" localSheetId="31">'[5]RATES INCLUDING TRANSPORATION'!$V$77</definedName>
    <definedName name="locking">'RATES INCLUDING TRANSPORATION'!$V$77</definedName>
    <definedName name="lok">#REF!</definedName>
    <definedName name="lub_assessories">#REF!</definedName>
    <definedName name="lubricant" localSheetId="31">'[5]RATES INCLUDING TRANSPORATION'!$V$63</definedName>
    <definedName name="lubricant">'RATES INCLUDING TRANSPORATION'!$V$63</definedName>
    <definedName name="M">'[3]Headloss calculation'!$D$19</definedName>
    <definedName name="M_15">[8]Rates!$C$35</definedName>
    <definedName name="M_25">[8]Rates!$C$34</definedName>
    <definedName name="Manning_Steel">'[4]Energy_INPUT&amp;OUTPUT'!$C$32</definedName>
    <definedName name="Mannings_Lined">'[4]Energy_INPUT&amp;OUTPUT'!$C$31</definedName>
    <definedName name="Mannings_Unlined">'[4]Energy_INPUT&amp;OUTPUT'!$C$30</definedName>
    <definedName name="mc">#REF!</definedName>
    <definedName name="MDDL">'[4]Energy_INPUT&amp;OUTPUT'!$C$11</definedName>
    <definedName name="mech" localSheetId="31">'[5]Basic Rates'!$D$37</definedName>
    <definedName name="mech">'Basic Rates'!$D$37</definedName>
    <definedName name="Metal_Pipe" localSheetId="31">'[5]RATES INCLUDING TRANSPORATION'!$V$46</definedName>
    <definedName name="Metal_Pipe">'RATES INCLUDING TRANSPORATION'!$V$46</definedName>
    <definedName name="Micro_silica">#REF!</definedName>
    <definedName name="minitruck" localSheetId="31">'[12]Basic Rates'!$D$134</definedName>
    <definedName name="minitruck">'Basic Rates'!$D$140</definedName>
    <definedName name="MinRelease">'[4]Energy_INPUT&amp;OUTPUT'!$C$19</definedName>
    <definedName name="mixer" localSheetId="31">'[5]Basic Rates'!$D$143</definedName>
    <definedName name="mixer">'Basic Rates'!$D$143</definedName>
    <definedName name="Monsoon_HWL">'[4]Energy_INPUT&amp;OUTPUT'!$C$48</definedName>
    <definedName name="Monsoon_Start">'[4]Energy_INPUT&amp;OUTPUT'!$C$49</definedName>
    <definedName name="mr">'Basic Rates'!$D$26</definedName>
    <definedName name="ms_pipe" localSheetId="4">'RATES INCLUDING TRANSPORATION'!$V$55</definedName>
    <definedName name="ms_pipe" localSheetId="31">'[5]RATES INCLUDING TRANSPORATION'!$V$55</definedName>
    <definedName name="ms_pipe">'RATES INCLUDING TRANSPORATION'!$V$55</definedName>
    <definedName name="ms_sheet" localSheetId="4">'RATES INCLUDING TRANSPORATION'!$V$54</definedName>
    <definedName name="ms_sheet" localSheetId="31">'[5]RATES INCLUDING TRANSPORATION'!$V$50</definedName>
    <definedName name="ms_sheet">'RATES INCLUDING TRANSPORATION'!$V$50</definedName>
    <definedName name="MWI">#REF!</definedName>
    <definedName name="n">'[14]Intake Canal'!$C$10</definedName>
    <definedName name="N_basin">#REF!</definedName>
    <definedName name="n_flush">#REF!</definedName>
    <definedName name="nails" localSheetId="31">'[5]RATES INCLUDING TRANSPORATION'!$V$40</definedName>
    <definedName name="nails">'RATES INCLUDING TRANSPORATION'!$V$40</definedName>
    <definedName name="natural_gravel" localSheetId="31">'[5]RATES INCLUDING TRANSPORATION'!$V$26</definedName>
    <definedName name="natural_gravel">'RATES INCLUDING TRANSPORATION'!$V$26</definedName>
    <definedName name="nbij" hidden="1">[1]Solu!#REF!</definedName>
    <definedName name="ncanal">#REF!</definedName>
    <definedName name="NewMatrix3">#REF!</definedName>
    <definedName name="Newoh">#REF!</definedName>
    <definedName name="Nhead">#REF!</definedName>
    <definedName name="nipple" localSheetId="31">'[5]RATES INCLUDING TRANSPORATION'!$V$48</definedName>
    <definedName name="nipple">'RATES INCLUDING TRANSPORATION'!$V$48</definedName>
    <definedName name="Nmaning">#REF!</definedName>
    <definedName name="NRs_USD">#REF!</definedName>
    <definedName name="Nut" localSheetId="31">'[5]RATES INCLUDING TRANSPORATION'!$V$72</definedName>
    <definedName name="Nut">'RATES INCLUDING TRANSPORATION'!$V$72</definedName>
    <definedName name="Nuts_bolts" localSheetId="4">'RATES INCLUDING TRANSPORATION'!$V$57</definedName>
    <definedName name="Nuts_Bolts" localSheetId="31">'[5]RATES INCLUDING TRANSPORATION'!$V$57</definedName>
    <definedName name="Nuts_Bolts">'RATES INCLUDING TRANSPORATION'!$V$57</definedName>
    <definedName name="NWL">'[16]Scour depth'!#REF!</definedName>
    <definedName name="optAheadcanal">'[14]Headrace Canal '!$H$20</definedName>
    <definedName name="OptbCanal">#REF!</definedName>
    <definedName name="optBheadcanal">#REF!</definedName>
    <definedName name="optHheadcanal">#REF!</definedName>
    <definedName name="optHLheadcanal">#REF!</definedName>
    <definedName name="optPheadcanal">#REF!</definedName>
    <definedName name="optRheadCanal">#REF!</definedName>
    <definedName name="optSlopeheadcanal">#REF!</definedName>
    <definedName name="or" localSheetId="31">'[5]Basic Rates'!$D$31</definedName>
    <definedName name="or">'Basic Rates'!$D$31</definedName>
    <definedName name="Outlet_Height">#REF!</definedName>
    <definedName name="Outlet_Transition_End_Height">'[2]Forebay Design'!$D$66</definedName>
    <definedName name="Outlet_Transition_Length">#REF!</definedName>
    <definedName name="outlet_transition_start_height">'[2]Forebay Design'!$D$65</definedName>
    <definedName name="Outlet_Width">#REF!</definedName>
    <definedName name="Overhead">#REF!</definedName>
    <definedName name="Overhead_Profit">#REF!</definedName>
    <definedName name="ovr">'Basic Rates'!$D$41</definedName>
    <definedName name="P_ex_Invert">#REF!</definedName>
    <definedName name="P_inc_Invert">#REF!</definedName>
    <definedName name="packers">'RATES INCLUDING TRANSPORATION'!$V$93</definedName>
    <definedName name="PAGE1">#REF!</definedName>
    <definedName name="PAGE2">#REF!</definedName>
    <definedName name="PAGE3">#REF!</definedName>
    <definedName name="Pal_Workbook_GUID" hidden="1">"WMPHX8AI95GDBSGMRQ4DT2IM"</definedName>
    <definedName name="PeakHours">'[4]Energy_INPUT&amp;OUTPUT'!$C$42</definedName>
    <definedName name="Penstock_Pipe_Diameter">#REF!</definedName>
    <definedName name="Penstock_Pipe_invert_start_vertical_offset_from_Headpond_invert">#REF!</definedName>
    <definedName name="Penstock_Velocity">'[4]Energy_INPUT&amp;OUTPUT'!$D$4</definedName>
    <definedName name="PenstockLength">'[4]Energy_INPUT&amp;OUTPUT'!$C$23</definedName>
    <definedName name="PercentofLinedTunnel">'[4]Energy_INPUT&amp;OUTPUT'!$C$27</definedName>
    <definedName name="Perimeter">#REF!</definedName>
    <definedName name="petrol" localSheetId="31">'[5]RATES INCLUDING TRANSPORATION'!$V$62</definedName>
    <definedName name="petrol">'RATES INCLUDING TRANSPORATION'!$V$62</definedName>
    <definedName name="Pfactor">#REF!</definedName>
    <definedName name="phi">#REF!</definedName>
    <definedName name="Pi">'[6]settling basin 240'!$D$8</definedName>
    <definedName name="pipe_ductings">#REF!</definedName>
    <definedName name="planks" localSheetId="31">'[5]RATES INCLUDING TRANSPORATION'!$V$38</definedName>
    <definedName name="planks">'RATES INCLUDING TRANSPORATION'!$V$38</definedName>
    <definedName name="Plasticizer">#REF!</definedName>
    <definedName name="plasticizers" localSheetId="31">'[5]RATES INCLUDING TRANSPORATION'!$V$45</definedName>
    <definedName name="plasticizers">'RATES INCLUDING TRANSPORATION'!$V$45</definedName>
    <definedName name="plateform_loader">#REF!</definedName>
    <definedName name="ply12mm">#REF!</definedName>
    <definedName name="ply18mm">#REF!</definedName>
    <definedName name="plywood" localSheetId="31">'[5]RATES INCLUDING TRANSPORATION'!$V$39</definedName>
    <definedName name="plywood">'RATES INCLUDING TRANSPORATION'!$V$39</definedName>
    <definedName name="Popt">#REF!</definedName>
    <definedName name="Power">#REF!</definedName>
    <definedName name="power_winch" localSheetId="31">'[5]Basic Rates'!$D$171</definedName>
    <definedName name="power_winch">'Basic Rates'!$D$171</definedName>
    <definedName name="PressureTunnel">'[4]Energy_INPUT&amp;OUTPUT'!$C$21</definedName>
    <definedName name="primer" localSheetId="31">'[5]RATES INCLUDING TRANSPORATION'!$V$69</definedName>
    <definedName name="primer">'RATES INCLUDING TRANSPORATION'!$V$69</definedName>
    <definedName name="_xlnm.Print_Area" localSheetId="1">'Basic Rates'!$A$1:$E$174</definedName>
    <definedName name="_xlnm.Print_Area" localSheetId="3">Distances!$A$1:$E$19</definedName>
    <definedName name="_xlnm.Print_Area" localSheetId="4">'RATES INCLUDING TRANSPORATION'!$A$1:$V$101</definedName>
    <definedName name="_xlnm.Print_Area">#REF!</definedName>
    <definedName name="PRINT_AREA_MI">#REF!</definedName>
    <definedName name="_xlnm.Print_Titles" localSheetId="4">'RATES INCLUDING TRANSPORATION'!$15:$17</definedName>
    <definedName name="_xlnm.Print_Titles" localSheetId="0">Summary!$2:$4</definedName>
    <definedName name="prj">"BHOTEKOSHI -5 HYDROELECTRIC PROJECT"</definedName>
    <definedName name="Project_Life">[10]Summary!#REF!</definedName>
    <definedName name="props">#REF!</definedName>
    <definedName name="Pusher_leg" localSheetId="1">'Basic Rates'!$D$169</definedName>
    <definedName name="Q">'[3]Headloss calculation'!$D$10</definedName>
    <definedName name="Q_100">'[14]Side Intake and Orifice'!#REF!</definedName>
    <definedName name="Q_20">'[14]Side Intake and Orifice'!#REF!</definedName>
    <definedName name="Q_des">'[18]fixing of water way crest '!$D$351</definedName>
    <definedName name="Q_idf">'[18]fixing of water way crest '!$D$1</definedName>
    <definedName name="Q_o">'[18]fixing of water way crest '!$D$349</definedName>
    <definedName name="Q_p">'[18]fixing of water way crest '!$D$348</definedName>
    <definedName name="q_per">'[18]fixing of water way crest '!$D$397</definedName>
    <definedName name="qd">'[14]General Data'!$B$7</definedName>
    <definedName name="Qf">'[18]fixing of water way crest '!$D$2</definedName>
    <definedName name="Qflush">#REF!</definedName>
    <definedName name="Qintake">'[14]Side Intake and Orifice'!#REF!</definedName>
    <definedName name="Qo">'[19]Side Intake and Orifice'!$H$22</definedName>
    <definedName name="Qtotal">#REF!</definedName>
    <definedName name="R_">#REF!</definedName>
    <definedName name="R_hyd">'[6]settling basin 240'!$D$9</definedName>
    <definedName name="Radius">'[3]Headloss calculation'!$D$18</definedName>
    <definedName name="raiser_climber" localSheetId="31">'[5]Basic Rates'!$D$168</definedName>
    <definedName name="raiser_climber">'Basic Rates'!$D$168</definedName>
    <definedName name="rammer">'Basic Rates'!$D$153</definedName>
    <definedName name="Rcanal">#REF!</definedName>
    <definedName name="rcr" localSheetId="31">'[5]Basic Rates'!$D$38</definedName>
    <definedName name="rcr">'Basic Rates'!$D$38</definedName>
    <definedName name="rebars" localSheetId="31">'[5]RATES INCLUDING TRANSPORATION'!$V$30</definedName>
    <definedName name="rebars">'RATES INCLUDING TRANSPORATION'!$V$30</definedName>
    <definedName name="Rebound_F">#REF!</definedName>
    <definedName name="redoxide" localSheetId="31">'[5]RATES INCLUDING TRANSPORATION'!$V$70</definedName>
    <definedName name="redoxide">'RATES INCLUDING TRANSPORATION'!$V$70</definedName>
    <definedName name="Ressources">#REF!</definedName>
    <definedName name="Return100D">[13]Hydrology!$B$22</definedName>
    <definedName name="Return10D">#REF!</definedName>
    <definedName name="Return20D">#REF!</definedName>
    <definedName name="Return2D">#REF!</definedName>
    <definedName name="Return5D">#REF!</definedName>
    <definedName name="ReverBed">#REF!</definedName>
    <definedName name="Rflush">#REF!</definedName>
    <definedName name="rickdrill_machine">#REF!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SwapState" hidden="1">FALSE</definedName>
    <definedName name="RiskUpdateDisplay" hidden="1">FALSE</definedName>
    <definedName name="RiskUseDifferentSeedForEachSim" hidden="1">FALSE</definedName>
    <definedName name="RiskUseFixedSeed" hidden="1">FALSE</definedName>
    <definedName name="RiskUseMultipleCPUs" hidden="1">TRUE</definedName>
    <definedName name="Rock_bolt25">#REF!</definedName>
    <definedName name="rockbolt_20" localSheetId="31">'[5]RATES INCLUDING TRANSPORATION'!$V$95</definedName>
    <definedName name="rockbolt_20">'RATES INCLUDING TRANSPORATION'!$V$95</definedName>
    <definedName name="rockbolt_25" localSheetId="31">'[5]RATES INCLUDING TRANSPORATION'!$V$96</definedName>
    <definedName name="rockbolt_25">'RATES INCLUDING TRANSPORATION'!$V$96</definedName>
    <definedName name="rockbolt_32" localSheetId="31">'[5]RATES INCLUDING TRANSPORATION'!$V$97</definedName>
    <definedName name="rockbolt_32">'RATES INCLUDING TRANSPORATION'!$V$97</definedName>
    <definedName name="rockbolt_Exp_20">'RATES INCLUDING TRANSPORATION'!$V$98</definedName>
    <definedName name="rockbolt_Exp_25">'RATES INCLUDING TRANSPORATION'!$V$99</definedName>
    <definedName name="rockbolt_Exp_32">'RATES INCLUDING TRANSPORATION'!$V$100</definedName>
    <definedName name="rockdriller_pneumatic" localSheetId="31">'[5]Basic Rates'!$D$157</definedName>
    <definedName name="rockdriller_pneumatic">'Basic Rates'!$D$157</definedName>
    <definedName name="roller_steel" localSheetId="31">'[5]Basic Rates'!$D$154</definedName>
    <definedName name="roller_steel">'Basic Rates'!$D$154</definedName>
    <definedName name="roller_vibra">'Basic Rates'!$D$155</definedName>
    <definedName name="Rscour">#REF!</definedName>
    <definedName name="s">#REF!</definedName>
    <definedName name="S_flushCanal">#REF!</definedName>
    <definedName name="Salwood">#REF!</definedName>
    <definedName name="sam">#REF!</definedName>
    <definedName name="sand" localSheetId="31">'[5]RATES INCLUDING TRANSPORATION'!$V$19</definedName>
    <definedName name="sand">'RATES INCLUDING TRANSPORATION'!$V$19</definedName>
    <definedName name="Sc">#REF!</definedName>
    <definedName name="Sccheck">[20]Calculations!$S$27</definedName>
    <definedName name="SConc">#REF!</definedName>
    <definedName name="screw" localSheetId="31">'[5]RATES INCLUDING TRANSPORATION'!$V$41</definedName>
    <definedName name="screw">'RATES INCLUDING TRANSPORATION'!$V$41</definedName>
    <definedName name="Sediment_Deflector_Bottom_Width">#REF!</definedName>
    <definedName name="Sediment_Deflector_Height">#REF!</definedName>
    <definedName name="Sediment_Deflector_Top_Width">#REF!</definedName>
    <definedName name="Sediment_load">#REF!</definedName>
    <definedName name="sencount" hidden="1">1</definedName>
    <definedName name="shank_rod">#REF!</definedName>
    <definedName name="shortcrete_machine">#REF!</definedName>
    <definedName name="Shotcrete_boomtruck" localSheetId="31">'[5]Basic Rates'!$D$166</definedName>
    <definedName name="Shotcrete_boomtruck">'Basic Rates'!$D$166</definedName>
    <definedName name="Si">#REF!</definedName>
    <definedName name="side_slope">'[2]Forebay Design'!$D$58</definedName>
    <definedName name="Side_Wall_Bottom_Thickness">#REF!</definedName>
    <definedName name="Side_Wall_Top_Thickness">#REF!</definedName>
    <definedName name="silica_fumes" localSheetId="31">'[5]RATES INCLUDING TRANSPORATION'!$V$43</definedName>
    <definedName name="silica_fumes">'RATES INCLUDING TRANSPORATION'!$V$43</definedName>
    <definedName name="Simulated_Discharge">'[4]Energy_INPUT&amp;OUTPUT'!$B$8</definedName>
    <definedName name="Slope">#REF!</definedName>
    <definedName name="SlopeCanal">#REF!</definedName>
    <definedName name="snowcem" localSheetId="31">'[5]RATES INCLUDING TRANSPORATION'!$V$67</definedName>
    <definedName name="snowcem">'RATES INCLUDING TRANSPORATION'!$V$67</definedName>
    <definedName name="So">#REF!</definedName>
    <definedName name="soil_bearing">#REF!</definedName>
    <definedName name="solver_adj" hidden="1">'[21]subs weir(100)'!$G$97</definedName>
    <definedName name="solver_cvg" hidden="1">0.0001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'[21]subs weir(100)'!$G$98</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opt">#REF!</definedName>
    <definedName name="Span">#REF!</definedName>
    <definedName name="Spillway_Height">#REF!</definedName>
    <definedName name="Spillway_Length">#REF!</definedName>
    <definedName name="spliceplate180">#REF!</definedName>
    <definedName name="sr" localSheetId="31">'[5]Basic Rates'!$D$25</definedName>
    <definedName name="sr">'Basic Rates'!$D$25</definedName>
    <definedName name="steel_fibre">#REF!</definedName>
    <definedName name="stone" localSheetId="31">'[5]RATES INCLUDING TRANSPORATION'!$V$20</definedName>
    <definedName name="stone">'RATES INCLUDING TRANSPORATION'!$V$20</definedName>
    <definedName name="structural_steel" localSheetId="31">'[5]RATES INCLUDING TRANSPORATION'!$V$32</definedName>
    <definedName name="structural_steel">'RATES INCLUDING TRANSPORATION'!$V$32</definedName>
    <definedName name="submersible_pump">'Basic Rates'!$D$148</definedName>
    <definedName name="Sum">[10]Summary!#REF!</definedName>
    <definedName name="sup" localSheetId="31">'[5]Basic Rates'!$D$29</definedName>
    <definedName name="sup">'Basic Rates'!$D$29</definedName>
    <definedName name="sur">'Basic Rates'!$D$43</definedName>
    <definedName name="surfaceanchor_8mm">#REF!</definedName>
    <definedName name="survey_equipments" localSheetId="31">'[5]Basic Rates'!$D$162</definedName>
    <definedName name="survey_equipments">'Basic Rates'!$D$162</definedName>
    <definedName name="T">#REF!</definedName>
    <definedName name="TailraceTunnelLength">'[4]Energy_INPUT&amp;OUTPUT'!$C$25</definedName>
    <definedName name="tech" localSheetId="31">'[5]Basic Rates'!$D$44</definedName>
    <definedName name="tech">'Basic Rates'!$D$44</definedName>
    <definedName name="TempName" hidden="1">"WLGWHMJTRAQRQD9VCYQKS1EC"</definedName>
    <definedName name="th_pen">#REF!</definedName>
    <definedName name="timber" localSheetId="31">'[5]RATES INCLUDING TRANSPORATION'!$V$37</definedName>
    <definedName name="timber">'RATES INCLUDING TRANSPORATION'!$V$37</definedName>
    <definedName name="TopRankDefaultDistForRange" hidden="1">1</definedName>
    <definedName name="TopRankDefaultMaxChange" hidden="1">"0,15"</definedName>
    <definedName name="TopRankDefaultMinChange" hidden="1">-0.1</definedName>
    <definedName name="TopRankDefaultMultiGroupSize" hidden="1">2</definedName>
    <definedName name="TopRankDefaultMultiStepsPerInput" hidden="1">2</definedName>
    <definedName name="TopRankDefaultRangeType" hidden="1">0</definedName>
    <definedName name="TopRankDefaultStepsPerInput" hidden="1">5</definedName>
    <definedName name="TopRankDetailByInputReport" hidden="1">FALSE</definedName>
    <definedName name="TopRankMaxInputsPerGraph" hidden="1">20</definedName>
    <definedName name="TopRankMultiWayReport" hidden="1">FALSE</definedName>
    <definedName name="TopRankNumberOfRuns" hidden="1">1</definedName>
    <definedName name="TopRankOnlyInputsOverThreshold" hidden="1">FALSE</definedName>
    <definedName name="TopRankOnlyTopRanking" hidden="1">TRUE</definedName>
    <definedName name="TopRankOutputDetailReport" hidden="1">FALSE</definedName>
    <definedName name="TopRankOutputsAsPercentChange" hidden="1">FALSE</definedName>
    <definedName name="TopRankOverwriteExisting" hidden="1">FALSE</definedName>
    <definedName name="TopRankPauseOnError" hidden="1">FALSE</definedName>
    <definedName name="TopRankPerformPrecedentScanAddOutput" hidden="1">FALSE</definedName>
    <definedName name="TopRankPerformPrecedentScanAtStart" hidden="1">TRUE</definedName>
    <definedName name="TopRankPrecedentScanType" hidden="1">1</definedName>
    <definedName name="TopRankReportAllOutputCells" hidden="1">TRUE</definedName>
    <definedName name="TopRankReportsInExistingWorkbook" hidden="1">FALSE</definedName>
    <definedName name="TopRankReportsInExistingWorkbookName" hidden="1">"Active Workbook"</definedName>
    <definedName name="TopRankReportsInNewWorkbook" hidden="1">TRUE</definedName>
    <definedName name="TopRankSensitivityGraphs" hidden="1">FALSE</definedName>
    <definedName name="TopRankSingleWorkbookAllResults" hidden="1">FALSE</definedName>
    <definedName name="TopRankSpiderGraphs" hidden="1">TRUE</definedName>
    <definedName name="TopRankTornadoGraphs" hidden="1">TRUE</definedName>
    <definedName name="TopRankUpdateDisplay" hidden="1">FALSE</definedName>
    <definedName name="TopWHeadCanal">#REF!</definedName>
    <definedName name="Tor_steel">#REF!</definedName>
    <definedName name="Total_Canal_Width">#REF!</definedName>
    <definedName name="Total_Canal_Width_including_excavation_width">#REF!</definedName>
    <definedName name="tractor" localSheetId="31">#REF!</definedName>
    <definedName name="tractor">'Basic Rates'!$D$142</definedName>
    <definedName name="Trash_Surface">#REF!</definedName>
    <definedName name="tripod_machine">#REF!</definedName>
    <definedName name="TRL">'[4]Energy_INPUT&amp;OUTPUT'!$C$12</definedName>
    <definedName name="truck" localSheetId="31">'[5]Basic Rates'!$D$139</definedName>
    <definedName name="truck">'Basic Rates'!$D$139</definedName>
    <definedName name="TRWL">'[4]Energy_INPUT&amp;OUTPUT'!$C$12</definedName>
    <definedName name="tt">#REF!</definedName>
    <definedName name="tunnel_light">#REF!</definedName>
    <definedName name="TunnelSpan">'[4]Energy_INPUT&amp;OUTPUT'!$C$26</definedName>
    <definedName name="TunnelSpan_Lined">'[4]Energy_INPUT&amp;OUTPUT'!$C$28</definedName>
    <definedName name="Turbine_No.">'[4]Energy_INPUT&amp;OUTPUT'!$C$15</definedName>
    <definedName name="Tw">#REF!</definedName>
    <definedName name="uinh" hidden="1">[1]Solu!#REF!</definedName>
    <definedName name="ur" localSheetId="31">'[5]Basic Rates'!$D$27</definedName>
    <definedName name="ur">'Basic Rates'!$D$27</definedName>
    <definedName name="USD">'[22]BoQ-draft'!$I$6</definedName>
    <definedName name="uvgft" hidden="1">[1]Solu!#REF!</definedName>
    <definedName name="V_orrifice">#REF!</definedName>
    <definedName name="Va">#REF!</definedName>
    <definedName name="Vapproach">#REF!</definedName>
    <definedName name="Vc_canal">#REF!</definedName>
    <definedName name="Ventilation_duct" localSheetId="31">'[5]RATES INCLUDING TRANSPORATION'!$V$90</definedName>
    <definedName name="Ventilation_duct">'RATES INCLUDING TRANSPORATION'!$V$90</definedName>
    <definedName name="Ventilation_fan" localSheetId="1">'Basic Rates'!$D$173</definedName>
    <definedName name="vgf" hidden="1">[1]Solu!#REF!</definedName>
    <definedName name="VheadCanal">#REF!</definedName>
    <definedName name="vibrator_concrete" localSheetId="31">'[5]Basic Rates'!$D$144</definedName>
    <definedName name="vibrator_concrete">'Basic Rates'!$D$144</definedName>
    <definedName name="VIntakeCanal">#REF!</definedName>
    <definedName name="Vlimit">#REF!</definedName>
    <definedName name="Volume_sediment">#REF!</definedName>
    <definedName name="Vtrash">#REF!</definedName>
    <definedName name="w">#REF!</definedName>
    <definedName name="w_b">#REF!</definedName>
    <definedName name="w_p">#REF!</definedName>
    <definedName name="w_w">#REF!</definedName>
    <definedName name="washer" localSheetId="31">'[5]RATES INCLUDING TRANSPORATION'!$V$74</definedName>
    <definedName name="washer">'RATES INCLUDING TRANSPORATION'!$V$74</definedName>
    <definedName name="water_pump">'Basic Rates'!$D$147</definedName>
    <definedName name="water_seperator">#REF!</definedName>
    <definedName name="water_stop" localSheetId="31">'[5]RATES INCLUDING TRANSPORATION'!$V$53</definedName>
    <definedName name="water_stop">'RATES INCLUDING TRANSPORATION'!$V$53</definedName>
    <definedName name="water_tank" localSheetId="31">#REF!</definedName>
    <definedName name="water_tank">'Basic Rates'!$D$146</definedName>
    <definedName name="Wbasin">'[19]Settling Basin'!$C$20</definedName>
    <definedName name="Wcrest">'[16]Scour depth'!#REF!</definedName>
    <definedName name="WE" hidden="1">{#N/A,#N/A,TRUE,"Flat Before Crest";#N/A,#N/A,TRUE,"1-4 Before Crest";#N/A,#N/A,TRUE,"Crest";#N/A,#N/A,TRUE,"after crest";#N/A,#N/A,TRUE,"Data"}</definedName>
    <definedName name="Weffec">#REF!</definedName>
    <definedName name="welder" localSheetId="31">'[5]Basic Rates'!$D$39</definedName>
    <definedName name="welder">'Basic Rates'!$D$39</definedName>
    <definedName name="welding_gas" localSheetId="31">'[5]RATES INCLUDING TRANSPORATION'!#REF!</definedName>
    <definedName name="welding_gas">'RATES INCLUDING TRANSPORATION'!#REF!</definedName>
    <definedName name="welding_machine" localSheetId="31">'[5]Basic Rates'!$D$161</definedName>
    <definedName name="welding_machine">'Basic Rates'!$D$161</definedName>
    <definedName name="welding_rod" localSheetId="31">'[5]RATES INCLUDING TRANSPORATION'!$V$89</definedName>
    <definedName name="welding_rod">'RATES INCLUDING TRANSPORATION'!$V$89</definedName>
    <definedName name="weldingelectrode">#REF!</definedName>
    <definedName name="Wfall">#REF!</definedName>
    <definedName name="wheel_barrow" localSheetId="1">'Basic Rates'!$D$174</definedName>
    <definedName name="wheel_barrow" localSheetId="31">'[5]Basic Rates'!$D$174</definedName>
    <definedName name="wheel_barrow">'Basic Rates'!$D$174</definedName>
    <definedName name="wheel_loader" localSheetId="31">'[5]Basic Rates'!$D$141</definedName>
    <definedName name="wheel_loader">'Basic Rates'!$D$141</definedName>
    <definedName name="wheelbarrow">#REF!</definedName>
    <definedName name="white_cement" localSheetId="31">'[5]RATES INCLUDING TRANSPORATION'!$V$66</definedName>
    <definedName name="white_cement">'RATES INCLUDING TRANSPORATION'!$V$66</definedName>
    <definedName name="wirefebric">#REF!</definedName>
    <definedName name="wiremesh" localSheetId="31">'[5]RATES INCLUDING TRANSPORATION'!$V$52</definedName>
    <definedName name="wiremesh">'RATES INCLUDING TRANSPORATION'!$V$52</definedName>
    <definedName name="WLc">#REF!</definedName>
    <definedName name="WLcanal">#REF!</definedName>
    <definedName name="WLgt">#REF!</definedName>
    <definedName name="WLHeadCanal">#REF!</definedName>
    <definedName name="WLriver">#REF!</definedName>
    <definedName name="WLsetling">'[13]Settling Basin'!#REF!</definedName>
    <definedName name="working_plateform">#REF!</definedName>
    <definedName name="wrn.5." hidden="1">{"Mahesh Maskey - Personal View",#N/A,FALSE,"HeadLossApril (2)";#N/A,#N/A,FALSE,"Hydraulic Gadient"}</definedName>
    <definedName name="wrn.Print." hidden="1">{#N/A,#N/A,TRUE,"Flat Before Crest";#N/A,#N/A,TRUE,"1-4 Before Crest";#N/A,#N/A,TRUE,"Crest";#N/A,#N/A,TRUE,"after crest";#N/A,#N/A,TRUE,"Data"}</definedName>
    <definedName name="Wspill">#REF!</definedName>
    <definedName name="x">'[23]Input Data'!$I$16</definedName>
    <definedName name="Xbar">'[23]Input Data'!$N$19</definedName>
    <definedName name="Y">'[23]Input Data'!$I$17</definedName>
    <definedName name="Ybar">'[23]Input Data'!$N$20</definedName>
    <definedName name="YesNo" comment="YES/NO">'[24]Input Sheet'!$C$230:$C$231</definedName>
    <definedName name="β">'[18]fixing of water way crest '!#REF!</definedName>
  </definedNames>
  <calcPr calcId="152511"/>
</workbook>
</file>

<file path=xl/calcChain.xml><?xml version="1.0" encoding="utf-8"?>
<calcChain xmlns="http://schemas.openxmlformats.org/spreadsheetml/2006/main">
  <c r="E149" i="8" l="1"/>
  <c r="H183" i="35"/>
  <c r="I92" i="32"/>
  <c r="D92" i="32"/>
  <c r="I93" i="32"/>
  <c r="I94" i="32"/>
  <c r="D12" i="58"/>
  <c r="E12" i="58"/>
  <c r="F12" i="58"/>
  <c r="G12" i="58"/>
  <c r="H12" i="58"/>
  <c r="C12" i="58"/>
  <c r="K61" i="32"/>
  <c r="I62" i="32" l="1"/>
  <c r="K5" i="35"/>
  <c r="F18" i="35"/>
  <c r="D144" i="8" l="1"/>
  <c r="C144" i="8"/>
  <c r="H144" i="8"/>
  <c r="G144" i="8" s="1"/>
  <c r="A416" i="12"/>
  <c r="K11" i="57"/>
  <c r="M11" i="57" s="1"/>
  <c r="M10" i="57"/>
  <c r="K10" i="57"/>
  <c r="K12" i="57" s="1"/>
  <c r="M12" i="57" s="1"/>
  <c r="Q9" i="57"/>
  <c r="R9" i="57" s="1"/>
  <c r="M9" i="57"/>
  <c r="Q8" i="57"/>
  <c r="R8" i="57" s="1"/>
  <c r="M8" i="57"/>
  <c r="M7" i="57"/>
  <c r="K7" i="57"/>
  <c r="M6" i="57"/>
  <c r="H6" i="57"/>
  <c r="F6" i="57"/>
  <c r="Q5" i="57"/>
  <c r="R5" i="57" s="1"/>
  <c r="H5" i="57"/>
  <c r="H14" i="57" s="1"/>
  <c r="Q4" i="57"/>
  <c r="R4" i="57" s="1"/>
  <c r="R14" i="57" s="1"/>
  <c r="K4" i="57"/>
  <c r="M4" i="57" s="1"/>
  <c r="H4" i="57"/>
  <c r="W14" i="57" l="1"/>
  <c r="W15" i="57" s="1"/>
  <c r="Y14" i="57"/>
  <c r="T14" i="57"/>
  <c r="U14" i="57"/>
  <c r="U15" i="57" s="1"/>
  <c r="M14" i="57"/>
  <c r="Y15" i="57" l="1"/>
  <c r="AA15" i="57" s="1"/>
  <c r="AA14" i="57"/>
  <c r="V14" i="57"/>
  <c r="V15" i="57" s="1"/>
  <c r="H15" i="57"/>
  <c r="H16" i="57" s="1"/>
  <c r="H17" i="57" s="1"/>
  <c r="H18" i="57" s="1"/>
  <c r="N18" i="57" s="1"/>
  <c r="T15" i="57"/>
  <c r="X14" i="57"/>
  <c r="X15" i="57" s="1"/>
  <c r="Z14" i="57" l="1"/>
  <c r="AB14" i="57" s="1"/>
  <c r="R18" i="57"/>
  <c r="V16" i="57"/>
  <c r="W16" i="57"/>
  <c r="Z15" i="57"/>
  <c r="AB15" i="57" s="1"/>
  <c r="AE15" i="57" s="1"/>
  <c r="AD15" i="57" l="1"/>
  <c r="AC15" i="57"/>
  <c r="D266" i="8" l="1"/>
  <c r="K4" i="40"/>
  <c r="K455" i="35"/>
  <c r="F404" i="35"/>
  <c r="K406" i="35"/>
  <c r="K480" i="35"/>
  <c r="K194" i="35" l="1"/>
  <c r="K127" i="35"/>
  <c r="K165" i="35"/>
  <c r="K159" i="35"/>
  <c r="H225" i="8"/>
  <c r="G225" i="8" s="1"/>
  <c r="D225" i="8"/>
  <c r="C225" i="8"/>
  <c r="B225" i="8"/>
  <c r="A126" i="35"/>
  <c r="A95" i="35"/>
  <c r="H121" i="35"/>
  <c r="I120" i="35"/>
  <c r="I119" i="35"/>
  <c r="I118" i="35"/>
  <c r="I117" i="35"/>
  <c r="R112" i="35"/>
  <c r="M112" i="35"/>
  <c r="H112" i="35"/>
  <c r="H24" i="8"/>
  <c r="D24" i="8"/>
  <c r="C24" i="8"/>
  <c r="B24" i="8"/>
  <c r="H23" i="8"/>
  <c r="G23" i="8" s="1"/>
  <c r="D23" i="8"/>
  <c r="C23" i="8"/>
  <c r="B23" i="8"/>
  <c r="H22" i="8"/>
  <c r="G22" i="8" s="1"/>
  <c r="D22" i="8"/>
  <c r="C22" i="8"/>
  <c r="B22" i="8"/>
  <c r="G24" i="8" l="1"/>
  <c r="G75" i="12"/>
  <c r="G74" i="12"/>
  <c r="F6" i="33" l="1"/>
  <c r="H7" i="33" s="1"/>
  <c r="G29" i="33"/>
  <c r="E30" i="33"/>
  <c r="G30" i="33" s="1"/>
  <c r="A16" i="6"/>
  <c r="A17" i="6"/>
  <c r="A18" i="6" s="1"/>
  <c r="A19" i="6" s="1"/>
  <c r="Q81" i="9"/>
  <c r="R81" i="9" s="1"/>
  <c r="Q62" i="9"/>
  <c r="R62" i="9" s="1"/>
  <c r="Q43" i="9"/>
  <c r="R43" i="9" s="1"/>
  <c r="G81" i="9"/>
  <c r="H81" i="9" s="1"/>
  <c r="H93" i="9"/>
  <c r="I92" i="9"/>
  <c r="I91" i="9"/>
  <c r="I90" i="9"/>
  <c r="Q80" i="9"/>
  <c r="R80" i="9" s="1"/>
  <c r="G80" i="9"/>
  <c r="H80" i="9" s="1"/>
  <c r="H74" i="9"/>
  <c r="I73" i="9"/>
  <c r="I72" i="9"/>
  <c r="I71" i="9"/>
  <c r="Q61" i="9"/>
  <c r="R61" i="9" s="1"/>
  <c r="H61" i="9"/>
  <c r="H66" i="9" s="1"/>
  <c r="G61" i="9"/>
  <c r="Q42" i="9"/>
  <c r="R42" i="9" s="1"/>
  <c r="H55" i="9"/>
  <c r="I54" i="9"/>
  <c r="I53" i="9"/>
  <c r="I52" i="9"/>
  <c r="G42" i="9"/>
  <c r="O19" i="33"/>
  <c r="O20" i="33"/>
  <c r="G7" i="33" l="1"/>
  <c r="I7" i="33"/>
  <c r="H85" i="9"/>
  <c r="R85" i="9"/>
  <c r="R66" i="9"/>
  <c r="H42" i="9"/>
  <c r="H47" i="9" s="1"/>
  <c r="R47" i="9"/>
  <c r="M20" i="33"/>
  <c r="M19" i="33"/>
  <c r="I98" i="32" l="1"/>
  <c r="I72" i="32"/>
  <c r="I71" i="32"/>
  <c r="I68" i="32"/>
  <c r="I66" i="32"/>
  <c r="I65" i="32"/>
  <c r="I64" i="32"/>
  <c r="I63" i="32"/>
  <c r="I61" i="32"/>
  <c r="I59" i="32"/>
  <c r="D51" i="32"/>
  <c r="D26" i="32"/>
  <c r="D25" i="32"/>
  <c r="I113" i="32" l="1"/>
  <c r="I112" i="32"/>
  <c r="I88" i="32"/>
  <c r="I86" i="32"/>
  <c r="I31" i="32"/>
  <c r="D28" i="32"/>
  <c r="D27" i="32" l="1"/>
  <c r="D29" i="32"/>
  <c r="D30" i="32"/>
  <c r="D31" i="32"/>
  <c r="D32" i="32"/>
  <c r="D33" i="32"/>
  <c r="D34" i="32"/>
  <c r="D35" i="32"/>
  <c r="D36" i="32"/>
  <c r="D37" i="32"/>
  <c r="D39" i="32"/>
  <c r="D40" i="32"/>
  <c r="D41" i="32"/>
  <c r="D42" i="32"/>
  <c r="D43" i="32"/>
  <c r="D44" i="32"/>
  <c r="D139" i="32"/>
  <c r="D140" i="32"/>
  <c r="D141" i="32"/>
  <c r="D142" i="32"/>
  <c r="D143" i="32"/>
  <c r="D144" i="32"/>
  <c r="D145" i="32"/>
  <c r="D146" i="32"/>
  <c r="D147" i="32"/>
  <c r="D148" i="32"/>
  <c r="D149" i="32"/>
  <c r="D150" i="32"/>
  <c r="D151" i="32"/>
  <c r="D152" i="32"/>
  <c r="D153" i="32"/>
  <c r="D154" i="32"/>
  <c r="D155" i="32"/>
  <c r="D156" i="32"/>
  <c r="D157" i="32"/>
  <c r="D158" i="32"/>
  <c r="D159" i="32"/>
  <c r="D160" i="32"/>
  <c r="D161" i="32"/>
  <c r="D162" i="32"/>
  <c r="D163" i="32"/>
  <c r="D164" i="32"/>
  <c r="D165" i="32"/>
  <c r="D166" i="32"/>
  <c r="D167" i="32"/>
  <c r="D168" i="32"/>
  <c r="D169" i="32"/>
  <c r="D170" i="32"/>
  <c r="D171" i="32"/>
  <c r="D172" i="32"/>
  <c r="D173" i="32"/>
  <c r="D174" i="32"/>
  <c r="D116" i="32"/>
  <c r="D117" i="32"/>
  <c r="D118" i="32"/>
  <c r="D119" i="32"/>
  <c r="D120" i="32"/>
  <c r="D121" i="32"/>
  <c r="D122" i="32"/>
  <c r="D123" i="32"/>
  <c r="D124" i="32"/>
  <c r="D125" i="32"/>
  <c r="D126" i="32"/>
  <c r="D127" i="32"/>
  <c r="D129" i="32"/>
  <c r="D115" i="32"/>
  <c r="D99" i="32"/>
  <c r="D100" i="32"/>
  <c r="D101" i="32"/>
  <c r="D102" i="32"/>
  <c r="D104" i="32"/>
  <c r="D105" i="32"/>
  <c r="D106" i="32"/>
  <c r="D107" i="32"/>
  <c r="D108" i="32"/>
  <c r="D109" i="32"/>
  <c r="D110" i="32"/>
  <c r="D111" i="32"/>
  <c r="D112" i="32"/>
  <c r="D113" i="32"/>
  <c r="D98" i="32"/>
  <c r="D62" i="32"/>
  <c r="D63" i="32"/>
  <c r="D64" i="32"/>
  <c r="D65" i="32"/>
  <c r="D66" i="32"/>
  <c r="D68" i="32"/>
  <c r="D69" i="32"/>
  <c r="D70" i="32"/>
  <c r="D71" i="32"/>
  <c r="D72" i="32"/>
  <c r="D73" i="32"/>
  <c r="D74" i="32"/>
  <c r="D75" i="32"/>
  <c r="D76" i="32"/>
  <c r="D77" i="32"/>
  <c r="D78" i="32"/>
  <c r="D79" i="32"/>
  <c r="D80" i="32"/>
  <c r="D81" i="32"/>
  <c r="D82" i="32"/>
  <c r="D83" i="32"/>
  <c r="D84" i="32"/>
  <c r="D85" i="32"/>
  <c r="D86" i="32"/>
  <c r="D87" i="32"/>
  <c r="D88" i="32"/>
  <c r="D89" i="32"/>
  <c r="D90" i="32"/>
  <c r="D61" i="32"/>
  <c r="D52" i="32"/>
  <c r="D53" i="32"/>
  <c r="D54" i="32"/>
  <c r="D55" i="32"/>
  <c r="D56" i="32"/>
  <c r="D57" i="32"/>
  <c r="D58" i="32"/>
  <c r="I133" i="32" l="1"/>
  <c r="I132" i="32"/>
  <c r="I131" i="32"/>
  <c r="I103" i="32"/>
  <c r="D103" i="32" s="1"/>
  <c r="I96" i="32"/>
  <c r="D96" i="32" s="1"/>
  <c r="I95" i="32"/>
  <c r="D95" i="32" s="1"/>
  <c r="I67" i="32"/>
  <c r="D67" i="32" s="1"/>
  <c r="I130" i="32"/>
  <c r="D130" i="32" s="1"/>
  <c r="D59" i="32"/>
  <c r="I38" i="32"/>
  <c r="D38" i="32" s="1"/>
  <c r="I128" i="32" l="1"/>
  <c r="D128" i="32" s="1"/>
  <c r="Q419" i="12"/>
  <c r="R419" i="12" s="1"/>
  <c r="M421" i="12"/>
  <c r="I434" i="12"/>
  <c r="I433" i="12"/>
  <c r="I432" i="12"/>
  <c r="Q418" i="12"/>
  <c r="R418" i="12" s="1"/>
  <c r="G418" i="12"/>
  <c r="H418" i="12" s="1"/>
  <c r="G417" i="12"/>
  <c r="H417" i="12" s="1"/>
  <c r="M404" i="12"/>
  <c r="L403" i="12"/>
  <c r="M403" i="12" s="1"/>
  <c r="L402" i="12"/>
  <c r="M402" i="12" s="1"/>
  <c r="L401" i="12"/>
  <c r="M401" i="12" s="1"/>
  <c r="L400" i="12"/>
  <c r="M400" i="12" s="1"/>
  <c r="L399" i="12"/>
  <c r="M399" i="12" s="1"/>
  <c r="L398" i="12"/>
  <c r="M398" i="12" s="1"/>
  <c r="Q396" i="12"/>
  <c r="R396" i="12" s="1"/>
  <c r="L396" i="12"/>
  <c r="M396" i="12" s="1"/>
  <c r="H396" i="12"/>
  <c r="Q395" i="12"/>
  <c r="R395" i="12" s="1"/>
  <c r="H395" i="12"/>
  <c r="H427" i="12" l="1"/>
  <c r="R427" i="12"/>
  <c r="H405" i="12"/>
  <c r="R405" i="12"/>
  <c r="H127" i="32" l="1"/>
  <c r="C316" i="8" l="1"/>
  <c r="D277" i="8"/>
  <c r="C277" i="8"/>
  <c r="D276" i="8"/>
  <c r="C276" i="8"/>
  <c r="D275" i="8"/>
  <c r="C275" i="8"/>
  <c r="D274" i="8"/>
  <c r="C274" i="8"/>
  <c r="D273" i="8"/>
  <c r="C273" i="8"/>
  <c r="D272" i="8"/>
  <c r="C272" i="8"/>
  <c r="K113" i="55"/>
  <c r="K112" i="55"/>
  <c r="K111" i="55"/>
  <c r="K110" i="55"/>
  <c r="K92" i="55"/>
  <c r="K91" i="55"/>
  <c r="K90" i="55"/>
  <c r="K89" i="55"/>
  <c r="K71" i="55"/>
  <c r="K70" i="55"/>
  <c r="K69" i="55"/>
  <c r="K68" i="55"/>
  <c r="I124" i="55"/>
  <c r="I123" i="55"/>
  <c r="I122" i="55"/>
  <c r="I121" i="55"/>
  <c r="R116" i="55"/>
  <c r="G111" i="55"/>
  <c r="H111" i="55" s="1"/>
  <c r="G110" i="55"/>
  <c r="H110" i="55" s="1"/>
  <c r="I103" i="55"/>
  <c r="I102" i="55"/>
  <c r="I101" i="55"/>
  <c r="I100" i="55"/>
  <c r="R95" i="55"/>
  <c r="G90" i="55"/>
  <c r="H90" i="55" s="1"/>
  <c r="G89" i="55"/>
  <c r="H89" i="55" s="1"/>
  <c r="I82" i="55"/>
  <c r="I81" i="55"/>
  <c r="I80" i="55"/>
  <c r="I79" i="55"/>
  <c r="R74" i="55"/>
  <c r="G69" i="55"/>
  <c r="H69" i="55" s="1"/>
  <c r="G68" i="55"/>
  <c r="H68" i="55" s="1"/>
  <c r="I61" i="55"/>
  <c r="I60" i="55"/>
  <c r="I59" i="55"/>
  <c r="I58" i="55"/>
  <c r="R53" i="55"/>
  <c r="K48" i="55"/>
  <c r="G48" i="55"/>
  <c r="H48" i="55" s="1"/>
  <c r="K47" i="55"/>
  <c r="G47" i="55"/>
  <c r="H47" i="55" s="1"/>
  <c r="I40" i="55"/>
  <c r="I39" i="55"/>
  <c r="I38" i="55"/>
  <c r="I37" i="55"/>
  <c r="R32" i="55"/>
  <c r="K27" i="55"/>
  <c r="G27" i="55"/>
  <c r="H27" i="55" s="1"/>
  <c r="K26" i="55"/>
  <c r="G26" i="55"/>
  <c r="H26" i="55" s="1"/>
  <c r="I19" i="55"/>
  <c r="I18" i="55"/>
  <c r="I17" i="55"/>
  <c r="I16" i="55"/>
  <c r="R11" i="55"/>
  <c r="K6" i="55"/>
  <c r="G6" i="55"/>
  <c r="H6" i="55" s="1"/>
  <c r="K5" i="55"/>
  <c r="G5" i="55"/>
  <c r="H5" i="55" s="1"/>
  <c r="A25" i="55"/>
  <c r="A46" i="55" s="1"/>
  <c r="A67" i="55" s="1"/>
  <c r="A88" i="55" s="1"/>
  <c r="A109" i="55" s="1"/>
  <c r="H116" i="55" l="1"/>
  <c r="H118" i="55" s="1"/>
  <c r="H74" i="55"/>
  <c r="H76" i="55" s="1"/>
  <c r="H95" i="55"/>
  <c r="H97" i="55" s="1"/>
  <c r="H11" i="55"/>
  <c r="H13" i="55" s="1"/>
  <c r="H32" i="55"/>
  <c r="H34" i="55" s="1"/>
  <c r="H53" i="55"/>
  <c r="H55" i="55" s="1"/>
  <c r="I335" i="54" l="1"/>
  <c r="I334" i="54"/>
  <c r="I333" i="54"/>
  <c r="I332" i="54"/>
  <c r="R327" i="54"/>
  <c r="K322" i="54"/>
  <c r="G322" i="54"/>
  <c r="H322" i="54" s="1"/>
  <c r="K321" i="54"/>
  <c r="G321" i="54"/>
  <c r="H321" i="54" s="1"/>
  <c r="I314" i="54"/>
  <c r="I313" i="54"/>
  <c r="I312" i="54"/>
  <c r="I311" i="54"/>
  <c r="R306" i="54"/>
  <c r="K301" i="54"/>
  <c r="G301" i="54"/>
  <c r="H301" i="54" s="1"/>
  <c r="K300" i="54"/>
  <c r="G300" i="54"/>
  <c r="H300" i="54" s="1"/>
  <c r="H294" i="54"/>
  <c r="I293" i="54"/>
  <c r="I292" i="54"/>
  <c r="I291" i="54"/>
  <c r="I290" i="54"/>
  <c r="R285" i="54"/>
  <c r="M285" i="54"/>
  <c r="H285" i="54"/>
  <c r="I272" i="54"/>
  <c r="I271" i="54"/>
  <c r="I270" i="54"/>
  <c r="I269" i="54"/>
  <c r="R264" i="54"/>
  <c r="K259" i="54"/>
  <c r="G259" i="54"/>
  <c r="H259" i="54" s="1"/>
  <c r="K258" i="54"/>
  <c r="G258" i="54"/>
  <c r="H258" i="54" s="1"/>
  <c r="I251" i="54"/>
  <c r="I250" i="54"/>
  <c r="I249" i="54"/>
  <c r="I248" i="54"/>
  <c r="R243" i="54"/>
  <c r="K238" i="54"/>
  <c r="G238" i="54"/>
  <c r="H238" i="54" s="1"/>
  <c r="K237" i="54"/>
  <c r="G237" i="54"/>
  <c r="H237" i="54" s="1"/>
  <c r="I230" i="54"/>
  <c r="I229" i="54"/>
  <c r="I228" i="54"/>
  <c r="I227" i="54"/>
  <c r="R222" i="54"/>
  <c r="K217" i="54"/>
  <c r="G217" i="54"/>
  <c r="H217" i="54" s="1"/>
  <c r="K216" i="54"/>
  <c r="G216" i="54"/>
  <c r="H216" i="54" s="1"/>
  <c r="H210" i="54"/>
  <c r="I209" i="54"/>
  <c r="I208" i="54"/>
  <c r="I207" i="54"/>
  <c r="I206" i="54"/>
  <c r="R201" i="54"/>
  <c r="M201" i="54"/>
  <c r="H201" i="54"/>
  <c r="I188" i="54"/>
  <c r="I187" i="54"/>
  <c r="I186" i="54"/>
  <c r="I185" i="54"/>
  <c r="R180" i="54"/>
  <c r="K175" i="54"/>
  <c r="G175" i="54"/>
  <c r="H175" i="54" s="1"/>
  <c r="K174" i="54"/>
  <c r="G174" i="54"/>
  <c r="H174" i="54" s="1"/>
  <c r="I167" i="54"/>
  <c r="I166" i="54"/>
  <c r="I165" i="54"/>
  <c r="I164" i="54"/>
  <c r="R159" i="54"/>
  <c r="K154" i="54"/>
  <c r="G154" i="54"/>
  <c r="H154" i="54" s="1"/>
  <c r="K153" i="54"/>
  <c r="G153" i="54"/>
  <c r="H153" i="54" s="1"/>
  <c r="I146" i="54"/>
  <c r="I145" i="54"/>
  <c r="I144" i="54"/>
  <c r="I143" i="54"/>
  <c r="R138" i="54"/>
  <c r="K133" i="54"/>
  <c r="G133" i="54"/>
  <c r="H133" i="54" s="1"/>
  <c r="K132" i="54"/>
  <c r="G132" i="54"/>
  <c r="H132" i="54" s="1"/>
  <c r="H126" i="54"/>
  <c r="I125" i="54"/>
  <c r="I124" i="54"/>
  <c r="I123" i="54"/>
  <c r="I122" i="54"/>
  <c r="R117" i="54"/>
  <c r="M117" i="54"/>
  <c r="H117" i="54"/>
  <c r="I104" i="54"/>
  <c r="I103" i="54"/>
  <c r="I102" i="54"/>
  <c r="I101" i="54"/>
  <c r="R96" i="54"/>
  <c r="K91" i="54"/>
  <c r="G91" i="54"/>
  <c r="H91" i="54" s="1"/>
  <c r="K90" i="54"/>
  <c r="G90" i="54"/>
  <c r="H90" i="54" s="1"/>
  <c r="I83" i="54"/>
  <c r="I82" i="54"/>
  <c r="I81" i="54"/>
  <c r="I80" i="54"/>
  <c r="R75" i="54"/>
  <c r="K70" i="54"/>
  <c r="G70" i="54"/>
  <c r="H70" i="54" s="1"/>
  <c r="K69" i="54"/>
  <c r="G69" i="54"/>
  <c r="H69" i="54" s="1"/>
  <c r="I62" i="54"/>
  <c r="I61" i="54"/>
  <c r="I60" i="54"/>
  <c r="I59" i="54"/>
  <c r="R54" i="54"/>
  <c r="K49" i="54"/>
  <c r="G49" i="54"/>
  <c r="H49" i="54" s="1"/>
  <c r="K48" i="54"/>
  <c r="G48" i="54"/>
  <c r="H48" i="54" s="1"/>
  <c r="H42" i="54"/>
  <c r="I41" i="54"/>
  <c r="I40" i="54"/>
  <c r="I39" i="54"/>
  <c r="I38" i="54"/>
  <c r="R33" i="54"/>
  <c r="M33" i="54"/>
  <c r="H33" i="54"/>
  <c r="I20" i="54"/>
  <c r="I19" i="54"/>
  <c r="I18" i="54"/>
  <c r="I17" i="54"/>
  <c r="R12" i="54"/>
  <c r="K7" i="54"/>
  <c r="G7" i="54"/>
  <c r="H7" i="54" s="1"/>
  <c r="K6" i="54"/>
  <c r="G6" i="54"/>
  <c r="H6" i="54" s="1"/>
  <c r="A5" i="54"/>
  <c r="A26" i="54" s="1"/>
  <c r="A47" i="54" s="1"/>
  <c r="A68" i="54" s="1"/>
  <c r="A89" i="54" s="1"/>
  <c r="A110" i="54" s="1"/>
  <c r="A131" i="54" s="1"/>
  <c r="A152" i="54" s="1"/>
  <c r="A173" i="54" s="1"/>
  <c r="A194" i="54" s="1"/>
  <c r="A215" i="54" s="1"/>
  <c r="A236" i="54" s="1"/>
  <c r="A257" i="54" s="1"/>
  <c r="A278" i="54" s="1"/>
  <c r="A299" i="54" s="1"/>
  <c r="A320" i="54" s="1"/>
  <c r="D331" i="8"/>
  <c r="C332" i="8"/>
  <c r="C331" i="8"/>
  <c r="D328" i="8"/>
  <c r="C329" i="8"/>
  <c r="C328" i="8"/>
  <c r="D325" i="8"/>
  <c r="C326" i="8"/>
  <c r="C325" i="8"/>
  <c r="D322" i="8"/>
  <c r="C323" i="8"/>
  <c r="C322" i="8"/>
  <c r="I82" i="53"/>
  <c r="I81" i="53"/>
  <c r="I80" i="53"/>
  <c r="I79" i="53"/>
  <c r="G72" i="53"/>
  <c r="H72" i="53" s="1"/>
  <c r="G71" i="53"/>
  <c r="H71" i="53" s="1"/>
  <c r="M70" i="53"/>
  <c r="G70" i="53"/>
  <c r="H70" i="53" s="1"/>
  <c r="G69" i="53"/>
  <c r="H69" i="53" s="1"/>
  <c r="Q68" i="53"/>
  <c r="R68" i="53" s="1"/>
  <c r="R74" i="53" s="1"/>
  <c r="G68" i="53"/>
  <c r="H68" i="53" s="1"/>
  <c r="Q47" i="53"/>
  <c r="R47" i="53" s="1"/>
  <c r="R53" i="53" s="1"/>
  <c r="G51" i="53"/>
  <c r="H51" i="53" s="1"/>
  <c r="G50" i="53"/>
  <c r="H50" i="53" s="1"/>
  <c r="G49" i="53"/>
  <c r="H49" i="53" s="1"/>
  <c r="G48" i="53"/>
  <c r="H48" i="53" s="1"/>
  <c r="G47" i="53"/>
  <c r="H47" i="53" s="1"/>
  <c r="Q26" i="53"/>
  <c r="G30" i="53"/>
  <c r="H30" i="53" s="1"/>
  <c r="G29" i="53"/>
  <c r="H29" i="53" s="1"/>
  <c r="G28" i="53"/>
  <c r="H28" i="53" s="1"/>
  <c r="G27" i="53"/>
  <c r="H27" i="53" s="1"/>
  <c r="G26" i="53"/>
  <c r="H26" i="53" s="1"/>
  <c r="Q5" i="53"/>
  <c r="R5" i="53" s="1"/>
  <c r="M7" i="53"/>
  <c r="M8" i="53"/>
  <c r="G9" i="53"/>
  <c r="H9" i="53" s="1"/>
  <c r="G8" i="53"/>
  <c r="H8" i="53" s="1"/>
  <c r="G7" i="53"/>
  <c r="H7" i="53" s="1"/>
  <c r="G6" i="53"/>
  <c r="H6" i="53" s="1"/>
  <c r="G5" i="53"/>
  <c r="H5" i="53" s="1"/>
  <c r="I61" i="53"/>
  <c r="I60" i="53"/>
  <c r="I59" i="53"/>
  <c r="I58" i="53"/>
  <c r="M49" i="53"/>
  <c r="I40" i="53"/>
  <c r="I39" i="53"/>
  <c r="I38" i="53"/>
  <c r="I37" i="53"/>
  <c r="R32" i="53"/>
  <c r="M28" i="53"/>
  <c r="A25" i="53"/>
  <c r="A46" i="53" s="1"/>
  <c r="A67" i="53" s="1"/>
  <c r="I19" i="53"/>
  <c r="I18" i="53"/>
  <c r="I17" i="53"/>
  <c r="I16" i="53"/>
  <c r="R6" i="53"/>
  <c r="Q45" i="52"/>
  <c r="R45" i="52" s="1"/>
  <c r="R50" i="52" s="1"/>
  <c r="I58" i="52"/>
  <c r="I57" i="52"/>
  <c r="I56" i="52"/>
  <c r="I55" i="52"/>
  <c r="M47" i="52"/>
  <c r="G46" i="52"/>
  <c r="H46" i="52" s="1"/>
  <c r="G45" i="52"/>
  <c r="H45" i="52" s="1"/>
  <c r="A44" i="52"/>
  <c r="Q6" i="52"/>
  <c r="R6" i="52" s="1"/>
  <c r="Q5" i="52"/>
  <c r="R5" i="52" s="1"/>
  <c r="I38" i="52"/>
  <c r="I37" i="52"/>
  <c r="I36" i="52"/>
  <c r="I35" i="52"/>
  <c r="M27" i="52"/>
  <c r="M26" i="52"/>
  <c r="G26" i="52"/>
  <c r="H26" i="52" s="1"/>
  <c r="G25" i="52"/>
  <c r="H25" i="52" s="1"/>
  <c r="A24" i="52"/>
  <c r="I18" i="52"/>
  <c r="I17" i="52"/>
  <c r="I16" i="52"/>
  <c r="I15" i="52"/>
  <c r="G6" i="52"/>
  <c r="H6" i="52" s="1"/>
  <c r="G5" i="52"/>
  <c r="H5" i="52" s="1"/>
  <c r="Q4" i="40"/>
  <c r="Q49" i="37"/>
  <c r="Q48" i="37"/>
  <c r="Q46" i="37"/>
  <c r="Q31" i="37"/>
  <c r="Q30" i="37"/>
  <c r="Q28" i="37"/>
  <c r="Q16" i="37"/>
  <c r="Q13" i="37"/>
  <c r="Q17" i="46"/>
  <c r="L18" i="46"/>
  <c r="G21" i="46"/>
  <c r="G20" i="46"/>
  <c r="G19" i="46"/>
  <c r="G18" i="46"/>
  <c r="G17" i="46"/>
  <c r="G31" i="46"/>
  <c r="G5" i="46"/>
  <c r="K5" i="45"/>
  <c r="K4" i="45"/>
  <c r="X20" i="33"/>
  <c r="R11" i="53" l="1"/>
  <c r="R10" i="52"/>
  <c r="H138" i="54"/>
  <c r="H30" i="52"/>
  <c r="R30" i="52" s="1"/>
  <c r="H50" i="52"/>
  <c r="H12" i="54"/>
  <c r="H34" i="54"/>
  <c r="H36" i="54" s="1"/>
  <c r="H37" i="54" s="1"/>
  <c r="H38" i="54" s="1"/>
  <c r="H39" i="54" s="1"/>
  <c r="H40" i="54" s="1"/>
  <c r="H41" i="54" s="1"/>
  <c r="H180" i="54"/>
  <c r="H306" i="54"/>
  <c r="H75" i="54"/>
  <c r="H222" i="54"/>
  <c r="H264" i="54"/>
  <c r="H54" i="54"/>
  <c r="H96" i="54"/>
  <c r="H118" i="54"/>
  <c r="H120" i="54" s="1"/>
  <c r="H121" i="54" s="1"/>
  <c r="H122" i="54" s="1"/>
  <c r="H123" i="54" s="1"/>
  <c r="H124" i="54" s="1"/>
  <c r="H125" i="54" s="1"/>
  <c r="H202" i="54"/>
  <c r="H204" i="54" s="1"/>
  <c r="H205" i="54" s="1"/>
  <c r="H206" i="54" s="1"/>
  <c r="H207" i="54" s="1"/>
  <c r="H208" i="54" s="1"/>
  <c r="H209" i="54" s="1"/>
  <c r="H286" i="54"/>
  <c r="H288" i="54" s="1"/>
  <c r="H289" i="54" s="1"/>
  <c r="H290" i="54" s="1"/>
  <c r="H291" i="54" s="1"/>
  <c r="H292" i="54" s="1"/>
  <c r="H293" i="54" s="1"/>
  <c r="H159" i="54"/>
  <c r="H243" i="54"/>
  <c r="H327" i="54"/>
  <c r="H74" i="53"/>
  <c r="H32" i="53"/>
  <c r="H53" i="53"/>
  <c r="H11" i="53"/>
  <c r="H10" i="52"/>
  <c r="H62" i="33" l="1"/>
  <c r="L48" i="33"/>
  <c r="O48" i="33" s="1"/>
  <c r="K50" i="45" l="1"/>
  <c r="K57" i="45" s="1"/>
  <c r="O49" i="33" l="1"/>
  <c r="L49" i="33"/>
  <c r="R48" i="33" l="1"/>
  <c r="R49" i="33"/>
  <c r="P48" i="33"/>
  <c r="P49" i="33"/>
  <c r="N48" i="33"/>
  <c r="N49" i="33"/>
  <c r="M48" i="33"/>
  <c r="M49" i="33"/>
  <c r="I48" i="33"/>
  <c r="I49" i="33"/>
  <c r="H48" i="33"/>
  <c r="H49" i="33"/>
  <c r="R21" i="33" l="1"/>
  <c r="R22" i="33"/>
  <c r="P21" i="33"/>
  <c r="P22" i="33"/>
  <c r="O21" i="33"/>
  <c r="O22" i="33"/>
  <c r="N21" i="33"/>
  <c r="N22" i="33"/>
  <c r="M21" i="33"/>
  <c r="M22" i="33"/>
  <c r="E21" i="33"/>
  <c r="H21" i="33" s="1"/>
  <c r="J21" i="33" s="1"/>
  <c r="S21" i="33" s="1"/>
  <c r="E22" i="33"/>
  <c r="H22" i="33" s="1"/>
  <c r="J22" i="33" s="1"/>
  <c r="S22" i="33" s="1"/>
  <c r="C21" i="33"/>
  <c r="C22" i="33"/>
  <c r="B21" i="33"/>
  <c r="D21" i="33" s="1"/>
  <c r="B22" i="33"/>
  <c r="D22" i="33" s="1"/>
  <c r="Q22" i="33" l="1"/>
  <c r="Q21" i="33"/>
  <c r="U22" i="33"/>
  <c r="V22" i="33" s="1"/>
  <c r="U21" i="33"/>
  <c r="V21" i="33" s="1"/>
  <c r="L422" i="12" s="1"/>
  <c r="M422" i="12" s="1"/>
  <c r="A140" i="32"/>
  <c r="A141" i="32" s="1"/>
  <c r="A142" i="32" s="1"/>
  <c r="G140" i="32"/>
  <c r="G141" i="32" s="1"/>
  <c r="G142" i="32" s="1"/>
  <c r="E48" i="33"/>
  <c r="E49" i="33"/>
  <c r="C48" i="33"/>
  <c r="C49" i="33"/>
  <c r="B48" i="33"/>
  <c r="D48" i="33" s="1"/>
  <c r="B49" i="33"/>
  <c r="D49" i="33" s="1"/>
  <c r="I389" i="51"/>
  <c r="I388" i="51"/>
  <c r="I387" i="51"/>
  <c r="M377" i="51"/>
  <c r="G374" i="51"/>
  <c r="H374" i="51" s="1"/>
  <c r="G373" i="51"/>
  <c r="H373" i="51" s="1"/>
  <c r="I366" i="51"/>
  <c r="I365" i="51"/>
  <c r="I364" i="51"/>
  <c r="M356" i="51"/>
  <c r="G351" i="51"/>
  <c r="H351" i="51" s="1"/>
  <c r="G350" i="51"/>
  <c r="H350" i="51" s="1"/>
  <c r="I343" i="51"/>
  <c r="I342" i="51"/>
  <c r="I341" i="51"/>
  <c r="M331" i="51"/>
  <c r="G328" i="51"/>
  <c r="H328" i="51" s="1"/>
  <c r="G327" i="51"/>
  <c r="H327" i="51" s="1"/>
  <c r="I320" i="51"/>
  <c r="I319" i="51"/>
  <c r="I318" i="51"/>
  <c r="M310" i="51"/>
  <c r="G305" i="51"/>
  <c r="H305" i="51" s="1"/>
  <c r="G304" i="51"/>
  <c r="H304" i="51" s="1"/>
  <c r="I297" i="51"/>
  <c r="I296" i="51"/>
  <c r="I295" i="51"/>
  <c r="M285" i="51"/>
  <c r="G282" i="51"/>
  <c r="H282" i="51" s="1"/>
  <c r="G281" i="51"/>
  <c r="H281" i="51" s="1"/>
  <c r="I274" i="51"/>
  <c r="I273" i="51"/>
  <c r="I272" i="51"/>
  <c r="M264" i="51"/>
  <c r="G259" i="51"/>
  <c r="H259" i="51" s="1"/>
  <c r="G258" i="51"/>
  <c r="H258" i="51" s="1"/>
  <c r="I251" i="51"/>
  <c r="I250" i="51"/>
  <c r="I249" i="51"/>
  <c r="M239" i="51"/>
  <c r="G236" i="51"/>
  <c r="H236" i="51" s="1"/>
  <c r="G235" i="51"/>
  <c r="H235" i="51" s="1"/>
  <c r="I228" i="51"/>
  <c r="I227" i="51"/>
  <c r="I226" i="51"/>
  <c r="M218" i="51"/>
  <c r="G213" i="51"/>
  <c r="H213" i="51" s="1"/>
  <c r="G212" i="51"/>
  <c r="H212" i="51" s="1"/>
  <c r="I205" i="51"/>
  <c r="I204" i="51"/>
  <c r="I203" i="51"/>
  <c r="M193" i="51"/>
  <c r="G190" i="51"/>
  <c r="H190" i="51" s="1"/>
  <c r="G189" i="51"/>
  <c r="H189" i="51" s="1"/>
  <c r="I182" i="51"/>
  <c r="I181" i="51"/>
  <c r="I180" i="51"/>
  <c r="M172" i="51"/>
  <c r="G167" i="51"/>
  <c r="H167" i="51" s="1"/>
  <c r="G166" i="51"/>
  <c r="H166" i="51" s="1"/>
  <c r="I159" i="51"/>
  <c r="I158" i="51"/>
  <c r="I157" i="51"/>
  <c r="M147" i="51"/>
  <c r="G144" i="51"/>
  <c r="H144" i="51" s="1"/>
  <c r="G143" i="51"/>
  <c r="H143" i="51" s="1"/>
  <c r="I136" i="51"/>
  <c r="I135" i="51"/>
  <c r="I134" i="51"/>
  <c r="M126" i="51"/>
  <c r="G121" i="51"/>
  <c r="H121" i="51" s="1"/>
  <c r="G120" i="51"/>
  <c r="H120" i="51" s="1"/>
  <c r="I113" i="51"/>
  <c r="I112" i="51"/>
  <c r="I111" i="51"/>
  <c r="M101" i="51"/>
  <c r="G98" i="51"/>
  <c r="H98" i="51" s="1"/>
  <c r="G97" i="51"/>
  <c r="H97" i="51" s="1"/>
  <c r="I90" i="51"/>
  <c r="I89" i="51"/>
  <c r="I88" i="51"/>
  <c r="M80" i="51"/>
  <c r="G75" i="51"/>
  <c r="H75" i="51" s="1"/>
  <c r="G74" i="51"/>
  <c r="H74" i="51" s="1"/>
  <c r="A73" i="51"/>
  <c r="A96" i="51" s="1"/>
  <c r="A119" i="51" s="1"/>
  <c r="A142" i="51" s="1"/>
  <c r="A165" i="51" s="1"/>
  <c r="A188" i="51" s="1"/>
  <c r="A211" i="51" s="1"/>
  <c r="A234" i="51" s="1"/>
  <c r="A257" i="51" s="1"/>
  <c r="A280" i="51" s="1"/>
  <c r="A303" i="51" s="1"/>
  <c r="A326" i="51" s="1"/>
  <c r="A349" i="51" s="1"/>
  <c r="A372" i="51" s="1"/>
  <c r="I67" i="51"/>
  <c r="I66" i="51"/>
  <c r="I65" i="51"/>
  <c r="M56" i="51"/>
  <c r="G52" i="51"/>
  <c r="H52" i="51" s="1"/>
  <c r="G51" i="51"/>
  <c r="H51" i="51" s="1"/>
  <c r="A50" i="51"/>
  <c r="I44" i="51"/>
  <c r="I43" i="51"/>
  <c r="I42" i="51"/>
  <c r="M35" i="51"/>
  <c r="G29" i="51"/>
  <c r="H29" i="51" s="1"/>
  <c r="G28" i="51"/>
  <c r="H28" i="51" s="1"/>
  <c r="I21" i="51"/>
  <c r="I20" i="51"/>
  <c r="I19" i="51"/>
  <c r="M11" i="51"/>
  <c r="G6" i="51"/>
  <c r="H6" i="51" s="1"/>
  <c r="G5" i="51"/>
  <c r="H5" i="51" s="1"/>
  <c r="G6" i="47"/>
  <c r="G5" i="47"/>
  <c r="G23" i="38"/>
  <c r="G22" i="38"/>
  <c r="G322" i="34"/>
  <c r="G321" i="34"/>
  <c r="G187" i="34"/>
  <c r="G186" i="34"/>
  <c r="G147" i="34"/>
  <c r="G146" i="34"/>
  <c r="G6" i="40"/>
  <c r="G5" i="40"/>
  <c r="H39" i="38"/>
  <c r="H38" i="38"/>
  <c r="H23" i="38"/>
  <c r="H22" i="38"/>
  <c r="G7" i="38"/>
  <c r="G6" i="38"/>
  <c r="G48" i="37"/>
  <c r="G47" i="37"/>
  <c r="G30" i="37"/>
  <c r="G29" i="37"/>
  <c r="G15" i="37"/>
  <c r="G14" i="37"/>
  <c r="G8" i="46"/>
  <c r="G7" i="46"/>
  <c r="G6" i="46"/>
  <c r="G4" i="46"/>
  <c r="G7" i="45"/>
  <c r="G260" i="51"/>
  <c r="H260" i="51" s="1"/>
  <c r="G33" i="46"/>
  <c r="G32" i="46"/>
  <c r="G34" i="46"/>
  <c r="G30" i="46"/>
  <c r="L9" i="40"/>
  <c r="H207" i="34"/>
  <c r="G49" i="33" l="1"/>
  <c r="J49" i="33" s="1"/>
  <c r="G48" i="33"/>
  <c r="J48" i="33" s="1"/>
  <c r="L111" i="18"/>
  <c r="L86" i="18"/>
  <c r="L61" i="18"/>
  <c r="L36" i="18"/>
  <c r="L11" i="18"/>
  <c r="L183" i="17"/>
  <c r="L139" i="17"/>
  <c r="L117" i="17"/>
  <c r="L95" i="17"/>
  <c r="L73" i="17"/>
  <c r="L51" i="17"/>
  <c r="L29" i="17"/>
  <c r="L6" i="17"/>
  <c r="L161" i="17"/>
  <c r="L160" i="17"/>
  <c r="L110" i="18"/>
  <c r="L85" i="18"/>
  <c r="L60" i="18"/>
  <c r="L35" i="18"/>
  <c r="L10" i="18"/>
  <c r="L182" i="17"/>
  <c r="L138" i="17"/>
  <c r="L116" i="17"/>
  <c r="L94" i="17"/>
  <c r="L72" i="17"/>
  <c r="L50" i="17"/>
  <c r="L28" i="17"/>
  <c r="L5" i="17"/>
  <c r="H14" i="51"/>
  <c r="H16" i="51" s="1"/>
  <c r="H37" i="51"/>
  <c r="H39" i="51" s="1"/>
  <c r="H83" i="51"/>
  <c r="H85" i="51" s="1"/>
  <c r="H129" i="51"/>
  <c r="H131" i="51" s="1"/>
  <c r="H175" i="51"/>
  <c r="H177" i="51" s="1"/>
  <c r="G143" i="32"/>
  <c r="G144" i="32" s="1"/>
  <c r="G145" i="32" s="1"/>
  <c r="G146" i="32" s="1"/>
  <c r="G147" i="32" s="1"/>
  <c r="G148" i="32" s="1"/>
  <c r="G149" i="32" s="1"/>
  <c r="G150" i="32" s="1"/>
  <c r="G151" i="32" s="1"/>
  <c r="G152" i="32" s="1"/>
  <c r="G153" i="32" s="1"/>
  <c r="G154" i="32" s="1"/>
  <c r="G155" i="32" s="1"/>
  <c r="G156" i="32" s="1"/>
  <c r="G157" i="32" s="1"/>
  <c r="G158" i="32" s="1"/>
  <c r="G159" i="32" s="1"/>
  <c r="G160" i="32" s="1"/>
  <c r="G161" i="32" s="1"/>
  <c r="G162" i="32" s="1"/>
  <c r="G163" i="32" s="1"/>
  <c r="G164" i="32" s="1"/>
  <c r="G165" i="32" s="1"/>
  <c r="G166" i="32" s="1"/>
  <c r="G167" i="32" s="1"/>
  <c r="G168" i="32" s="1"/>
  <c r="G169" i="32" s="1"/>
  <c r="G170" i="32" s="1"/>
  <c r="G171" i="32" s="1"/>
  <c r="G172" i="32" s="1"/>
  <c r="G173" i="32" s="1"/>
  <c r="G174" i="32" s="1"/>
  <c r="H290" i="51"/>
  <c r="H292" i="51" s="1"/>
  <c r="H336" i="51"/>
  <c r="H338" i="51" s="1"/>
  <c r="H60" i="51"/>
  <c r="H62" i="51" s="1"/>
  <c r="H106" i="51"/>
  <c r="H108" i="51" s="1"/>
  <c r="H198" i="51"/>
  <c r="H200" i="51" s="1"/>
  <c r="G5" i="38"/>
  <c r="G28" i="37"/>
  <c r="G185" i="34"/>
  <c r="H152" i="51"/>
  <c r="H154" i="51" s="1"/>
  <c r="H244" i="51"/>
  <c r="H246" i="51" s="1"/>
  <c r="H382" i="51"/>
  <c r="H384" i="51" s="1"/>
  <c r="G13" i="37"/>
  <c r="G46" i="37"/>
  <c r="G4" i="40"/>
  <c r="H221" i="51"/>
  <c r="H223" i="51" s="1"/>
  <c r="H359" i="51"/>
  <c r="H361" i="51" s="1"/>
  <c r="H267" i="51"/>
  <c r="H269" i="51" s="1"/>
  <c r="H313" i="51"/>
  <c r="H315" i="51" s="1"/>
  <c r="S48" i="33" l="1"/>
  <c r="Q48" i="33"/>
  <c r="Q49" i="33"/>
  <c r="S49" i="33"/>
  <c r="E20" i="33"/>
  <c r="H20" i="33" s="1"/>
  <c r="J20" i="33" s="1"/>
  <c r="S20" i="33" s="1"/>
  <c r="E23" i="33"/>
  <c r="H23" i="33" s="1"/>
  <c r="E24" i="33"/>
  <c r="H24" i="33" s="1"/>
  <c r="E25" i="33"/>
  <c r="H25" i="33" s="1"/>
  <c r="E26" i="33"/>
  <c r="H26" i="33" s="1"/>
  <c r="E27" i="33"/>
  <c r="E19" i="33"/>
  <c r="H19" i="33" s="1"/>
  <c r="J19" i="33" s="1"/>
  <c r="S19" i="33" s="1"/>
  <c r="H27" i="33"/>
  <c r="Q19" i="33" l="1"/>
  <c r="D55" i="8"/>
  <c r="C55" i="8"/>
  <c r="H160" i="10"/>
  <c r="H55" i="8" s="1"/>
  <c r="G55" i="8" s="1"/>
  <c r="I159" i="10"/>
  <c r="I158" i="10"/>
  <c r="I157" i="10"/>
  <c r="R152" i="10"/>
  <c r="G230" i="8"/>
  <c r="C265" i="8"/>
  <c r="L83" i="33"/>
  <c r="I871" i="35"/>
  <c r="I870" i="35"/>
  <c r="I896" i="35"/>
  <c r="I895" i="35"/>
  <c r="I946" i="35"/>
  <c r="I945" i="35"/>
  <c r="I921" i="35"/>
  <c r="I920" i="35"/>
  <c r="I846" i="35"/>
  <c r="I845" i="35"/>
  <c r="I821" i="35"/>
  <c r="I820" i="35"/>
  <c r="I796" i="35"/>
  <c r="I795" i="35"/>
  <c r="I771" i="35"/>
  <c r="I770" i="35"/>
  <c r="I746" i="35"/>
  <c r="I745" i="35"/>
  <c r="I721" i="35"/>
  <c r="I720" i="35"/>
  <c r="I696" i="35"/>
  <c r="I695" i="35"/>
  <c r="I671" i="35"/>
  <c r="I670" i="35"/>
  <c r="I646" i="35"/>
  <c r="I645" i="35"/>
  <c r="I621" i="35"/>
  <c r="I620" i="35"/>
  <c r="I596" i="35"/>
  <c r="I595" i="35"/>
  <c r="I571" i="35"/>
  <c r="I570" i="35"/>
  <c r="I546" i="35"/>
  <c r="I545" i="35"/>
  <c r="I521" i="35"/>
  <c r="I520" i="35"/>
  <c r="I496" i="35"/>
  <c r="I495" i="35"/>
  <c r="I471" i="35"/>
  <c r="I470" i="35"/>
  <c r="I446" i="35"/>
  <c r="I445" i="35"/>
  <c r="I421" i="35"/>
  <c r="I420" i="35"/>
  <c r="I396" i="35"/>
  <c r="I395" i="35"/>
  <c r="I371" i="35"/>
  <c r="I370" i="35"/>
  <c r="I346" i="35"/>
  <c r="I345" i="35"/>
  <c r="I321" i="35"/>
  <c r="I320" i="35"/>
  <c r="I294" i="35"/>
  <c r="I296" i="35"/>
  <c r="I295" i="35"/>
  <c r="K230" i="35"/>
  <c r="F5" i="49"/>
  <c r="G25" i="47"/>
  <c r="H25" i="47" s="1"/>
  <c r="G128" i="35"/>
  <c r="H128" i="35" s="1"/>
  <c r="K5" i="40"/>
  <c r="D279" i="8"/>
  <c r="C279" i="8"/>
  <c r="L50" i="33"/>
  <c r="O50" i="33" s="1"/>
  <c r="I187" i="34"/>
  <c r="Q27" i="34"/>
  <c r="R27" i="34" s="1"/>
  <c r="Q853" i="35"/>
  <c r="R853" i="35" s="1"/>
  <c r="Q4" i="46"/>
  <c r="R17" i="46" s="1"/>
  <c r="R22" i="46" s="1"/>
  <c r="Q6" i="49"/>
  <c r="Q32" i="45"/>
  <c r="Q29" i="45"/>
  <c r="R4" i="40"/>
  <c r="R11" i="40" s="1"/>
  <c r="Q48" i="21"/>
  <c r="R48" i="21" s="1"/>
  <c r="Q47" i="21"/>
  <c r="R47" i="21" s="1"/>
  <c r="Q10" i="35"/>
  <c r="R10" i="35" s="1"/>
  <c r="Q74" i="10"/>
  <c r="R74" i="10" s="1"/>
  <c r="H142" i="10"/>
  <c r="H54" i="8" s="1"/>
  <c r="G54" i="8" s="1"/>
  <c r="O58" i="33"/>
  <c r="M58" i="33"/>
  <c r="H58" i="33"/>
  <c r="E58" i="33"/>
  <c r="G58" i="33" s="1"/>
  <c r="D58" i="33"/>
  <c r="C58" i="33"/>
  <c r="B58" i="33"/>
  <c r="M32" i="33"/>
  <c r="G255" i="35"/>
  <c r="H255" i="35" s="1"/>
  <c r="I21" i="49"/>
  <c r="I23" i="49"/>
  <c r="I22" i="49"/>
  <c r="D319" i="8"/>
  <c r="C319" i="8"/>
  <c r="K7" i="49"/>
  <c r="F7" i="49"/>
  <c r="F6" i="49"/>
  <c r="P9" i="49"/>
  <c r="P6" i="49"/>
  <c r="P5" i="49"/>
  <c r="K5" i="49"/>
  <c r="K11" i="49"/>
  <c r="K13" i="49" s="1"/>
  <c r="M9" i="49"/>
  <c r="R8" i="49"/>
  <c r="K8" i="49"/>
  <c r="C315" i="8"/>
  <c r="D311" i="8"/>
  <c r="C311" i="8"/>
  <c r="G5" i="48"/>
  <c r="H5" i="48" s="1"/>
  <c r="I15" i="48"/>
  <c r="I14" i="48"/>
  <c r="I13" i="48"/>
  <c r="R8" i="48"/>
  <c r="G5" i="11"/>
  <c r="H5" i="11" s="1"/>
  <c r="D131" i="32"/>
  <c r="D132" i="32"/>
  <c r="D133" i="32"/>
  <c r="I152" i="35"/>
  <c r="I151" i="35"/>
  <c r="D278" i="8"/>
  <c r="C278" i="8"/>
  <c r="I58" i="47"/>
  <c r="I57" i="47"/>
  <c r="I56" i="47"/>
  <c r="R51" i="47"/>
  <c r="I38" i="47"/>
  <c r="I37" i="47"/>
  <c r="I36" i="47"/>
  <c r="R31" i="47"/>
  <c r="A24" i="47"/>
  <c r="A44" i="47" s="1"/>
  <c r="I18" i="47"/>
  <c r="I17" i="47"/>
  <c r="I16" i="47"/>
  <c r="R11" i="47"/>
  <c r="D271" i="8"/>
  <c r="C271" i="8"/>
  <c r="R43" i="38"/>
  <c r="D270" i="8"/>
  <c r="C270" i="8"/>
  <c r="D269" i="8"/>
  <c r="C269" i="8"/>
  <c r="D268" i="8"/>
  <c r="C268" i="8"/>
  <c r="D267" i="8"/>
  <c r="C267" i="8"/>
  <c r="C266" i="8"/>
  <c r="D265" i="8"/>
  <c r="D264" i="8"/>
  <c r="C264" i="8"/>
  <c r="I334" i="34"/>
  <c r="I333" i="34"/>
  <c r="I332" i="34"/>
  <c r="I331" i="34"/>
  <c r="K34" i="46"/>
  <c r="M34" i="46" s="1"/>
  <c r="F34" i="46"/>
  <c r="F32" i="46"/>
  <c r="F31" i="46"/>
  <c r="F30" i="46"/>
  <c r="F21" i="46"/>
  <c r="F20" i="46"/>
  <c r="H20" i="46" s="1"/>
  <c r="F19" i="46"/>
  <c r="M18" i="46"/>
  <c r="F18" i="46"/>
  <c r="F17" i="46"/>
  <c r="L19" i="46"/>
  <c r="M5" i="46"/>
  <c r="F4" i="46"/>
  <c r="F185" i="34"/>
  <c r="I314" i="34"/>
  <c r="I313" i="34"/>
  <c r="I312" i="34"/>
  <c r="I311" i="34"/>
  <c r="R306" i="34"/>
  <c r="M306" i="34"/>
  <c r="H306" i="34"/>
  <c r="Q6" i="45"/>
  <c r="R6" i="45" s="1"/>
  <c r="I93" i="45"/>
  <c r="F87" i="45"/>
  <c r="K81" i="45"/>
  <c r="K75" i="45"/>
  <c r="K76" i="45" s="1"/>
  <c r="I68" i="45"/>
  <c r="F62" i="45"/>
  <c r="G61" i="45"/>
  <c r="G60" i="45"/>
  <c r="G85" i="45" s="1"/>
  <c r="H85" i="45" s="1"/>
  <c r="I44" i="45"/>
  <c r="G38" i="45"/>
  <c r="H38" i="45" s="1"/>
  <c r="G37" i="45"/>
  <c r="H37" i="45" s="1"/>
  <c r="K33" i="45"/>
  <c r="K27" i="45"/>
  <c r="A26" i="45"/>
  <c r="A49" i="45" s="1"/>
  <c r="A74" i="45" s="1"/>
  <c r="I21" i="45"/>
  <c r="H15" i="45"/>
  <c r="H14" i="45"/>
  <c r="I26" i="35"/>
  <c r="D127" i="8"/>
  <c r="C127" i="8"/>
  <c r="M11" i="12"/>
  <c r="I21" i="12"/>
  <c r="I20" i="12"/>
  <c r="I19" i="12"/>
  <c r="Q6" i="12"/>
  <c r="R6" i="12" s="1"/>
  <c r="K12" i="49"/>
  <c r="M12" i="49" s="1"/>
  <c r="K82" i="45"/>
  <c r="K83" i="45"/>
  <c r="K34" i="45"/>
  <c r="K35" i="45"/>
  <c r="K28" i="45"/>
  <c r="C259" i="8"/>
  <c r="C258" i="8"/>
  <c r="D263" i="8"/>
  <c r="D262" i="8"/>
  <c r="D261" i="8"/>
  <c r="C263" i="8"/>
  <c r="C262" i="8"/>
  <c r="C261" i="8"/>
  <c r="K9" i="40"/>
  <c r="M9" i="40" s="1"/>
  <c r="B45" i="40"/>
  <c r="B46" i="40" s="1"/>
  <c r="I16" i="40"/>
  <c r="G16" i="40"/>
  <c r="D3" i="37"/>
  <c r="D4" i="37" s="1"/>
  <c r="P13" i="37" s="1"/>
  <c r="R55" i="33"/>
  <c r="L56" i="33"/>
  <c r="O56" i="33" s="1"/>
  <c r="L55" i="33"/>
  <c r="M55" i="33" s="1"/>
  <c r="H55" i="33"/>
  <c r="H56" i="33"/>
  <c r="E56" i="33"/>
  <c r="G56" i="33" s="1"/>
  <c r="E55" i="33"/>
  <c r="G55" i="33" s="1"/>
  <c r="C56" i="33"/>
  <c r="C55" i="33"/>
  <c r="B56" i="33"/>
  <c r="D56" i="33" s="1"/>
  <c r="B55" i="33"/>
  <c r="L57" i="33"/>
  <c r="H57" i="33"/>
  <c r="E57" i="33"/>
  <c r="G57" i="33" s="1"/>
  <c r="C57" i="33"/>
  <c r="B57" i="33"/>
  <c r="D57" i="33" s="1"/>
  <c r="L54" i="33"/>
  <c r="H54" i="33"/>
  <c r="E54" i="33"/>
  <c r="G54" i="33" s="1"/>
  <c r="C54" i="33"/>
  <c r="B54" i="33"/>
  <c r="R27" i="38"/>
  <c r="W52" i="37"/>
  <c r="W53" i="37" s="1"/>
  <c r="W34" i="37"/>
  <c r="W35" i="37"/>
  <c r="F30" i="37"/>
  <c r="W19" i="37"/>
  <c r="W20" i="37" s="1"/>
  <c r="F15" i="37"/>
  <c r="F14" i="37"/>
  <c r="J6" i="37"/>
  <c r="J7" i="37" s="1"/>
  <c r="G6" i="37"/>
  <c r="G7" i="37" s="1"/>
  <c r="D6" i="37"/>
  <c r="D7" i="37" s="1"/>
  <c r="J3" i="37"/>
  <c r="J4" i="37" s="1"/>
  <c r="K46" i="37" s="1"/>
  <c r="G3" i="37"/>
  <c r="G4" i="37"/>
  <c r="I304" i="8"/>
  <c r="D307" i="8"/>
  <c r="C307" i="8"/>
  <c r="H16" i="36"/>
  <c r="H307" i="8" s="1"/>
  <c r="G307" i="8" s="1"/>
  <c r="H20" i="7"/>
  <c r="H6" i="8" s="1"/>
  <c r="G6" i="8" s="1"/>
  <c r="C156" i="8"/>
  <c r="H29" i="33"/>
  <c r="I15" i="36"/>
  <c r="I14" i="36"/>
  <c r="I13" i="36"/>
  <c r="C204" i="8"/>
  <c r="H83" i="33"/>
  <c r="H84" i="33"/>
  <c r="H85" i="33"/>
  <c r="H86" i="33"/>
  <c r="H87" i="33"/>
  <c r="H88" i="33"/>
  <c r="H89" i="33"/>
  <c r="H90" i="33"/>
  <c r="H91" i="33"/>
  <c r="H92" i="33"/>
  <c r="H93" i="33"/>
  <c r="H94" i="33"/>
  <c r="H95" i="33"/>
  <c r="H96" i="33"/>
  <c r="H97" i="33"/>
  <c r="H98" i="33"/>
  <c r="H99" i="33"/>
  <c r="H100" i="33"/>
  <c r="H82" i="33"/>
  <c r="H67" i="33"/>
  <c r="H68" i="33"/>
  <c r="H69" i="33"/>
  <c r="H70" i="33"/>
  <c r="H71" i="33"/>
  <c r="H72" i="33"/>
  <c r="H73" i="33"/>
  <c r="H74" i="33"/>
  <c r="H75" i="33"/>
  <c r="H76" i="33"/>
  <c r="H77" i="33"/>
  <c r="H78" i="33"/>
  <c r="H79" i="33"/>
  <c r="H80" i="33"/>
  <c r="H66" i="33"/>
  <c r="H61" i="33"/>
  <c r="H63" i="33"/>
  <c r="H64" i="33"/>
  <c r="H60" i="33"/>
  <c r="H30" i="33"/>
  <c r="J30" i="33" s="1"/>
  <c r="H31" i="33"/>
  <c r="H32" i="33"/>
  <c r="H33" i="33"/>
  <c r="H34" i="33"/>
  <c r="H35" i="33"/>
  <c r="H36" i="33"/>
  <c r="H37" i="33"/>
  <c r="H38" i="33"/>
  <c r="H39" i="33"/>
  <c r="H40" i="33"/>
  <c r="H41" i="33"/>
  <c r="H42" i="33"/>
  <c r="H43" i="33"/>
  <c r="H44" i="33"/>
  <c r="H45" i="33"/>
  <c r="H46" i="33"/>
  <c r="H47" i="33"/>
  <c r="H50" i="33"/>
  <c r="H51" i="33"/>
  <c r="H52" i="33"/>
  <c r="H53" i="33"/>
  <c r="G45" i="40"/>
  <c r="C45" i="40"/>
  <c r="K26" i="11"/>
  <c r="K25" i="11"/>
  <c r="K5" i="11"/>
  <c r="I57" i="33"/>
  <c r="I58" i="33"/>
  <c r="B41" i="33"/>
  <c r="L41" i="33"/>
  <c r="O41" i="33" s="1"/>
  <c r="O29" i="33"/>
  <c r="O23" i="33"/>
  <c r="L98" i="33"/>
  <c r="M98" i="33" s="1"/>
  <c r="L100" i="33"/>
  <c r="K5" i="10"/>
  <c r="L14" i="10"/>
  <c r="P5" i="10" s="1"/>
  <c r="K133" i="35"/>
  <c r="F304" i="8"/>
  <c r="J304" i="8" s="1"/>
  <c r="K166" i="34"/>
  <c r="K165" i="34"/>
  <c r="K164" i="34"/>
  <c r="K163" i="34"/>
  <c r="E297" i="8"/>
  <c r="F297" i="8" s="1"/>
  <c r="J297" i="8" s="1"/>
  <c r="E303" i="8"/>
  <c r="G303" i="8"/>
  <c r="C254" i="8"/>
  <c r="C253" i="8"/>
  <c r="C252" i="8"/>
  <c r="C251" i="8"/>
  <c r="C250" i="8"/>
  <c r="C249" i="8"/>
  <c r="C248" i="8"/>
  <c r="C247" i="8"/>
  <c r="C246" i="8"/>
  <c r="C245" i="8"/>
  <c r="C244" i="8"/>
  <c r="C243" i="8"/>
  <c r="C242" i="8"/>
  <c r="C241" i="8"/>
  <c r="C240" i="8"/>
  <c r="C239" i="8"/>
  <c r="C238" i="8"/>
  <c r="C237" i="8"/>
  <c r="C236" i="8"/>
  <c r="G302" i="8"/>
  <c r="I302" i="8" s="1"/>
  <c r="F302" i="8"/>
  <c r="J302" i="8" s="1"/>
  <c r="G301" i="8"/>
  <c r="I301" i="8" s="1"/>
  <c r="F301" i="8"/>
  <c r="J301" i="8" s="1"/>
  <c r="G300" i="8"/>
  <c r="E300" i="8"/>
  <c r="F300" i="8" s="1"/>
  <c r="J300" i="8" s="1"/>
  <c r="G299" i="8"/>
  <c r="E299" i="8"/>
  <c r="F299" i="8" s="1"/>
  <c r="J299" i="8" s="1"/>
  <c r="G298" i="8"/>
  <c r="I298" i="8" s="1"/>
  <c r="F298" i="8"/>
  <c r="J298" i="8" s="1"/>
  <c r="B298" i="8"/>
  <c r="B299" i="8" s="1"/>
  <c r="B300" i="8" s="1"/>
  <c r="B301" i="8" s="1"/>
  <c r="B302" i="8" s="1"/>
  <c r="B303" i="8" s="1"/>
  <c r="B304" i="8" s="1"/>
  <c r="G297" i="8"/>
  <c r="D294" i="8"/>
  <c r="C294" i="8"/>
  <c r="D293" i="8"/>
  <c r="C293" i="8"/>
  <c r="D292" i="8"/>
  <c r="C292" i="8"/>
  <c r="D291" i="8"/>
  <c r="C291" i="8"/>
  <c r="D290" i="8"/>
  <c r="C290" i="8"/>
  <c r="D289" i="8"/>
  <c r="C289" i="8"/>
  <c r="D288" i="8"/>
  <c r="C288" i="8"/>
  <c r="D287" i="8"/>
  <c r="C287" i="8"/>
  <c r="D286" i="8"/>
  <c r="C286" i="8"/>
  <c r="D285" i="8"/>
  <c r="C285" i="8"/>
  <c r="D284" i="8"/>
  <c r="C284" i="8"/>
  <c r="D283" i="8"/>
  <c r="C283" i="8"/>
  <c r="D282" i="8"/>
  <c r="C282" i="8"/>
  <c r="B282" i="8"/>
  <c r="D260" i="8"/>
  <c r="C260" i="8"/>
  <c r="D257" i="8"/>
  <c r="C257" i="8"/>
  <c r="D256" i="8"/>
  <c r="C256" i="8"/>
  <c r="D255" i="8"/>
  <c r="C255" i="8"/>
  <c r="D254" i="8"/>
  <c r="D253" i="8"/>
  <c r="D252" i="8"/>
  <c r="D251" i="8"/>
  <c r="D250" i="8"/>
  <c r="D249" i="8"/>
  <c r="D248" i="8"/>
  <c r="D247" i="8"/>
  <c r="D246" i="8"/>
  <c r="D245" i="8"/>
  <c r="D244" i="8"/>
  <c r="D243" i="8"/>
  <c r="D242" i="8"/>
  <c r="D241" i="8"/>
  <c r="D240" i="8"/>
  <c r="D239" i="8"/>
  <c r="D238" i="8"/>
  <c r="D237" i="8"/>
  <c r="D236" i="8"/>
  <c r="D235" i="8"/>
  <c r="C235" i="8"/>
  <c r="D234" i="8"/>
  <c r="C234" i="8"/>
  <c r="D233" i="8"/>
  <c r="C233" i="8"/>
  <c r="D229" i="8"/>
  <c r="C229" i="8"/>
  <c r="D226" i="8"/>
  <c r="C226" i="8"/>
  <c r="D224" i="8"/>
  <c r="C224" i="8"/>
  <c r="D223" i="8"/>
  <c r="C223" i="8"/>
  <c r="D222" i="8"/>
  <c r="C222" i="8"/>
  <c r="B222" i="8"/>
  <c r="D219" i="8"/>
  <c r="C219" i="8"/>
  <c r="D218" i="8"/>
  <c r="C218" i="8"/>
  <c r="B218" i="8"/>
  <c r="D215" i="8"/>
  <c r="C215" i="8"/>
  <c r="D214" i="8"/>
  <c r="C214" i="8"/>
  <c r="D213" i="8"/>
  <c r="C213" i="8"/>
  <c r="D212" i="8"/>
  <c r="C212" i="8"/>
  <c r="B212" i="8"/>
  <c r="D209" i="8"/>
  <c r="C209" i="8"/>
  <c r="D208" i="8"/>
  <c r="C208" i="8"/>
  <c r="D207" i="8"/>
  <c r="C207" i="8"/>
  <c r="B207" i="8"/>
  <c r="D204" i="8"/>
  <c r="D203" i="8"/>
  <c r="C203" i="8"/>
  <c r="D202" i="8"/>
  <c r="C202" i="8"/>
  <c r="B202" i="8"/>
  <c r="D199" i="8"/>
  <c r="C199" i="8"/>
  <c r="B199" i="8"/>
  <c r="D196" i="8"/>
  <c r="C196" i="8"/>
  <c r="D195" i="8"/>
  <c r="C195" i="8"/>
  <c r="D194" i="8"/>
  <c r="C194" i="8"/>
  <c r="D193" i="8"/>
  <c r="C193" i="8"/>
  <c r="D192" i="8"/>
  <c r="C192" i="8"/>
  <c r="B192" i="8"/>
  <c r="D189" i="8"/>
  <c r="C189" i="8"/>
  <c r="B189" i="8"/>
  <c r="D186" i="8"/>
  <c r="C186" i="8"/>
  <c r="D185" i="8"/>
  <c r="C185" i="8"/>
  <c r="D184" i="8"/>
  <c r="C184" i="8"/>
  <c r="D183" i="8"/>
  <c r="C183" i="8"/>
  <c r="D182" i="8"/>
  <c r="C182" i="8"/>
  <c r="B182" i="8"/>
  <c r="D179" i="8"/>
  <c r="C179" i="8"/>
  <c r="D178" i="8"/>
  <c r="C178" i="8"/>
  <c r="D177" i="8"/>
  <c r="C177" i="8"/>
  <c r="D176" i="8"/>
  <c r="C176" i="8"/>
  <c r="D175" i="8"/>
  <c r="C175" i="8"/>
  <c r="D174" i="8"/>
  <c r="C174" i="8"/>
  <c r="D173" i="8"/>
  <c r="C173" i="8"/>
  <c r="D172" i="8"/>
  <c r="C172" i="8"/>
  <c r="D171" i="8"/>
  <c r="C171" i="8"/>
  <c r="D170" i="8"/>
  <c r="C170" i="8"/>
  <c r="B170" i="8"/>
  <c r="D167" i="8"/>
  <c r="C167" i="8"/>
  <c r="D166" i="8"/>
  <c r="C166" i="8"/>
  <c r="D165" i="8"/>
  <c r="C165" i="8"/>
  <c r="D164" i="8"/>
  <c r="C164" i="8"/>
  <c r="D163" i="8"/>
  <c r="C163" i="8"/>
  <c r="D162" i="8"/>
  <c r="C162" i="8"/>
  <c r="D161" i="8"/>
  <c r="C161" i="8"/>
  <c r="D160" i="8"/>
  <c r="C160" i="8"/>
  <c r="B160" i="8"/>
  <c r="D157" i="8"/>
  <c r="C157" i="8"/>
  <c r="D156" i="8"/>
  <c r="D155" i="8"/>
  <c r="C155" i="8"/>
  <c r="D154" i="8"/>
  <c r="C154" i="8"/>
  <c r="D153" i="8"/>
  <c r="C153" i="8"/>
  <c r="D152" i="8"/>
  <c r="C152" i="8"/>
  <c r="B152" i="8"/>
  <c r="D149" i="8"/>
  <c r="C149" i="8"/>
  <c r="D148" i="8"/>
  <c r="C148" i="8"/>
  <c r="D147" i="8"/>
  <c r="C147" i="8"/>
  <c r="B147" i="8"/>
  <c r="D143" i="8"/>
  <c r="C143" i="8"/>
  <c r="D142" i="8"/>
  <c r="C142" i="8"/>
  <c r="D141" i="8"/>
  <c r="C141" i="8"/>
  <c r="D140" i="8"/>
  <c r="C140" i="8"/>
  <c r="D139" i="8"/>
  <c r="C139" i="8"/>
  <c r="D138" i="8"/>
  <c r="C138" i="8"/>
  <c r="D137" i="8"/>
  <c r="C137" i="8"/>
  <c r="D136" i="8"/>
  <c r="C136" i="8"/>
  <c r="D135" i="8"/>
  <c r="C135" i="8"/>
  <c r="D134" i="8"/>
  <c r="C134" i="8"/>
  <c r="D133" i="8"/>
  <c r="C133" i="8"/>
  <c r="D132" i="8"/>
  <c r="C132" i="8"/>
  <c r="D131" i="8"/>
  <c r="C131" i="8"/>
  <c r="D130" i="8"/>
  <c r="C130" i="8"/>
  <c r="D129" i="8"/>
  <c r="C129" i="8"/>
  <c r="D128" i="8"/>
  <c r="C128" i="8"/>
  <c r="D124" i="8"/>
  <c r="C124" i="8"/>
  <c r="D123" i="8"/>
  <c r="C123" i="8"/>
  <c r="G110" i="8"/>
  <c r="E110" i="8"/>
  <c r="D110" i="8"/>
  <c r="D111" i="8" s="1"/>
  <c r="D112" i="8" s="1"/>
  <c r="D113" i="8" s="1"/>
  <c r="D114" i="8" s="1"/>
  <c r="D115" i="8" s="1"/>
  <c r="D116" i="8" s="1"/>
  <c r="D117" i="8" s="1"/>
  <c r="D118" i="8" s="1"/>
  <c r="D119" i="8" s="1"/>
  <c r="D120" i="8" s="1"/>
  <c r="D121" i="8" s="1"/>
  <c r="D122" i="8" s="1"/>
  <c r="C110" i="8"/>
  <c r="D109" i="8"/>
  <c r="C109" i="8"/>
  <c r="D108" i="8"/>
  <c r="C108" i="8"/>
  <c r="D107" i="8"/>
  <c r="C107" i="8"/>
  <c r="G94" i="8"/>
  <c r="E94" i="8"/>
  <c r="D94" i="8"/>
  <c r="D95" i="8" s="1"/>
  <c r="D96" i="8" s="1"/>
  <c r="D97" i="8" s="1"/>
  <c r="D98" i="8" s="1"/>
  <c r="D99" i="8" s="1"/>
  <c r="D100" i="8" s="1"/>
  <c r="D101" i="8" s="1"/>
  <c r="D102" i="8" s="1"/>
  <c r="D103" i="8" s="1"/>
  <c r="D104" i="8" s="1"/>
  <c r="D105" i="8" s="1"/>
  <c r="D106" i="8" s="1"/>
  <c r="C94" i="8"/>
  <c r="D93" i="8"/>
  <c r="C93" i="8"/>
  <c r="D92" i="8"/>
  <c r="C92" i="8"/>
  <c r="D91" i="8"/>
  <c r="C91" i="8"/>
  <c r="J78" i="8"/>
  <c r="G78" i="8"/>
  <c r="E78" i="8"/>
  <c r="D78" i="8"/>
  <c r="D79" i="8" s="1"/>
  <c r="D80" i="8" s="1"/>
  <c r="D81" i="8" s="1"/>
  <c r="D82" i="8" s="1"/>
  <c r="D83" i="8" s="1"/>
  <c r="D84" i="8" s="1"/>
  <c r="D85" i="8" s="1"/>
  <c r="D86" i="8" s="1"/>
  <c r="D87" i="8" s="1"/>
  <c r="D88" i="8" s="1"/>
  <c r="D89" i="8" s="1"/>
  <c r="D90" i="8" s="1"/>
  <c r="C78" i="8"/>
  <c r="D77" i="8"/>
  <c r="C77" i="8"/>
  <c r="D76" i="8"/>
  <c r="C76" i="8"/>
  <c r="D75" i="8"/>
  <c r="C75" i="8"/>
  <c r="E62" i="8"/>
  <c r="D62" i="8"/>
  <c r="D63" i="8" s="1"/>
  <c r="D64" i="8" s="1"/>
  <c r="D65" i="8" s="1"/>
  <c r="D66" i="8" s="1"/>
  <c r="D67" i="8" s="1"/>
  <c r="D68" i="8" s="1"/>
  <c r="D69" i="8" s="1"/>
  <c r="D70" i="8" s="1"/>
  <c r="D71" i="8" s="1"/>
  <c r="D72" i="8" s="1"/>
  <c r="D73" i="8" s="1"/>
  <c r="D74" i="8" s="1"/>
  <c r="C62" i="8"/>
  <c r="D61" i="8"/>
  <c r="C61" i="8"/>
  <c r="D60" i="8"/>
  <c r="C60" i="8"/>
  <c r="D59" i="8"/>
  <c r="C59" i="8"/>
  <c r="D58" i="8"/>
  <c r="C58" i="8"/>
  <c r="B58" i="8"/>
  <c r="D54" i="8"/>
  <c r="C54" i="8"/>
  <c r="D53" i="8"/>
  <c r="C53" i="8"/>
  <c r="D52" i="8"/>
  <c r="C52" i="8"/>
  <c r="D51" i="8"/>
  <c r="C51" i="8"/>
  <c r="D50" i="8"/>
  <c r="C50" i="8"/>
  <c r="D49" i="8"/>
  <c r="C49" i="8"/>
  <c r="D48" i="8"/>
  <c r="C48" i="8"/>
  <c r="D47" i="8"/>
  <c r="C47" i="8"/>
  <c r="B47" i="8"/>
  <c r="D44" i="8"/>
  <c r="C44" i="8"/>
  <c r="D43" i="8"/>
  <c r="C43" i="8"/>
  <c r="D42" i="8"/>
  <c r="C42" i="8"/>
  <c r="E41" i="8"/>
  <c r="D41" i="8"/>
  <c r="C41" i="8"/>
  <c r="D40" i="8"/>
  <c r="C40" i="8"/>
  <c r="D39" i="8"/>
  <c r="C39" i="8"/>
  <c r="D38" i="8"/>
  <c r="C38" i="8"/>
  <c r="D37" i="8"/>
  <c r="C37" i="8"/>
  <c r="E36" i="8"/>
  <c r="D36" i="8"/>
  <c r="C36" i="8"/>
  <c r="D35" i="8"/>
  <c r="C35" i="8"/>
  <c r="D34" i="8"/>
  <c r="C34" i="8"/>
  <c r="D33" i="8"/>
  <c r="C33" i="8"/>
  <c r="D32" i="8"/>
  <c r="C32" i="8"/>
  <c r="D31" i="8"/>
  <c r="C31" i="8"/>
  <c r="D30" i="8"/>
  <c r="C30" i="8"/>
  <c r="D29" i="8"/>
  <c r="C29" i="8"/>
  <c r="D28" i="8"/>
  <c r="C28" i="8"/>
  <c r="D27" i="8"/>
  <c r="C27" i="8"/>
  <c r="D26" i="8"/>
  <c r="C26" i="8"/>
  <c r="D25" i="8"/>
  <c r="C25" i="8"/>
  <c r="D21" i="8"/>
  <c r="C21" i="8"/>
  <c r="D20" i="8"/>
  <c r="C20" i="8"/>
  <c r="B20" i="8"/>
  <c r="D17" i="8"/>
  <c r="C17" i="8"/>
  <c r="D16" i="8"/>
  <c r="C16" i="8"/>
  <c r="D15" i="8"/>
  <c r="C15" i="8"/>
  <c r="D14" i="8"/>
  <c r="C14" i="8"/>
  <c r="D13" i="8"/>
  <c r="C13" i="8"/>
  <c r="D12" i="8"/>
  <c r="C12" i="8"/>
  <c r="D11" i="8"/>
  <c r="C11" i="8"/>
  <c r="D10" i="8"/>
  <c r="C10" i="8"/>
  <c r="D9" i="8"/>
  <c r="C9" i="8"/>
  <c r="D8" i="8"/>
  <c r="C8" i="8"/>
  <c r="D7" i="8"/>
  <c r="C7" i="8"/>
  <c r="A7" i="8"/>
  <c r="A8" i="8" s="1"/>
  <c r="A9" i="8" s="1"/>
  <c r="A10" i="8" s="1"/>
  <c r="A11" i="8" s="1"/>
  <c r="A12" i="8" s="1"/>
  <c r="A13" i="8" s="1"/>
  <c r="A14" i="8" s="1"/>
  <c r="A15" i="8" s="1"/>
  <c r="A16" i="8" s="1"/>
  <c r="A17" i="8" s="1"/>
  <c r="A20" i="8" s="1"/>
  <c r="A21" i="8" s="1"/>
  <c r="D6" i="8"/>
  <c r="C6" i="8"/>
  <c r="B6" i="8"/>
  <c r="I291" i="34"/>
  <c r="I290" i="34"/>
  <c r="I289" i="34"/>
  <c r="I288" i="34"/>
  <c r="R283" i="34"/>
  <c r="M283" i="34"/>
  <c r="H283" i="34"/>
  <c r="I268" i="34"/>
  <c r="I267" i="34"/>
  <c r="I266" i="34"/>
  <c r="I265" i="34"/>
  <c r="R260" i="34"/>
  <c r="M260" i="34"/>
  <c r="H260" i="34"/>
  <c r="I245" i="34"/>
  <c r="I244" i="34"/>
  <c r="I243" i="34"/>
  <c r="I242" i="34"/>
  <c r="M232" i="34"/>
  <c r="F231" i="34"/>
  <c r="F230" i="34"/>
  <c r="Q229" i="34"/>
  <c r="R229" i="34" s="1"/>
  <c r="F229" i="34"/>
  <c r="I222" i="34"/>
  <c r="I221" i="34"/>
  <c r="I220" i="34"/>
  <c r="F209" i="34"/>
  <c r="F208" i="34"/>
  <c r="I200" i="34"/>
  <c r="I199" i="34"/>
  <c r="I198" i="34"/>
  <c r="R191" i="34"/>
  <c r="R188" i="34"/>
  <c r="F187" i="34"/>
  <c r="F186" i="34"/>
  <c r="I178" i="34"/>
  <c r="I177" i="34"/>
  <c r="I176" i="34"/>
  <c r="Q164" i="34"/>
  <c r="R164" i="34" s="1"/>
  <c r="I156" i="34"/>
  <c r="I155" i="34"/>
  <c r="I154" i="34"/>
  <c r="R149" i="34"/>
  <c r="H140" i="34"/>
  <c r="H288" i="8" s="1"/>
  <c r="G288" i="8" s="1"/>
  <c r="I139" i="34"/>
  <c r="I138" i="34"/>
  <c r="I137" i="34"/>
  <c r="R132" i="34"/>
  <c r="H123" i="34"/>
  <c r="H287" i="8" s="1"/>
  <c r="G287" i="8" s="1"/>
  <c r="I122" i="34"/>
  <c r="I121" i="34"/>
  <c r="I120" i="34"/>
  <c r="R115" i="34"/>
  <c r="H106" i="34"/>
  <c r="H286" i="8" s="1"/>
  <c r="G286" i="8" s="1"/>
  <c r="I105" i="34"/>
  <c r="I104" i="34"/>
  <c r="I103" i="34"/>
  <c r="R98" i="34"/>
  <c r="I87" i="34"/>
  <c r="I86" i="34"/>
  <c r="I85" i="34"/>
  <c r="I64" i="34"/>
  <c r="I63" i="34"/>
  <c r="I62" i="34"/>
  <c r="I41" i="34"/>
  <c r="I40" i="34"/>
  <c r="I39" i="34"/>
  <c r="A26" i="34"/>
  <c r="B283" i="8"/>
  <c r="I20" i="34"/>
  <c r="I19" i="34"/>
  <c r="I18" i="34"/>
  <c r="I17" i="34"/>
  <c r="I944" i="35"/>
  <c r="R935" i="35"/>
  <c r="R934" i="35"/>
  <c r="Q932" i="35"/>
  <c r="R932" i="35" s="1"/>
  <c r="F931" i="35"/>
  <c r="I919" i="35"/>
  <c r="R910" i="35"/>
  <c r="R909" i="35"/>
  <c r="Q907" i="35"/>
  <c r="R907" i="35" s="1"/>
  <c r="F906" i="35"/>
  <c r="F907" i="35" s="1"/>
  <c r="I894" i="35"/>
  <c r="R885" i="35"/>
  <c r="R884" i="35"/>
  <c r="Q882" i="35"/>
  <c r="R882" i="35" s="1"/>
  <c r="Q881" i="35"/>
  <c r="R881" i="35" s="1"/>
  <c r="F881" i="35"/>
  <c r="F882" i="35" s="1"/>
  <c r="I869" i="35"/>
  <c r="R860" i="35"/>
  <c r="R859" i="35"/>
  <c r="Q858" i="35"/>
  <c r="R858" i="35" s="1"/>
  <c r="Q857" i="35"/>
  <c r="R857" i="35" s="1"/>
  <c r="F856" i="35"/>
  <c r="F857" i="35" s="1"/>
  <c r="I844" i="35"/>
  <c r="R835" i="35"/>
  <c r="R834" i="35"/>
  <c r="Q833" i="35"/>
  <c r="R833" i="35" s="1"/>
  <c r="Q832" i="35"/>
  <c r="R832" i="35" s="1"/>
  <c r="F831" i="35"/>
  <c r="F832" i="35" s="1"/>
  <c r="I819" i="35"/>
  <c r="R810" i="35"/>
  <c r="R809" i="35"/>
  <c r="Q807" i="35"/>
  <c r="R807" i="35" s="1"/>
  <c r="F806" i="35"/>
  <c r="F807" i="35" s="1"/>
  <c r="I794" i="35"/>
  <c r="R785" i="35"/>
  <c r="R784" i="35"/>
  <c r="Q783" i="35"/>
  <c r="R783" i="35" s="1"/>
  <c r="Q782" i="35"/>
  <c r="R782" i="35" s="1"/>
  <c r="Q781" i="35"/>
  <c r="R781" i="35" s="1"/>
  <c r="F781" i="35"/>
  <c r="F782" i="35" s="1"/>
  <c r="I769" i="35"/>
  <c r="R760" i="35"/>
  <c r="R759" i="35"/>
  <c r="Q757" i="35"/>
  <c r="R757" i="35" s="1"/>
  <c r="F756" i="35"/>
  <c r="F757" i="35" s="1"/>
  <c r="I744" i="35"/>
  <c r="K734" i="35"/>
  <c r="K736" i="35" s="1"/>
  <c r="P733" i="35"/>
  <c r="P732" i="35"/>
  <c r="M732" i="35"/>
  <c r="R731" i="35"/>
  <c r="K731" i="35"/>
  <c r="K730" i="35"/>
  <c r="Q729" i="35"/>
  <c r="P729" i="35"/>
  <c r="P728" i="35"/>
  <c r="K728" i="35"/>
  <c r="I719" i="35"/>
  <c r="K709" i="35"/>
  <c r="K711" i="35" s="1"/>
  <c r="P708" i="35"/>
  <c r="P707" i="35"/>
  <c r="M707" i="35"/>
  <c r="R706" i="35"/>
  <c r="K706" i="35"/>
  <c r="K705" i="35"/>
  <c r="Q704" i="35"/>
  <c r="P704" i="35"/>
  <c r="P703" i="35"/>
  <c r="K703" i="35"/>
  <c r="I694" i="35"/>
  <c r="K684" i="35"/>
  <c r="P683" i="35"/>
  <c r="P682" i="35"/>
  <c r="M682" i="35"/>
  <c r="R681" i="35"/>
  <c r="K681" i="35"/>
  <c r="K680" i="35"/>
  <c r="Q679" i="35"/>
  <c r="P679" i="35"/>
  <c r="P678" i="35"/>
  <c r="K678" i="35"/>
  <c r="I669" i="35"/>
  <c r="K659" i="35"/>
  <c r="K661" i="35" s="1"/>
  <c r="P658" i="35"/>
  <c r="P657" i="35"/>
  <c r="M657" i="35"/>
  <c r="R656" i="35"/>
  <c r="K656" i="35"/>
  <c r="K655" i="35"/>
  <c r="Q654" i="35"/>
  <c r="P654" i="35"/>
  <c r="P653" i="35"/>
  <c r="K653" i="35"/>
  <c r="I644" i="35"/>
  <c r="K634" i="35"/>
  <c r="K636" i="35" s="1"/>
  <c r="P633" i="35"/>
  <c r="P632" i="35"/>
  <c r="M632" i="35"/>
  <c r="R631" i="35"/>
  <c r="K631" i="35"/>
  <c r="K630" i="35"/>
  <c r="Q629" i="35"/>
  <c r="P629" i="35"/>
  <c r="Q628" i="35"/>
  <c r="P628" i="35"/>
  <c r="K628" i="35"/>
  <c r="I619" i="35"/>
  <c r="K609" i="35"/>
  <c r="K611" i="35" s="1"/>
  <c r="Q608" i="35"/>
  <c r="P608" i="35"/>
  <c r="P607" i="35"/>
  <c r="M607" i="35"/>
  <c r="R606" i="35"/>
  <c r="K606" i="35"/>
  <c r="K605" i="35"/>
  <c r="Q604" i="35"/>
  <c r="P604" i="35"/>
  <c r="P603" i="35"/>
  <c r="K603" i="35"/>
  <c r="I594" i="35"/>
  <c r="K584" i="35"/>
  <c r="K585" i="35" s="1"/>
  <c r="M585" i="35" s="1"/>
  <c r="Q583" i="35"/>
  <c r="P583" i="35"/>
  <c r="P582" i="35"/>
  <c r="M582" i="35"/>
  <c r="R581" i="35"/>
  <c r="K581" i="35"/>
  <c r="K580" i="35"/>
  <c r="Q579" i="35"/>
  <c r="P579" i="35"/>
  <c r="P578" i="35"/>
  <c r="K578" i="35"/>
  <c r="I569" i="35"/>
  <c r="K559" i="35"/>
  <c r="K561" i="35" s="1"/>
  <c r="M557" i="35"/>
  <c r="R556" i="35"/>
  <c r="F555" i="35"/>
  <c r="Q554" i="35"/>
  <c r="R554" i="35" s="1"/>
  <c r="F554" i="35"/>
  <c r="Q553" i="35"/>
  <c r="R553" i="35" s="1"/>
  <c r="F553" i="35"/>
  <c r="I544" i="35"/>
  <c r="K534" i="35"/>
  <c r="K535" i="35" s="1"/>
  <c r="M535" i="35" s="1"/>
  <c r="P533" i="35"/>
  <c r="P532" i="35"/>
  <c r="M532" i="35"/>
  <c r="R531" i="35"/>
  <c r="K531" i="35"/>
  <c r="K530" i="35"/>
  <c r="Q529" i="35"/>
  <c r="P529" i="35"/>
  <c r="P528" i="35"/>
  <c r="K528" i="35"/>
  <c r="I519" i="35"/>
  <c r="K509" i="35"/>
  <c r="K510" i="35" s="1"/>
  <c r="M510" i="35" s="1"/>
  <c r="P508" i="35"/>
  <c r="P507" i="35"/>
  <c r="M507" i="35"/>
  <c r="R506" i="35"/>
  <c r="K506" i="35"/>
  <c r="K505" i="35"/>
  <c r="Q504" i="35"/>
  <c r="P504" i="35"/>
  <c r="P503" i="35"/>
  <c r="K503" i="35"/>
  <c r="I494" i="35"/>
  <c r="K484" i="35"/>
  <c r="P483" i="35"/>
  <c r="P482" i="35"/>
  <c r="M482" i="35"/>
  <c r="R481" i="35"/>
  <c r="K481" i="35"/>
  <c r="Q479" i="35"/>
  <c r="Q478" i="35"/>
  <c r="K478" i="35"/>
  <c r="I469" i="35"/>
  <c r="K459" i="35"/>
  <c r="K460" i="35" s="1"/>
  <c r="M460" i="35" s="1"/>
  <c r="Q458" i="35"/>
  <c r="M457" i="35"/>
  <c r="R456" i="35"/>
  <c r="K456" i="35"/>
  <c r="Q454" i="35"/>
  <c r="K453" i="35"/>
  <c r="I444" i="35"/>
  <c r="K434" i="35"/>
  <c r="P433" i="35"/>
  <c r="P432" i="35"/>
  <c r="M432" i="35"/>
  <c r="R431" i="35"/>
  <c r="K431" i="35"/>
  <c r="K430" i="35"/>
  <c r="Q429" i="35"/>
  <c r="R429" i="35" s="1"/>
  <c r="P429" i="35"/>
  <c r="Q428" i="35"/>
  <c r="P428" i="35"/>
  <c r="K428" i="35"/>
  <c r="I419" i="35"/>
  <c r="K409" i="35"/>
  <c r="K410" i="35" s="1"/>
  <c r="M410" i="35" s="1"/>
  <c r="M407" i="35"/>
  <c r="R406" i="35"/>
  <c r="K405" i="35"/>
  <c r="Q404" i="35"/>
  <c r="I394" i="35"/>
  <c r="K384" i="35"/>
  <c r="K386" i="35" s="1"/>
  <c r="P383" i="35"/>
  <c r="P382" i="35"/>
  <c r="M382" i="35"/>
  <c r="R381" i="35"/>
  <c r="K381" i="35"/>
  <c r="K380" i="35"/>
  <c r="Q379" i="35"/>
  <c r="P379" i="35"/>
  <c r="P378" i="35"/>
  <c r="K378" i="35"/>
  <c r="I369" i="35"/>
  <c r="K359" i="35"/>
  <c r="K361" i="35" s="1"/>
  <c r="M357" i="35"/>
  <c r="R356" i="35"/>
  <c r="F355" i="35"/>
  <c r="F605" i="35" s="1"/>
  <c r="Q354" i="35"/>
  <c r="R354" i="35" s="1"/>
  <c r="F354" i="35"/>
  <c r="F579" i="35" s="1"/>
  <c r="F353" i="35"/>
  <c r="F703" i="35" s="1"/>
  <c r="I344" i="35"/>
  <c r="P333" i="35"/>
  <c r="P332" i="35"/>
  <c r="M332" i="35"/>
  <c r="R331" i="35"/>
  <c r="K331" i="35"/>
  <c r="K330" i="35"/>
  <c r="Q329" i="35"/>
  <c r="P329" i="35"/>
  <c r="P328" i="35"/>
  <c r="K328" i="35"/>
  <c r="I319" i="35"/>
  <c r="K309" i="35"/>
  <c r="K310" i="35" s="1"/>
  <c r="M310" i="35" s="1"/>
  <c r="P308" i="35"/>
  <c r="P307" i="35"/>
  <c r="M307" i="35"/>
  <c r="R306" i="35"/>
  <c r="K305" i="35"/>
  <c r="Q304" i="35"/>
  <c r="P304" i="35"/>
  <c r="P303" i="35"/>
  <c r="K303" i="35"/>
  <c r="K284" i="35"/>
  <c r="K334" i="35" s="1"/>
  <c r="Q283" i="35"/>
  <c r="R283" i="35" s="1"/>
  <c r="M282" i="35"/>
  <c r="R281" i="35"/>
  <c r="F280" i="35"/>
  <c r="F305" i="35" s="1"/>
  <c r="Q279" i="35"/>
  <c r="R279" i="35" s="1"/>
  <c r="F279" i="35"/>
  <c r="F329" i="35" s="1"/>
  <c r="Q278" i="35"/>
  <c r="R278" i="35" s="1"/>
  <c r="F278" i="35"/>
  <c r="F328" i="35" s="1"/>
  <c r="K485" i="35"/>
  <c r="M485" i="35" s="1"/>
  <c r="I271" i="35"/>
  <c r="I270" i="35"/>
  <c r="I269" i="35"/>
  <c r="I268" i="35"/>
  <c r="Q254" i="35"/>
  <c r="R254" i="35" s="1"/>
  <c r="I247" i="35"/>
  <c r="I245" i="35"/>
  <c r="I244" i="35"/>
  <c r="I243" i="35"/>
  <c r="F236" i="35"/>
  <c r="Q230" i="35"/>
  <c r="R230" i="35" s="1"/>
  <c r="L230" i="35"/>
  <c r="M230" i="35" s="1"/>
  <c r="K224" i="35"/>
  <c r="K231" i="35" s="1"/>
  <c r="I217" i="35"/>
  <c r="I215" i="35"/>
  <c r="I214" i="35"/>
  <c r="I213" i="35"/>
  <c r="F206" i="35"/>
  <c r="Q200" i="35"/>
  <c r="R200" i="35" s="1"/>
  <c r="Q199" i="35"/>
  <c r="R199" i="35" s="1"/>
  <c r="K201" i="35"/>
  <c r="I184" i="35"/>
  <c r="I179" i="35"/>
  <c r="I178" i="35"/>
  <c r="I177" i="35"/>
  <c r="L165" i="35"/>
  <c r="Q161" i="35"/>
  <c r="R161" i="35" s="1"/>
  <c r="I150" i="35"/>
  <c r="I147" i="35"/>
  <c r="I146" i="35"/>
  <c r="I145" i="35"/>
  <c r="Q132" i="35"/>
  <c r="R132" i="35" s="1"/>
  <c r="Q129" i="35"/>
  <c r="R129" i="35" s="1"/>
  <c r="I89" i="35"/>
  <c r="I88" i="35"/>
  <c r="I87" i="35"/>
  <c r="I86" i="35"/>
  <c r="R81" i="35"/>
  <c r="M81" i="35"/>
  <c r="H81" i="35"/>
  <c r="I58" i="35"/>
  <c r="I57" i="35"/>
  <c r="I56" i="35"/>
  <c r="Q37" i="35"/>
  <c r="R37" i="35" s="1"/>
  <c r="C34" i="35"/>
  <c r="A34" i="35"/>
  <c r="B223" i="8" s="1"/>
  <c r="I28" i="35"/>
  <c r="I27" i="35"/>
  <c r="C4" i="35"/>
  <c r="I38" i="31"/>
  <c r="I37" i="31"/>
  <c r="I36" i="31"/>
  <c r="I35" i="31"/>
  <c r="M27" i="31"/>
  <c r="M26" i="31"/>
  <c r="A24" i="31"/>
  <c r="B219" i="8"/>
  <c r="I18" i="31"/>
  <c r="I17" i="31"/>
  <c r="I16" i="31"/>
  <c r="I15" i="31"/>
  <c r="I90" i="29"/>
  <c r="I89" i="29"/>
  <c r="I88" i="29"/>
  <c r="I87" i="29"/>
  <c r="M74" i="29"/>
  <c r="I66" i="29"/>
  <c r="I65" i="29"/>
  <c r="I64" i="29"/>
  <c r="I63" i="29"/>
  <c r="I42" i="29"/>
  <c r="I41" i="29"/>
  <c r="I40" i="29"/>
  <c r="I39" i="29"/>
  <c r="A24" i="29"/>
  <c r="I18" i="29"/>
  <c r="I17" i="29"/>
  <c r="I16" i="29"/>
  <c r="I15" i="29"/>
  <c r="I61" i="28"/>
  <c r="I60" i="28"/>
  <c r="I59" i="28"/>
  <c r="I58" i="28"/>
  <c r="I40" i="28"/>
  <c r="I39" i="28"/>
  <c r="I38" i="28"/>
  <c r="I37" i="28"/>
  <c r="A25" i="28"/>
  <c r="A46" i="28" s="1"/>
  <c r="B209" i="8" s="1"/>
  <c r="I19" i="28"/>
  <c r="I18" i="28"/>
  <c r="I17" i="28"/>
  <c r="I16" i="28"/>
  <c r="I61" i="27"/>
  <c r="I60" i="27"/>
  <c r="I59" i="27"/>
  <c r="I58" i="27"/>
  <c r="I40" i="27"/>
  <c r="I39" i="27"/>
  <c r="I38" i="27"/>
  <c r="I37" i="27"/>
  <c r="A25" i="27"/>
  <c r="A46" i="27" s="1"/>
  <c r="B204" i="8" s="1"/>
  <c r="I19" i="27"/>
  <c r="I18" i="27"/>
  <c r="I17" i="27"/>
  <c r="I16" i="27"/>
  <c r="I17" i="22"/>
  <c r="I16" i="22"/>
  <c r="I15" i="22"/>
  <c r="R10" i="22"/>
  <c r="I103" i="21"/>
  <c r="I102" i="21"/>
  <c r="I101" i="21"/>
  <c r="H83" i="21"/>
  <c r="I82" i="21"/>
  <c r="I81" i="21"/>
  <c r="I80" i="21"/>
  <c r="R75" i="21"/>
  <c r="I61" i="21"/>
  <c r="I60" i="21"/>
  <c r="I59" i="21"/>
  <c r="H41" i="21"/>
  <c r="I40" i="21"/>
  <c r="I39" i="21"/>
  <c r="I38" i="21"/>
  <c r="R33" i="21"/>
  <c r="A25" i="21"/>
  <c r="H20" i="21"/>
  <c r="H192" i="8" s="1"/>
  <c r="G192" i="8" s="1"/>
  <c r="I19" i="21"/>
  <c r="I18" i="21"/>
  <c r="I17" i="21"/>
  <c r="I18" i="19"/>
  <c r="I17" i="19"/>
  <c r="I16" i="19"/>
  <c r="I15" i="19"/>
  <c r="I123" i="18"/>
  <c r="I122" i="18"/>
  <c r="I121" i="18"/>
  <c r="I120" i="18"/>
  <c r="R115" i="18"/>
  <c r="I98" i="18"/>
  <c r="I97" i="18"/>
  <c r="I96" i="18"/>
  <c r="I95" i="18"/>
  <c r="R90" i="18"/>
  <c r="I73" i="18"/>
  <c r="I72" i="18"/>
  <c r="I71" i="18"/>
  <c r="I70" i="18"/>
  <c r="R65" i="18"/>
  <c r="I48" i="18"/>
  <c r="I47" i="18"/>
  <c r="I46" i="18"/>
  <c r="I45" i="18"/>
  <c r="R40" i="18"/>
  <c r="A29" i="18"/>
  <c r="I23" i="18"/>
  <c r="I22" i="18"/>
  <c r="I21" i="18"/>
  <c r="I20" i="18"/>
  <c r="I215" i="17"/>
  <c r="I214" i="17"/>
  <c r="I213" i="17"/>
  <c r="I212" i="17"/>
  <c r="M204" i="17"/>
  <c r="I195" i="17"/>
  <c r="I194" i="17"/>
  <c r="I193" i="17"/>
  <c r="M184" i="17"/>
  <c r="I173" i="17"/>
  <c r="I172" i="17"/>
  <c r="I171" i="17"/>
  <c r="M162" i="17"/>
  <c r="I151" i="17"/>
  <c r="I150" i="17"/>
  <c r="I149" i="17"/>
  <c r="M141" i="17"/>
  <c r="I129" i="17"/>
  <c r="I128" i="17"/>
  <c r="I127" i="17"/>
  <c r="M119" i="17"/>
  <c r="I107" i="17"/>
  <c r="I106" i="17"/>
  <c r="I105" i="17"/>
  <c r="M96" i="17"/>
  <c r="I85" i="17"/>
  <c r="I84" i="17"/>
  <c r="I83" i="17"/>
  <c r="M74" i="17"/>
  <c r="I63" i="17"/>
  <c r="I62" i="17"/>
  <c r="I61" i="17"/>
  <c r="M53" i="17"/>
  <c r="I41" i="17"/>
  <c r="I40" i="17"/>
  <c r="I39" i="17"/>
  <c r="M31" i="17"/>
  <c r="A25" i="17"/>
  <c r="A47" i="17" s="1"/>
  <c r="B172" i="8" s="1"/>
  <c r="H20" i="17"/>
  <c r="I19" i="17"/>
  <c r="I18" i="17"/>
  <c r="I17" i="17"/>
  <c r="I158" i="16"/>
  <c r="I157" i="16"/>
  <c r="I156" i="16"/>
  <c r="I155" i="16"/>
  <c r="M147" i="16"/>
  <c r="I138" i="16"/>
  <c r="I137" i="16"/>
  <c r="I136" i="16"/>
  <c r="I135" i="16"/>
  <c r="M127" i="16"/>
  <c r="I118" i="16"/>
  <c r="I117" i="16"/>
  <c r="I116" i="16"/>
  <c r="I115" i="16"/>
  <c r="M107" i="16"/>
  <c r="I98" i="16"/>
  <c r="I97" i="16"/>
  <c r="I96" i="16"/>
  <c r="I95" i="16"/>
  <c r="M87" i="16"/>
  <c r="I78" i="16"/>
  <c r="I77" i="16"/>
  <c r="I76" i="16"/>
  <c r="I75" i="16"/>
  <c r="M67" i="16"/>
  <c r="I58" i="16"/>
  <c r="I57" i="16"/>
  <c r="I56" i="16"/>
  <c r="I55" i="16"/>
  <c r="M47" i="16"/>
  <c r="I38" i="16"/>
  <c r="I37" i="16"/>
  <c r="I36" i="16"/>
  <c r="I35" i="16"/>
  <c r="M27" i="16"/>
  <c r="A24" i="16"/>
  <c r="I18" i="16"/>
  <c r="I17" i="16"/>
  <c r="I16" i="16"/>
  <c r="I15" i="16"/>
  <c r="M7" i="16"/>
  <c r="I124" i="14"/>
  <c r="I123" i="14"/>
  <c r="I122" i="14"/>
  <c r="M113" i="14"/>
  <c r="I103" i="14"/>
  <c r="I102" i="14"/>
  <c r="I101" i="14"/>
  <c r="M92" i="14"/>
  <c r="I82" i="14"/>
  <c r="I81" i="14"/>
  <c r="I80" i="14"/>
  <c r="M71" i="14"/>
  <c r="I61" i="14"/>
  <c r="I60" i="14"/>
  <c r="I59" i="14"/>
  <c r="M51" i="14"/>
  <c r="I40" i="14"/>
  <c r="I39" i="14"/>
  <c r="I38" i="14"/>
  <c r="M30" i="14"/>
  <c r="A25" i="14"/>
  <c r="A46" i="14" s="1"/>
  <c r="B154" i="8" s="1"/>
  <c r="I19" i="14"/>
  <c r="I18" i="14"/>
  <c r="I17" i="14"/>
  <c r="M9" i="14"/>
  <c r="I58" i="13"/>
  <c r="I57" i="13"/>
  <c r="I56" i="13"/>
  <c r="R51" i="13"/>
  <c r="I38" i="13"/>
  <c r="I37" i="13"/>
  <c r="I36" i="13"/>
  <c r="R31" i="13"/>
  <c r="A24" i="13"/>
  <c r="A44" i="13" s="1"/>
  <c r="I18" i="13"/>
  <c r="I17" i="13"/>
  <c r="I16" i="13"/>
  <c r="R11" i="13"/>
  <c r="I389" i="12"/>
  <c r="I388" i="12"/>
  <c r="I387" i="12"/>
  <c r="M377" i="12"/>
  <c r="Q374" i="12"/>
  <c r="R374" i="12" s="1"/>
  <c r="R382" i="12" s="1"/>
  <c r="I366" i="12"/>
  <c r="I365" i="12"/>
  <c r="I364" i="12"/>
  <c r="M356" i="12"/>
  <c r="Q351" i="12"/>
  <c r="R351" i="12" s="1"/>
  <c r="I343" i="12"/>
  <c r="I342" i="12"/>
  <c r="I341" i="12"/>
  <c r="M331" i="12"/>
  <c r="Q328" i="12"/>
  <c r="R328" i="12" s="1"/>
  <c r="R336" i="12" s="1"/>
  <c r="I320" i="12"/>
  <c r="I319" i="12"/>
  <c r="I318" i="12"/>
  <c r="M310" i="12"/>
  <c r="Q305" i="12"/>
  <c r="R305" i="12" s="1"/>
  <c r="I297" i="12"/>
  <c r="I296" i="12"/>
  <c r="I295" i="12"/>
  <c r="M285" i="12"/>
  <c r="Q282" i="12"/>
  <c r="R282" i="12" s="1"/>
  <c r="R290" i="12" s="1"/>
  <c r="B153" i="8"/>
  <c r="I274" i="12"/>
  <c r="I273" i="12"/>
  <c r="I272" i="12"/>
  <c r="A67" i="14"/>
  <c r="M264" i="12"/>
  <c r="Q259" i="12"/>
  <c r="R259" i="12" s="1"/>
  <c r="I251" i="12"/>
  <c r="I250" i="12"/>
  <c r="I249" i="12"/>
  <c r="M239" i="12"/>
  <c r="Q236" i="12"/>
  <c r="R236" i="12" s="1"/>
  <c r="R244" i="12" s="1"/>
  <c r="I228" i="12"/>
  <c r="I227" i="12"/>
  <c r="I226" i="12"/>
  <c r="M218" i="12"/>
  <c r="Q213" i="12"/>
  <c r="R213" i="12" s="1"/>
  <c r="I205" i="12"/>
  <c r="I204" i="12"/>
  <c r="I203" i="12"/>
  <c r="M193" i="12"/>
  <c r="Q190" i="12"/>
  <c r="R190" i="12" s="1"/>
  <c r="R198" i="12" s="1"/>
  <c r="I182" i="12"/>
  <c r="I181" i="12"/>
  <c r="I180" i="12"/>
  <c r="M172" i="12"/>
  <c r="Q167" i="12"/>
  <c r="R167" i="12" s="1"/>
  <c r="I159" i="12"/>
  <c r="I158" i="12"/>
  <c r="I157" i="12"/>
  <c r="M147" i="12"/>
  <c r="Q144" i="12"/>
  <c r="R144" i="12" s="1"/>
  <c r="R152" i="12" s="1"/>
  <c r="I136" i="12"/>
  <c r="I135" i="12"/>
  <c r="I134" i="12"/>
  <c r="M126" i="12"/>
  <c r="Q121" i="12"/>
  <c r="R121" i="12" s="1"/>
  <c r="I113" i="12"/>
  <c r="I112" i="12"/>
  <c r="I111" i="12"/>
  <c r="M101" i="12"/>
  <c r="Q98" i="12"/>
  <c r="R98" i="12" s="1"/>
  <c r="R106" i="12" s="1"/>
  <c r="I90" i="12"/>
  <c r="I89" i="12"/>
  <c r="I88" i="12"/>
  <c r="M80" i="12"/>
  <c r="Q75" i="12"/>
  <c r="R75" i="12" s="1"/>
  <c r="I67" i="12"/>
  <c r="I66" i="12"/>
  <c r="I65" i="12"/>
  <c r="M56" i="12"/>
  <c r="Q52" i="12"/>
  <c r="R52" i="12" s="1"/>
  <c r="R60" i="12" s="1"/>
  <c r="A50" i="12"/>
  <c r="A73" i="12" s="1"/>
  <c r="A96" i="12" s="1"/>
  <c r="A119" i="12" s="1"/>
  <c r="A142" i="12" s="1"/>
  <c r="I44" i="12"/>
  <c r="I43" i="12"/>
  <c r="I42" i="12"/>
  <c r="M35" i="12"/>
  <c r="Q29" i="12"/>
  <c r="R29" i="12" s="1"/>
  <c r="I396" i="11"/>
  <c r="I395" i="11"/>
  <c r="I394" i="11"/>
  <c r="I393" i="11"/>
  <c r="R388" i="11"/>
  <c r="K383" i="11"/>
  <c r="K382" i="11"/>
  <c r="I375" i="11"/>
  <c r="I374" i="11"/>
  <c r="I373" i="11"/>
  <c r="I372" i="11"/>
  <c r="R367" i="11"/>
  <c r="K362" i="11"/>
  <c r="K361" i="11"/>
  <c r="H355" i="11"/>
  <c r="I354" i="11"/>
  <c r="I353" i="11"/>
  <c r="I352" i="11"/>
  <c r="I351" i="11"/>
  <c r="R346" i="11"/>
  <c r="M346" i="11"/>
  <c r="H346" i="11"/>
  <c r="I333" i="11"/>
  <c r="I332" i="11"/>
  <c r="I331" i="11"/>
  <c r="I330" i="11"/>
  <c r="R325" i="11"/>
  <c r="K320" i="11"/>
  <c r="K319" i="11"/>
  <c r="I312" i="11"/>
  <c r="I311" i="11"/>
  <c r="I310" i="11"/>
  <c r="I309" i="11"/>
  <c r="R304" i="11"/>
  <c r="K299" i="11"/>
  <c r="K298" i="11"/>
  <c r="I291" i="11"/>
  <c r="I290" i="11"/>
  <c r="I289" i="11"/>
  <c r="I288" i="11"/>
  <c r="R283" i="11"/>
  <c r="K278" i="11"/>
  <c r="K277" i="11"/>
  <c r="H271" i="11"/>
  <c r="I270" i="11"/>
  <c r="I269" i="11"/>
  <c r="I268" i="11"/>
  <c r="I267" i="11"/>
  <c r="R262" i="11"/>
  <c r="M262" i="11"/>
  <c r="H263" i="11" s="1"/>
  <c r="H265" i="11" s="1"/>
  <c r="H266" i="11" s="1"/>
  <c r="H267" i="11" s="1"/>
  <c r="H268" i="11" s="1"/>
  <c r="H269" i="11" s="1"/>
  <c r="H270" i="11" s="1"/>
  <c r="H262" i="11"/>
  <c r="I249" i="11"/>
  <c r="I248" i="11"/>
  <c r="I247" i="11"/>
  <c r="I246" i="11"/>
  <c r="R241" i="11"/>
  <c r="K236" i="11"/>
  <c r="K235" i="11"/>
  <c r="I228" i="11"/>
  <c r="I227" i="11"/>
  <c r="I226" i="11"/>
  <c r="I225" i="11"/>
  <c r="R220" i="11"/>
  <c r="K215" i="11"/>
  <c r="K214" i="11"/>
  <c r="I207" i="11"/>
  <c r="I206" i="11"/>
  <c r="I205" i="11"/>
  <c r="I204" i="11"/>
  <c r="R199" i="11"/>
  <c r="K194" i="11"/>
  <c r="K193" i="11"/>
  <c r="H187" i="11"/>
  <c r="I186" i="11"/>
  <c r="I185" i="11"/>
  <c r="I184" i="11"/>
  <c r="I183" i="11"/>
  <c r="R178" i="11"/>
  <c r="M178" i="11"/>
  <c r="H178" i="11"/>
  <c r="I165" i="11"/>
  <c r="I164" i="11"/>
  <c r="I163" i="11"/>
  <c r="I162" i="11"/>
  <c r="R157" i="11"/>
  <c r="K152" i="11"/>
  <c r="K151" i="11"/>
  <c r="A165" i="12"/>
  <c r="A188" i="12" s="1"/>
  <c r="I144" i="11"/>
  <c r="I143" i="11"/>
  <c r="I142" i="11"/>
  <c r="I141" i="11"/>
  <c r="R136" i="11"/>
  <c r="K131" i="11"/>
  <c r="K130" i="11"/>
  <c r="I123" i="11"/>
  <c r="I122" i="11"/>
  <c r="I121" i="11"/>
  <c r="I120" i="11"/>
  <c r="R115" i="11"/>
  <c r="K110" i="11"/>
  <c r="K109" i="11"/>
  <c r="H103" i="11"/>
  <c r="I102" i="11"/>
  <c r="I101" i="11"/>
  <c r="I100" i="11"/>
  <c r="I99" i="11"/>
  <c r="R94" i="11"/>
  <c r="M94" i="11"/>
  <c r="H95" i="11"/>
  <c r="H97" i="11" s="1"/>
  <c r="H98" i="11" s="1"/>
  <c r="H99" i="11" s="1"/>
  <c r="H100" i="11" s="1"/>
  <c r="H101" i="11" s="1"/>
  <c r="H102" i="11" s="1"/>
  <c r="H94" i="11"/>
  <c r="I81" i="11"/>
  <c r="I80" i="11"/>
  <c r="I79" i="11"/>
  <c r="I78" i="11"/>
  <c r="R73" i="11"/>
  <c r="K68" i="11"/>
  <c r="K67" i="11"/>
  <c r="I60" i="11"/>
  <c r="I59" i="11"/>
  <c r="I58" i="11"/>
  <c r="I57" i="11"/>
  <c r="R52" i="11"/>
  <c r="K47" i="11"/>
  <c r="K46" i="11"/>
  <c r="I39" i="11"/>
  <c r="I38" i="11"/>
  <c r="I37" i="11"/>
  <c r="I36" i="11"/>
  <c r="R31" i="11"/>
  <c r="A24" i="11"/>
  <c r="B59" i="8"/>
  <c r="I18" i="11"/>
  <c r="I17" i="11"/>
  <c r="I16" i="11"/>
  <c r="I15" i="11"/>
  <c r="R10" i="11"/>
  <c r="K6" i="11"/>
  <c r="I141" i="10"/>
  <c r="I140" i="10"/>
  <c r="I139" i="10"/>
  <c r="H124" i="10"/>
  <c r="H53" i="8" s="1"/>
  <c r="G53" i="8" s="1"/>
  <c r="I123" i="10"/>
  <c r="I122" i="10"/>
  <c r="I121" i="10"/>
  <c r="M116" i="10"/>
  <c r="I105" i="10"/>
  <c r="I104" i="10"/>
  <c r="I103" i="10"/>
  <c r="M95" i="10"/>
  <c r="I86" i="10"/>
  <c r="I85" i="10"/>
  <c r="I84" i="10"/>
  <c r="M75" i="10"/>
  <c r="I66" i="10"/>
  <c r="L65" i="10"/>
  <c r="P56" i="10" s="1"/>
  <c r="I65" i="10"/>
  <c r="I64" i="10"/>
  <c r="I49" i="10"/>
  <c r="L48" i="10"/>
  <c r="I48" i="10"/>
  <c r="I47" i="10"/>
  <c r="I32" i="10"/>
  <c r="L31" i="10"/>
  <c r="K22" i="10" s="1"/>
  <c r="P22" i="10"/>
  <c r="I31" i="10"/>
  <c r="I30" i="10"/>
  <c r="A21" i="10"/>
  <c r="I15" i="10"/>
  <c r="I14" i="10"/>
  <c r="I13" i="10"/>
  <c r="H483" i="9"/>
  <c r="H44" i="8" s="1"/>
  <c r="G44" i="8" s="1"/>
  <c r="I482" i="9"/>
  <c r="I481" i="9"/>
  <c r="I480" i="9"/>
  <c r="M475" i="9"/>
  <c r="H465" i="9"/>
  <c r="H43" i="8" s="1"/>
  <c r="G43" i="8" s="1"/>
  <c r="I464" i="9"/>
  <c r="I463" i="9"/>
  <c r="I462" i="9"/>
  <c r="M457" i="9"/>
  <c r="H446" i="9"/>
  <c r="H42" i="8" s="1"/>
  <c r="G42" i="8" s="1"/>
  <c r="I445" i="9"/>
  <c r="I444" i="9"/>
  <c r="I443" i="9"/>
  <c r="M438" i="9"/>
  <c r="H428" i="9"/>
  <c r="H41" i="8" s="1"/>
  <c r="G41" i="8" s="1"/>
  <c r="I427" i="9"/>
  <c r="I426" i="9"/>
  <c r="I425" i="9"/>
  <c r="R420" i="9"/>
  <c r="M420" i="9"/>
  <c r="H420" i="9"/>
  <c r="I406" i="9"/>
  <c r="I405" i="9"/>
  <c r="I404" i="9"/>
  <c r="M399" i="9"/>
  <c r="I385" i="9"/>
  <c r="I384" i="9"/>
  <c r="I383" i="9"/>
  <c r="M378" i="9"/>
  <c r="I364" i="9"/>
  <c r="I363" i="9"/>
  <c r="I362" i="9"/>
  <c r="M357" i="9"/>
  <c r="I343" i="9"/>
  <c r="I342" i="9"/>
  <c r="I341" i="9"/>
  <c r="M336" i="9"/>
  <c r="H323" i="9"/>
  <c r="H36" i="8" s="1"/>
  <c r="G36" i="8" s="1"/>
  <c r="I322" i="9"/>
  <c r="I321" i="9"/>
  <c r="I320" i="9"/>
  <c r="M315" i="9"/>
  <c r="H315" i="9"/>
  <c r="H304" i="9"/>
  <c r="H35" i="8" s="1"/>
  <c r="G35" i="8" s="1"/>
  <c r="I303" i="9"/>
  <c r="I302" i="9"/>
  <c r="I301" i="9"/>
  <c r="M296" i="9"/>
  <c r="I284" i="9"/>
  <c r="I283" i="9"/>
  <c r="I282" i="9"/>
  <c r="M277" i="9"/>
  <c r="I265" i="9"/>
  <c r="I264" i="9"/>
  <c r="I263" i="9"/>
  <c r="M258" i="9"/>
  <c r="I246" i="9"/>
  <c r="I245" i="9"/>
  <c r="I244" i="9"/>
  <c r="M239" i="9"/>
  <c r="I227" i="9"/>
  <c r="I226" i="9"/>
  <c r="I225" i="9"/>
  <c r="I206" i="9"/>
  <c r="I205" i="9"/>
  <c r="I204" i="9"/>
  <c r="Q194" i="9"/>
  <c r="R194" i="9" s="1"/>
  <c r="R199" i="9" s="1"/>
  <c r="I187" i="9"/>
  <c r="I186" i="9"/>
  <c r="I185" i="9"/>
  <c r="I168" i="9"/>
  <c r="I167" i="9"/>
  <c r="I166" i="9"/>
  <c r="I149" i="9"/>
  <c r="I148" i="9"/>
  <c r="I147" i="9"/>
  <c r="H131" i="9"/>
  <c r="H26" i="8" s="1"/>
  <c r="G26" i="8" s="1"/>
  <c r="I130" i="9"/>
  <c r="I129" i="9"/>
  <c r="I128" i="9"/>
  <c r="M123" i="9"/>
  <c r="H112" i="9"/>
  <c r="H25" i="8" s="1"/>
  <c r="G25" i="8" s="1"/>
  <c r="I111" i="9"/>
  <c r="I110" i="9"/>
  <c r="I109" i="9"/>
  <c r="M104" i="9"/>
  <c r="H36" i="9"/>
  <c r="H21" i="8" s="1"/>
  <c r="G21" i="8" s="1"/>
  <c r="I35" i="9"/>
  <c r="I34" i="9"/>
  <c r="I33" i="9"/>
  <c r="M28" i="9"/>
  <c r="A22" i="9"/>
  <c r="H17" i="9"/>
  <c r="H20" i="8" s="1"/>
  <c r="G20" i="8" s="1"/>
  <c r="I16" i="9"/>
  <c r="I15" i="9"/>
  <c r="I14" i="9"/>
  <c r="M9" i="9"/>
  <c r="H238" i="7"/>
  <c r="I237" i="7"/>
  <c r="I236" i="7"/>
  <c r="I235" i="7"/>
  <c r="M230" i="7"/>
  <c r="H221" i="7"/>
  <c r="H16" i="8" s="1"/>
  <c r="G16" i="8" s="1"/>
  <c r="I220" i="7"/>
  <c r="I219" i="7"/>
  <c r="I218" i="7"/>
  <c r="M213" i="7"/>
  <c r="H203" i="7"/>
  <c r="I202" i="7"/>
  <c r="I201" i="7"/>
  <c r="I200" i="7"/>
  <c r="M195" i="7"/>
  <c r="H182" i="7"/>
  <c r="H14" i="8" s="1"/>
  <c r="G14" i="8" s="1"/>
  <c r="I181" i="7"/>
  <c r="I180" i="7"/>
  <c r="I179" i="7"/>
  <c r="M174" i="7"/>
  <c r="H161" i="7"/>
  <c r="I160" i="7"/>
  <c r="I159" i="7"/>
  <c r="I158" i="7"/>
  <c r="M153" i="7"/>
  <c r="H140" i="7"/>
  <c r="I139" i="7"/>
  <c r="I138" i="7"/>
  <c r="I137" i="7"/>
  <c r="M132" i="7"/>
  <c r="H119" i="7"/>
  <c r="H11" i="8" s="1"/>
  <c r="G11" i="8" s="1"/>
  <c r="I118" i="7"/>
  <c r="I117" i="7"/>
  <c r="I116" i="7"/>
  <c r="M111" i="7"/>
  <c r="H98" i="7"/>
  <c r="H10" i="8" s="1"/>
  <c r="G10" i="8" s="1"/>
  <c r="I97" i="7"/>
  <c r="I96" i="7"/>
  <c r="I95" i="7"/>
  <c r="M90" i="7"/>
  <c r="H77" i="7"/>
  <c r="I76" i="7"/>
  <c r="I75" i="7"/>
  <c r="I74" i="7"/>
  <c r="M69" i="7"/>
  <c r="H59" i="7"/>
  <c r="H8" i="8" s="1"/>
  <c r="G8" i="8" s="1"/>
  <c r="I58" i="7"/>
  <c r="I57" i="7"/>
  <c r="I56" i="7"/>
  <c r="M51" i="7"/>
  <c r="H41" i="7"/>
  <c r="I40" i="7"/>
  <c r="I39" i="7"/>
  <c r="I38" i="7"/>
  <c r="M33" i="7"/>
  <c r="A25" i="7"/>
  <c r="A46" i="7" s="1"/>
  <c r="I19" i="7"/>
  <c r="I18" i="7"/>
  <c r="I17" i="7"/>
  <c r="M12" i="7"/>
  <c r="A6" i="6"/>
  <c r="E100" i="33"/>
  <c r="G100" i="33" s="1"/>
  <c r="C100" i="33"/>
  <c r="B100" i="33"/>
  <c r="D100" i="33" s="1"/>
  <c r="R99" i="33"/>
  <c r="L99" i="33"/>
  <c r="M99" i="33" s="1"/>
  <c r="E99" i="33"/>
  <c r="G99" i="33" s="1"/>
  <c r="C99" i="33"/>
  <c r="B99" i="33"/>
  <c r="R98" i="33"/>
  <c r="E98" i="33"/>
  <c r="G98" i="33" s="1"/>
  <c r="C98" i="33"/>
  <c r="B98" i="33"/>
  <c r="D98" i="33" s="1"/>
  <c r="L97" i="33"/>
  <c r="E97" i="33"/>
  <c r="G97" i="33" s="1"/>
  <c r="C97" i="33"/>
  <c r="B97" i="33"/>
  <c r="T96" i="33"/>
  <c r="R96" i="33"/>
  <c r="L96" i="33"/>
  <c r="M96" i="33" s="1"/>
  <c r="E96" i="33"/>
  <c r="G96" i="33" s="1"/>
  <c r="C96" i="33"/>
  <c r="B96" i="33"/>
  <c r="T95" i="33"/>
  <c r="R95" i="33"/>
  <c r="L95" i="33"/>
  <c r="M95" i="33" s="1"/>
  <c r="E95" i="33"/>
  <c r="G95" i="33" s="1"/>
  <c r="C95" i="33"/>
  <c r="B95" i="33"/>
  <c r="T94" i="33"/>
  <c r="L94" i="33"/>
  <c r="E94" i="33"/>
  <c r="G94" i="33" s="1"/>
  <c r="C94" i="33"/>
  <c r="B94" i="33"/>
  <c r="L93" i="33"/>
  <c r="M93" i="33" s="1"/>
  <c r="E93" i="33"/>
  <c r="G93" i="33" s="1"/>
  <c r="C93" i="33"/>
  <c r="B93" i="33"/>
  <c r="D93" i="33" s="1"/>
  <c r="R92" i="33"/>
  <c r="L92" i="33"/>
  <c r="M92" i="33" s="1"/>
  <c r="E92" i="33"/>
  <c r="G92" i="33" s="1"/>
  <c r="C92" i="33"/>
  <c r="B92" i="33"/>
  <c r="L91" i="33"/>
  <c r="E91" i="33"/>
  <c r="G91" i="33" s="1"/>
  <c r="C91" i="33"/>
  <c r="B91" i="33"/>
  <c r="D91" i="33" s="1"/>
  <c r="R90" i="33"/>
  <c r="L90" i="33"/>
  <c r="O90" i="33" s="1"/>
  <c r="E90" i="33"/>
  <c r="G90" i="33" s="1"/>
  <c r="C90" i="33"/>
  <c r="B90" i="33"/>
  <c r="D90" i="33" s="1"/>
  <c r="R89" i="33"/>
  <c r="L89" i="33"/>
  <c r="M89" i="33" s="1"/>
  <c r="E89" i="33"/>
  <c r="G89" i="33" s="1"/>
  <c r="C89" i="33"/>
  <c r="B89" i="33"/>
  <c r="D89" i="33" s="1"/>
  <c r="L88" i="33"/>
  <c r="O88" i="33" s="1"/>
  <c r="E88" i="33"/>
  <c r="G88" i="33" s="1"/>
  <c r="C88" i="33"/>
  <c r="B88" i="33"/>
  <c r="T87" i="33"/>
  <c r="L87" i="33"/>
  <c r="M87" i="33" s="1"/>
  <c r="E87" i="33"/>
  <c r="G87" i="33" s="1"/>
  <c r="C87" i="33"/>
  <c r="B87" i="33"/>
  <c r="D87" i="33" s="1"/>
  <c r="R86" i="33"/>
  <c r="L86" i="33"/>
  <c r="O86" i="33" s="1"/>
  <c r="E86" i="33"/>
  <c r="G86" i="33" s="1"/>
  <c r="C86" i="33"/>
  <c r="B86" i="33"/>
  <c r="D86" i="33" s="1"/>
  <c r="R85" i="33"/>
  <c r="L85" i="33"/>
  <c r="M85" i="33" s="1"/>
  <c r="E85" i="33"/>
  <c r="G85" i="33" s="1"/>
  <c r="C85" i="33"/>
  <c r="B85" i="33"/>
  <c r="L84" i="33"/>
  <c r="O84" i="33" s="1"/>
  <c r="E84" i="33"/>
  <c r="G84" i="33" s="1"/>
  <c r="C84" i="33"/>
  <c r="B84" i="33"/>
  <c r="D84" i="33" s="1"/>
  <c r="R83" i="33"/>
  <c r="M83" i="33"/>
  <c r="E83" i="33"/>
  <c r="G83" i="33" s="1"/>
  <c r="C83" i="33"/>
  <c r="B83" i="33"/>
  <c r="D83" i="33" s="1"/>
  <c r="R82" i="33"/>
  <c r="L82" i="33"/>
  <c r="O82" i="33" s="1"/>
  <c r="E82" i="33"/>
  <c r="G82" i="33" s="1"/>
  <c r="C82" i="33"/>
  <c r="B82" i="33"/>
  <c r="D82" i="33" s="1"/>
  <c r="A81" i="33"/>
  <c r="R80" i="33"/>
  <c r="L80" i="33"/>
  <c r="E80" i="33"/>
  <c r="G80" i="33" s="1"/>
  <c r="C80" i="33"/>
  <c r="B80" i="33"/>
  <c r="D80" i="33" s="1"/>
  <c r="R79" i="33"/>
  <c r="L79" i="33"/>
  <c r="O79" i="33" s="1"/>
  <c r="E79" i="33"/>
  <c r="G79" i="33" s="1"/>
  <c r="C79" i="33"/>
  <c r="B79" i="33"/>
  <c r="D79" i="33" s="1"/>
  <c r="L78" i="33"/>
  <c r="O78" i="33" s="1"/>
  <c r="E78" i="33"/>
  <c r="G78" i="33" s="1"/>
  <c r="C78" i="33"/>
  <c r="B78" i="33"/>
  <c r="D78" i="33" s="1"/>
  <c r="T77" i="33"/>
  <c r="R77" i="33"/>
  <c r="L77" i="33"/>
  <c r="O77" i="33" s="1"/>
  <c r="E77" i="33"/>
  <c r="G77" i="33" s="1"/>
  <c r="C77" i="33"/>
  <c r="B77" i="33"/>
  <c r="T76" i="33"/>
  <c r="L76" i="33"/>
  <c r="E76" i="33"/>
  <c r="G76" i="33" s="1"/>
  <c r="C76" i="33"/>
  <c r="B76" i="33"/>
  <c r="D76" i="33" s="1"/>
  <c r="L75" i="33"/>
  <c r="E75" i="33"/>
  <c r="G75" i="33" s="1"/>
  <c r="C75" i="33"/>
  <c r="B75" i="33"/>
  <c r="L74" i="33"/>
  <c r="O74" i="33" s="1"/>
  <c r="E74" i="33"/>
  <c r="G74" i="33" s="1"/>
  <c r="C74" i="33"/>
  <c r="B74" i="33"/>
  <c r="D74" i="33" s="1"/>
  <c r="L73" i="33"/>
  <c r="E73" i="33"/>
  <c r="G73" i="33" s="1"/>
  <c r="C73" i="33"/>
  <c r="B73" i="33"/>
  <c r="D73" i="33" s="1"/>
  <c r="R72" i="33"/>
  <c r="L72" i="33"/>
  <c r="O72" i="33" s="1"/>
  <c r="E72" i="33"/>
  <c r="G72" i="33" s="1"/>
  <c r="C72" i="33"/>
  <c r="B72" i="33"/>
  <c r="R71" i="33"/>
  <c r="L71" i="33"/>
  <c r="O71" i="33" s="1"/>
  <c r="E71" i="33"/>
  <c r="G71" i="33" s="1"/>
  <c r="C71" i="33"/>
  <c r="B71" i="33"/>
  <c r="L70" i="33"/>
  <c r="E70" i="33"/>
  <c r="G70" i="33" s="1"/>
  <c r="C70" i="33"/>
  <c r="B70" i="33"/>
  <c r="D70" i="33" s="1"/>
  <c r="L69" i="33"/>
  <c r="O69" i="33" s="1"/>
  <c r="E69" i="33"/>
  <c r="G69" i="33" s="1"/>
  <c r="C69" i="33"/>
  <c r="B69" i="33"/>
  <c r="D69" i="33" s="1"/>
  <c r="R68" i="33"/>
  <c r="L68" i="33"/>
  <c r="O68" i="33" s="1"/>
  <c r="E68" i="33"/>
  <c r="G68" i="33" s="1"/>
  <c r="C68" i="33"/>
  <c r="B68" i="33"/>
  <c r="D68" i="33" s="1"/>
  <c r="L67" i="33"/>
  <c r="M67" i="33" s="1"/>
  <c r="E67" i="33"/>
  <c r="G67" i="33" s="1"/>
  <c r="C67" i="33"/>
  <c r="B67" i="33"/>
  <c r="D67" i="33" s="1"/>
  <c r="L66" i="33"/>
  <c r="E66" i="33"/>
  <c r="G66" i="33" s="1"/>
  <c r="C66" i="33"/>
  <c r="B66" i="33"/>
  <c r="D66" i="33" s="1"/>
  <c r="A65" i="33"/>
  <c r="L64" i="33"/>
  <c r="E64" i="33"/>
  <c r="G64" i="33" s="1"/>
  <c r="C64" i="33"/>
  <c r="B64" i="33"/>
  <c r="D64" i="33" s="1"/>
  <c r="R63" i="33"/>
  <c r="L63" i="33"/>
  <c r="M63" i="33" s="1"/>
  <c r="E63" i="33"/>
  <c r="G63" i="33" s="1"/>
  <c r="C63" i="33"/>
  <c r="B63" i="33"/>
  <c r="D63" i="33" s="1"/>
  <c r="O98" i="33"/>
  <c r="M74" i="33"/>
  <c r="M82" i="33"/>
  <c r="O83" i="33"/>
  <c r="O95" i="33"/>
  <c r="A45" i="11"/>
  <c r="A66" i="11" s="1"/>
  <c r="A87" i="11" s="1"/>
  <c r="R62" i="33"/>
  <c r="L62" i="33"/>
  <c r="O62" i="33" s="1"/>
  <c r="E62" i="33"/>
  <c r="G62" i="33" s="1"/>
  <c r="C62" i="33"/>
  <c r="B62" i="33"/>
  <c r="D62" i="33" s="1"/>
  <c r="L61" i="33"/>
  <c r="E61" i="33"/>
  <c r="G61" i="33" s="1"/>
  <c r="C61" i="33"/>
  <c r="B61" i="33"/>
  <c r="D61" i="33" s="1"/>
  <c r="L60" i="33"/>
  <c r="O60" i="33" s="1"/>
  <c r="E60" i="33"/>
  <c r="G60" i="33" s="1"/>
  <c r="C60" i="33"/>
  <c r="B60" i="33"/>
  <c r="D60" i="33" s="1"/>
  <c r="A59" i="33"/>
  <c r="L53" i="33"/>
  <c r="M53" i="33" s="1"/>
  <c r="E53" i="33"/>
  <c r="G53" i="33" s="1"/>
  <c r="C53" i="33"/>
  <c r="B53" i="33"/>
  <c r="R52" i="33"/>
  <c r="L52" i="33"/>
  <c r="M52" i="33" s="1"/>
  <c r="E52" i="33"/>
  <c r="G52" i="33" s="1"/>
  <c r="C52" i="33"/>
  <c r="B52" i="33"/>
  <c r="R51" i="33"/>
  <c r="L51" i="33"/>
  <c r="O51" i="33" s="1"/>
  <c r="E51" i="33"/>
  <c r="G51" i="33" s="1"/>
  <c r="C51" i="33"/>
  <c r="B51" i="33"/>
  <c r="E50" i="33"/>
  <c r="G50" i="33" s="1"/>
  <c r="C50" i="33"/>
  <c r="B50" i="33"/>
  <c r="L47" i="33"/>
  <c r="E47" i="33"/>
  <c r="G47" i="33" s="1"/>
  <c r="C47" i="33"/>
  <c r="B47" i="33"/>
  <c r="L46" i="33"/>
  <c r="E46" i="33"/>
  <c r="G46" i="33" s="1"/>
  <c r="C46" i="33"/>
  <c r="B46" i="33"/>
  <c r="L45" i="33"/>
  <c r="O45" i="33" s="1"/>
  <c r="E45" i="33"/>
  <c r="G45" i="33" s="1"/>
  <c r="C45" i="33"/>
  <c r="B45" i="33"/>
  <c r="L44" i="33"/>
  <c r="M44" i="33" s="1"/>
  <c r="E44" i="33"/>
  <c r="G44" i="33" s="1"/>
  <c r="C44" i="33"/>
  <c r="B44" i="33"/>
  <c r="L43" i="33"/>
  <c r="E43" i="33"/>
  <c r="G43" i="33" s="1"/>
  <c r="C43" i="33"/>
  <c r="B43" i="33"/>
  <c r="D43" i="33" s="1"/>
  <c r="L42" i="33"/>
  <c r="O42" i="33" s="1"/>
  <c r="E42" i="33"/>
  <c r="C42" i="33"/>
  <c r="B42" i="33"/>
  <c r="D42" i="33" s="1"/>
  <c r="T41" i="33"/>
  <c r="R41" i="33"/>
  <c r="M41" i="33"/>
  <c r="E41" i="33"/>
  <c r="G41" i="33" s="1"/>
  <c r="C41" i="33"/>
  <c r="R40" i="33"/>
  <c r="O40" i="33"/>
  <c r="M40" i="33"/>
  <c r="E40" i="33"/>
  <c r="G40" i="33" s="1"/>
  <c r="C40" i="33"/>
  <c r="B40" i="33"/>
  <c r="L39" i="33"/>
  <c r="M39" i="33" s="1"/>
  <c r="E39" i="33"/>
  <c r="G39" i="33" s="1"/>
  <c r="C39" i="33"/>
  <c r="B39" i="33"/>
  <c r="O38" i="33"/>
  <c r="M38" i="33"/>
  <c r="E38" i="33"/>
  <c r="G38" i="33" s="1"/>
  <c r="C38" i="33"/>
  <c r="B38" i="33"/>
  <c r="D38" i="33" s="1"/>
  <c r="O37" i="33"/>
  <c r="M37" i="33"/>
  <c r="E37" i="33"/>
  <c r="G37" i="33" s="1"/>
  <c r="C37" i="33"/>
  <c r="B37" i="33"/>
  <c r="D37" i="33" s="1"/>
  <c r="R36" i="33"/>
  <c r="O36" i="33"/>
  <c r="M36" i="33"/>
  <c r="E36" i="33"/>
  <c r="G36" i="33" s="1"/>
  <c r="C36" i="33"/>
  <c r="B36" i="33"/>
  <c r="R35" i="33"/>
  <c r="O35" i="33"/>
  <c r="M35" i="33"/>
  <c r="E35" i="33"/>
  <c r="G35" i="33" s="1"/>
  <c r="C35" i="33"/>
  <c r="B35" i="33"/>
  <c r="D35" i="33" s="1"/>
  <c r="R34" i="33"/>
  <c r="O34" i="33"/>
  <c r="M34" i="33"/>
  <c r="E34" i="33"/>
  <c r="G34" i="33" s="1"/>
  <c r="C34" i="33"/>
  <c r="B34" i="33"/>
  <c r="O33" i="33"/>
  <c r="M33" i="33"/>
  <c r="E33" i="33"/>
  <c r="G33" i="33" s="1"/>
  <c r="C33" i="33"/>
  <c r="B33" i="33"/>
  <c r="O32" i="33"/>
  <c r="E32" i="33"/>
  <c r="G32" i="33" s="1"/>
  <c r="C32" i="33"/>
  <c r="B32" i="33"/>
  <c r="R31" i="33"/>
  <c r="O31" i="33"/>
  <c r="M31" i="33"/>
  <c r="E31" i="33"/>
  <c r="G31" i="33" s="1"/>
  <c r="C31" i="33"/>
  <c r="B31" i="33"/>
  <c r="D31" i="33" s="1"/>
  <c r="O30" i="33"/>
  <c r="M30" i="33"/>
  <c r="C30" i="33"/>
  <c r="B30" i="33"/>
  <c r="M29" i="33"/>
  <c r="C29" i="33"/>
  <c r="B29" i="33"/>
  <c r="D29" i="33" s="1"/>
  <c r="A28" i="33"/>
  <c r="R27" i="33"/>
  <c r="O27" i="33"/>
  <c r="M27" i="33"/>
  <c r="J27" i="33"/>
  <c r="S27" i="33" s="1"/>
  <c r="C27" i="33"/>
  <c r="B27" i="33"/>
  <c r="D27" i="33" s="1"/>
  <c r="R26" i="33"/>
  <c r="O26" i="33"/>
  <c r="M26" i="33"/>
  <c r="C26" i="33"/>
  <c r="B26" i="33"/>
  <c r="D26" i="33" s="1"/>
  <c r="O25" i="33"/>
  <c r="M25" i="33"/>
  <c r="J25" i="33"/>
  <c r="S25" i="33" s="1"/>
  <c r="C25" i="33"/>
  <c r="B25" i="33"/>
  <c r="O24" i="33"/>
  <c r="M24" i="33"/>
  <c r="J24" i="33"/>
  <c r="S24" i="33" s="1"/>
  <c r="C24" i="33"/>
  <c r="B24" i="33"/>
  <c r="M23" i="33"/>
  <c r="J23" i="33"/>
  <c r="S23" i="33" s="1"/>
  <c r="C23" i="33"/>
  <c r="B23" i="33"/>
  <c r="C20" i="33"/>
  <c r="B20" i="33"/>
  <c r="D20" i="33" s="1"/>
  <c r="C19" i="33"/>
  <c r="B19" i="33"/>
  <c r="D19" i="33" s="1"/>
  <c r="U19" i="33" s="1"/>
  <c r="A18" i="33"/>
  <c r="M45" i="33"/>
  <c r="B60" i="8"/>
  <c r="B61" i="8"/>
  <c r="A108" i="11"/>
  <c r="B62" i="8"/>
  <c r="A52" i="32"/>
  <c r="A53" i="32" s="1"/>
  <c r="G51" i="32"/>
  <c r="A26" i="32"/>
  <c r="A27" i="32" s="1"/>
  <c r="A28" i="32" s="1"/>
  <c r="A29" i="32" s="1"/>
  <c r="A30" i="32" s="1"/>
  <c r="A31" i="32" s="1"/>
  <c r="A32" i="32" s="1"/>
  <c r="A33" i="32" s="1"/>
  <c r="A34" i="32" s="1"/>
  <c r="A35" i="32" s="1"/>
  <c r="A36" i="32" s="1"/>
  <c r="A37" i="32" s="1"/>
  <c r="A38" i="32" s="1"/>
  <c r="A39" i="32" s="1"/>
  <c r="A40" i="32" s="1"/>
  <c r="A41" i="32" s="1"/>
  <c r="A42" i="32" s="1"/>
  <c r="A43" i="32" s="1"/>
  <c r="A44" i="32" s="1"/>
  <c r="A47" i="34"/>
  <c r="A3" i="32"/>
  <c r="A4" i="32" s="1"/>
  <c r="A5" i="32" s="1"/>
  <c r="A6" i="32" s="1"/>
  <c r="A7" i="32" s="1"/>
  <c r="K511" i="35"/>
  <c r="K461" i="35"/>
  <c r="K232" i="35"/>
  <c r="K411" i="35"/>
  <c r="R134" i="10"/>
  <c r="R220" i="9"/>
  <c r="R12" i="21"/>
  <c r="I55" i="35"/>
  <c r="R15" i="18"/>
  <c r="H12" i="8"/>
  <c r="G12" i="8" s="1"/>
  <c r="H17" i="8"/>
  <c r="G17" i="8" s="1"/>
  <c r="H15" i="8"/>
  <c r="G15" i="8" s="1"/>
  <c r="H13" i="8"/>
  <c r="G13" i="8" s="1"/>
  <c r="H9" i="8"/>
  <c r="G9" i="8" s="1"/>
  <c r="H7" i="8"/>
  <c r="G7" i="8" s="1"/>
  <c r="J94" i="8"/>
  <c r="J110" i="8"/>
  <c r="H193" i="8"/>
  <c r="G193" i="8" s="1"/>
  <c r="H195" i="8"/>
  <c r="G195" i="8" s="1"/>
  <c r="H170" i="8"/>
  <c r="G170" i="8" s="1"/>
  <c r="K360" i="35"/>
  <c r="M360" i="35" s="1"/>
  <c r="K710" i="35"/>
  <c r="M710" i="35" s="1"/>
  <c r="K635" i="35"/>
  <c r="M635" i="35" s="1"/>
  <c r="K610" i="35"/>
  <c r="M610" i="35" s="1"/>
  <c r="K660" i="35"/>
  <c r="M660" i="35" s="1"/>
  <c r="R315" i="9"/>
  <c r="A7" i="6"/>
  <c r="A8" i="6" s="1"/>
  <c r="A9" i="6" s="1"/>
  <c r="A10" i="6" s="1"/>
  <c r="A11" i="6" s="1"/>
  <c r="A12" i="6" s="1"/>
  <c r="A13" i="6" s="1"/>
  <c r="A14" i="6" s="1"/>
  <c r="A15" i="6" s="1"/>
  <c r="H347" i="11"/>
  <c r="H349" i="11" s="1"/>
  <c r="H350" i="11" s="1"/>
  <c r="H351" i="11" s="1"/>
  <c r="H352" i="11" s="1"/>
  <c r="H353" i="11" s="1"/>
  <c r="H354" i="11" s="1"/>
  <c r="O67" i="33"/>
  <c r="M77" i="33"/>
  <c r="O87" i="33"/>
  <c r="O92" i="33"/>
  <c r="B21" i="8"/>
  <c r="B48" i="8"/>
  <c r="A38" i="10"/>
  <c r="B49" i="8" s="1"/>
  <c r="B148" i="8"/>
  <c r="B149" i="8"/>
  <c r="M79" i="33"/>
  <c r="O80" i="33"/>
  <c r="M80" i="33"/>
  <c r="B171" i="8"/>
  <c r="F730" i="35"/>
  <c r="F705" i="35"/>
  <c r="F430" i="35"/>
  <c r="F580" i="35"/>
  <c r="F405" i="35"/>
  <c r="F505" i="35"/>
  <c r="B161" i="8"/>
  <c r="A44" i="16"/>
  <c r="B162" i="8" s="1"/>
  <c r="K560" i="35"/>
  <c r="M560" i="35" s="1"/>
  <c r="F303" i="35"/>
  <c r="A69" i="17"/>
  <c r="A211" i="12"/>
  <c r="A234" i="12" s="1"/>
  <c r="A257" i="12"/>
  <c r="A280" i="12"/>
  <c r="A303" i="12" s="1"/>
  <c r="A326" i="12" s="1"/>
  <c r="A349" i="12" s="1"/>
  <c r="A372" i="12" s="1"/>
  <c r="G46" i="40"/>
  <c r="F45" i="40"/>
  <c r="F46" i="40"/>
  <c r="I83" i="33"/>
  <c r="I85" i="33"/>
  <c r="I87" i="33"/>
  <c r="I89" i="33"/>
  <c r="I91" i="33"/>
  <c r="I93" i="33"/>
  <c r="I95" i="33"/>
  <c r="I97" i="33"/>
  <c r="I99" i="33"/>
  <c r="I82" i="33"/>
  <c r="I67" i="33"/>
  <c r="I69" i="33"/>
  <c r="I71" i="33"/>
  <c r="I73" i="33"/>
  <c r="I75" i="33"/>
  <c r="I77" i="33"/>
  <c r="I79" i="33"/>
  <c r="I66" i="33"/>
  <c r="I61" i="33"/>
  <c r="I63" i="33"/>
  <c r="I60" i="33"/>
  <c r="I30" i="33"/>
  <c r="I32" i="33"/>
  <c r="I34" i="33"/>
  <c r="I36" i="33"/>
  <c r="I38" i="33"/>
  <c r="I40" i="33"/>
  <c r="I42" i="33"/>
  <c r="I44" i="33"/>
  <c r="I46" i="33"/>
  <c r="I50" i="33"/>
  <c r="I52" i="33"/>
  <c r="I54" i="33"/>
  <c r="I29" i="33"/>
  <c r="I84" i="33"/>
  <c r="I86" i="33"/>
  <c r="I88" i="33"/>
  <c r="I90" i="33"/>
  <c r="I92" i="33"/>
  <c r="I94" i="33"/>
  <c r="I96" i="33"/>
  <c r="I98" i="33"/>
  <c r="I100" i="33"/>
  <c r="I68" i="33"/>
  <c r="I70" i="33"/>
  <c r="I72" i="33"/>
  <c r="I74" i="33"/>
  <c r="I76" i="33"/>
  <c r="I78" i="33"/>
  <c r="I80" i="33"/>
  <c r="I62" i="33"/>
  <c r="I64" i="33"/>
  <c r="I31" i="33"/>
  <c r="I33" i="33"/>
  <c r="I35" i="33"/>
  <c r="I37" i="33"/>
  <c r="I39" i="33"/>
  <c r="I41" i="33"/>
  <c r="I43" i="33"/>
  <c r="I45" i="33"/>
  <c r="I47" i="33"/>
  <c r="I51" i="33"/>
  <c r="I53" i="33"/>
  <c r="M62" i="33"/>
  <c r="E45" i="40"/>
  <c r="E46" i="40"/>
  <c r="D45" i="40"/>
  <c r="F304" i="35"/>
  <c r="K385" i="35"/>
  <c r="M385" i="35" s="1"/>
  <c r="K536" i="35"/>
  <c r="F455" i="35"/>
  <c r="F480" i="35"/>
  <c r="F380" i="35"/>
  <c r="F530" i="35"/>
  <c r="F655" i="35"/>
  <c r="F630" i="35"/>
  <c r="F680" i="35"/>
  <c r="K735" i="35"/>
  <c r="M735" i="35" s="1"/>
  <c r="K311" i="35"/>
  <c r="K128" i="35"/>
  <c r="F479" i="35"/>
  <c r="F679" i="35"/>
  <c r="F729" i="35"/>
  <c r="K134" i="35"/>
  <c r="A64" i="35"/>
  <c r="K195" i="35"/>
  <c r="K200" i="35"/>
  <c r="F529" i="35"/>
  <c r="F454" i="35"/>
  <c r="F654" i="35"/>
  <c r="F704" i="35"/>
  <c r="F604" i="35"/>
  <c r="F379" i="35"/>
  <c r="F504" i="35"/>
  <c r="Q186" i="34"/>
  <c r="R186" i="34" s="1"/>
  <c r="F303" i="8"/>
  <c r="J303" i="8" s="1"/>
  <c r="Q6" i="35"/>
  <c r="R6" i="35" s="1"/>
  <c r="G193" i="11"/>
  <c r="H193" i="11" s="1"/>
  <c r="G304" i="12"/>
  <c r="H304" i="12" s="1"/>
  <c r="N70" i="33"/>
  <c r="G110" i="14"/>
  <c r="H110" i="14" s="1"/>
  <c r="N64" i="33"/>
  <c r="G67" i="11"/>
  <c r="H67" i="11" s="1"/>
  <c r="G68" i="21"/>
  <c r="H68" i="21" s="1"/>
  <c r="G109" i="11"/>
  <c r="H109" i="11" s="1"/>
  <c r="N24" i="33"/>
  <c r="N97" i="33"/>
  <c r="G89" i="14"/>
  <c r="H89" i="14" s="1"/>
  <c r="N77" i="33"/>
  <c r="N80" i="33"/>
  <c r="N41" i="33"/>
  <c r="G25" i="29"/>
  <c r="H25" i="29" s="1"/>
  <c r="N53" i="33"/>
  <c r="N45" i="33"/>
  <c r="N91" i="33"/>
  <c r="N87" i="33"/>
  <c r="N51" i="33"/>
  <c r="N46" i="33"/>
  <c r="N27" i="33"/>
  <c r="N71" i="33"/>
  <c r="N20" i="33"/>
  <c r="N85" i="33"/>
  <c r="N37" i="33"/>
  <c r="N88" i="33"/>
  <c r="N29" i="33"/>
  <c r="N38" i="33"/>
  <c r="N60" i="33"/>
  <c r="N40" i="33"/>
  <c r="N39" i="33"/>
  <c r="G829" i="35"/>
  <c r="H829" i="35" s="1"/>
  <c r="G854" i="35"/>
  <c r="H854" i="35" s="1"/>
  <c r="G929" i="35"/>
  <c r="H929" i="35" s="1"/>
  <c r="G10" i="18"/>
  <c r="H10" i="18" s="1"/>
  <c r="G164" i="34"/>
  <c r="H164" i="34" s="1"/>
  <c r="G45" i="47"/>
  <c r="H45" i="47" s="1"/>
  <c r="G95" i="34"/>
  <c r="H95" i="34" s="1"/>
  <c r="G73" i="34"/>
  <c r="H73" i="34" s="1"/>
  <c r="G258" i="12"/>
  <c r="H258" i="12" s="1"/>
  <c r="G47" i="21"/>
  <c r="H47" i="21" s="1"/>
  <c r="G319" i="11"/>
  <c r="H319" i="11" s="1"/>
  <c r="G230" i="34"/>
  <c r="H230" i="34" s="1"/>
  <c r="G904" i="35"/>
  <c r="H904" i="35" s="1"/>
  <c r="G208" i="34"/>
  <c r="G85" i="18"/>
  <c r="H85" i="18" s="1"/>
  <c r="G189" i="12"/>
  <c r="H189" i="12" s="1"/>
  <c r="G26" i="17"/>
  <c r="H26" i="17" s="1"/>
  <c r="G28" i="34"/>
  <c r="H28" i="34" s="1"/>
  <c r="G151" i="11"/>
  <c r="H151" i="11" s="1"/>
  <c r="G97" i="12"/>
  <c r="H97" i="12" s="1"/>
  <c r="G373" i="12"/>
  <c r="H373" i="12" s="1"/>
  <c r="H74" i="12"/>
  <c r="G120" i="12"/>
  <c r="H120" i="12" s="1"/>
  <c r="G51" i="12"/>
  <c r="H51" i="12" s="1"/>
  <c r="G110" i="18"/>
  <c r="H110" i="18" s="1"/>
  <c r="N98" i="33"/>
  <c r="G298" i="11"/>
  <c r="H298" i="11" s="1"/>
  <c r="G166" i="12"/>
  <c r="H166" i="12" s="1"/>
  <c r="G235" i="11"/>
  <c r="H235" i="11" s="1"/>
  <c r="N89" i="33"/>
  <c r="G46" i="11"/>
  <c r="H46" i="11" s="1"/>
  <c r="G129" i="34"/>
  <c r="H129" i="34" s="1"/>
  <c r="G145" i="16"/>
  <c r="H145" i="16" s="1"/>
  <c r="G25" i="13"/>
  <c r="H25" i="13" s="1"/>
  <c r="G5" i="14"/>
  <c r="H5" i="14" s="1"/>
  <c r="G26" i="14"/>
  <c r="H26" i="14" s="1"/>
  <c r="G5" i="16"/>
  <c r="H5" i="16" s="1"/>
  <c r="G60" i="18"/>
  <c r="H60" i="18" s="1"/>
  <c r="G45" i="13"/>
  <c r="H45" i="13" s="1"/>
  <c r="N61" i="33"/>
  <c r="N100" i="33"/>
  <c r="G89" i="21"/>
  <c r="H89" i="21" s="1"/>
  <c r="G212" i="12"/>
  <c r="H212" i="12" s="1"/>
  <c r="G105" i="16"/>
  <c r="H105" i="16" s="1"/>
  <c r="N99" i="33"/>
  <c r="G327" i="12"/>
  <c r="H327" i="12" s="1"/>
  <c r="N47" i="33"/>
  <c r="G5" i="17"/>
  <c r="H5" i="17" s="1"/>
  <c r="G5" i="13"/>
  <c r="H5" i="13" s="1"/>
  <c r="G361" i="11"/>
  <c r="H361" i="11" s="1"/>
  <c r="G47" i="27"/>
  <c r="H47" i="27" s="1"/>
  <c r="G277" i="11"/>
  <c r="H277" i="11" s="1"/>
  <c r="N56" i="33"/>
  <c r="G175" i="9"/>
  <c r="H175" i="9" s="1"/>
  <c r="N69" i="33"/>
  <c r="G114" i="17"/>
  <c r="H114" i="17" s="1"/>
  <c r="G143" i="12"/>
  <c r="H143" i="12" s="1"/>
  <c r="G382" i="11"/>
  <c r="H382" i="11" s="1"/>
  <c r="G281" i="12"/>
  <c r="H281" i="12" s="1"/>
  <c r="G47" i="14"/>
  <c r="H47" i="14" s="1"/>
  <c r="G130" i="11"/>
  <c r="H130" i="11" s="1"/>
  <c r="G28" i="12"/>
  <c r="H28" i="12" s="1"/>
  <c r="N93" i="33"/>
  <c r="G879" i="35"/>
  <c r="H879" i="35" s="1"/>
  <c r="G26" i="21"/>
  <c r="H26" i="21" s="1"/>
  <c r="G5" i="31"/>
  <c r="H5" i="31" s="1"/>
  <c r="G85" i="16"/>
  <c r="H85" i="16" s="1"/>
  <c r="N72" i="33"/>
  <c r="G350" i="12"/>
  <c r="H350" i="12" s="1"/>
  <c r="G25" i="16"/>
  <c r="H25" i="16" s="1"/>
  <c r="G5" i="21"/>
  <c r="H5" i="21" s="1"/>
  <c r="G202" i="17"/>
  <c r="H202" i="17" s="1"/>
  <c r="G5" i="27"/>
  <c r="H5" i="27" s="1"/>
  <c r="N84" i="33"/>
  <c r="G125" i="16"/>
  <c r="H125" i="16" s="1"/>
  <c r="G55" i="18"/>
  <c r="H55" i="18" s="1"/>
  <c r="G213" i="9"/>
  <c r="H213" i="9" s="1"/>
  <c r="G47" i="28"/>
  <c r="H47" i="28" s="1"/>
  <c r="G73" i="29"/>
  <c r="H73" i="29" s="1"/>
  <c r="N44" i="33"/>
  <c r="G5" i="29"/>
  <c r="H5" i="29" s="1"/>
  <c r="G70" i="17"/>
  <c r="H70" i="17" s="1"/>
  <c r="G25" i="31"/>
  <c r="H25" i="31" s="1"/>
  <c r="G180" i="17"/>
  <c r="H180" i="17" s="1"/>
  <c r="G214" i="11"/>
  <c r="H214" i="11" s="1"/>
  <c r="G6" i="36"/>
  <c r="H6" i="36" s="1"/>
  <c r="G35" i="18"/>
  <c r="H35" i="18" s="1"/>
  <c r="G26" i="27"/>
  <c r="H26" i="27" s="1"/>
  <c r="G194" i="9"/>
  <c r="H194" i="9" s="1"/>
  <c r="G112" i="34"/>
  <c r="H112" i="34" s="1"/>
  <c r="G5" i="12"/>
  <c r="H5" i="12" s="1"/>
  <c r="N31" i="33"/>
  <c r="G105" i="18"/>
  <c r="H105" i="18" s="1"/>
  <c r="G136" i="17"/>
  <c r="H136" i="17" s="1"/>
  <c r="N57" i="33"/>
  <c r="G68" i="14"/>
  <c r="H68" i="14" s="1"/>
  <c r="N50" i="33"/>
  <c r="N92" i="33"/>
  <c r="G80" i="18"/>
  <c r="H80" i="18" s="1"/>
  <c r="G5" i="18"/>
  <c r="H5" i="18" s="1"/>
  <c r="N73" i="33"/>
  <c r="N86" i="33"/>
  <c r="N83" i="33"/>
  <c r="G45" i="16"/>
  <c r="H45" i="16" s="1"/>
  <c r="G49" i="29"/>
  <c r="H49" i="29" s="1"/>
  <c r="N79" i="33"/>
  <c r="N82" i="33"/>
  <c r="N34" i="33"/>
  <c r="N30" i="33"/>
  <c r="N52" i="33"/>
  <c r="N66" i="33"/>
  <c r="N32" i="33"/>
  <c r="N42" i="33"/>
  <c r="N67" i="33"/>
  <c r="N68" i="33"/>
  <c r="N54" i="33"/>
  <c r="N26" i="33"/>
  <c r="N75" i="33"/>
  <c r="N76" i="33"/>
  <c r="N62" i="33"/>
  <c r="N94" i="33"/>
  <c r="N23" i="33"/>
  <c r="N25" i="33"/>
  <c r="N74" i="33"/>
  <c r="N19" i="33"/>
  <c r="N63" i="33"/>
  <c r="N96" i="33"/>
  <c r="N43" i="33"/>
  <c r="N33" i="33"/>
  <c r="G5" i="28"/>
  <c r="H5" i="28" s="1"/>
  <c r="G158" i="17"/>
  <c r="H158" i="17" s="1"/>
  <c r="N55" i="33"/>
  <c r="N35" i="33"/>
  <c r="G92" i="17"/>
  <c r="H92" i="17" s="1"/>
  <c r="G65" i="16"/>
  <c r="H65" i="16" s="1"/>
  <c r="N90" i="33"/>
  <c r="G48" i="17"/>
  <c r="H48" i="17" s="1"/>
  <c r="G30" i="18"/>
  <c r="H30" i="18" s="1"/>
  <c r="G26" i="28"/>
  <c r="H26" i="28" s="1"/>
  <c r="N36" i="33"/>
  <c r="N95" i="33"/>
  <c r="N78" i="33"/>
  <c r="G235" i="12"/>
  <c r="H235" i="12" s="1"/>
  <c r="H48" i="37"/>
  <c r="H7" i="38"/>
  <c r="H186" i="34"/>
  <c r="H30" i="37"/>
  <c r="H15" i="37"/>
  <c r="H146" i="34"/>
  <c r="G39" i="38"/>
  <c r="G77" i="34"/>
  <c r="H77" i="34" s="1"/>
  <c r="H7" i="46"/>
  <c r="G11" i="45"/>
  <c r="G62" i="45"/>
  <c r="G87" i="45" s="1"/>
  <c r="H87" i="45" s="1"/>
  <c r="G782" i="35"/>
  <c r="H782" i="35" s="1"/>
  <c r="G5" i="49"/>
  <c r="H5" i="49" s="1"/>
  <c r="H6" i="40"/>
  <c r="R29" i="45"/>
  <c r="I56" i="33"/>
  <c r="G881" i="35"/>
  <c r="G29" i="34"/>
  <c r="H29" i="34" s="1"/>
  <c r="G856" i="35"/>
  <c r="H856" i="35" s="1"/>
  <c r="G52" i="34"/>
  <c r="H52" i="34" s="1"/>
  <c r="G831" i="35"/>
  <c r="H831" i="35" s="1"/>
  <c r="G906" i="35"/>
  <c r="H906" i="35" s="1"/>
  <c r="G7" i="34"/>
  <c r="H7" i="34" s="1"/>
  <c r="G931" i="35"/>
  <c r="G51" i="34"/>
  <c r="H51" i="34" s="1"/>
  <c r="G30" i="34"/>
  <c r="H30" i="34" s="1"/>
  <c r="H29" i="37"/>
  <c r="G13" i="45"/>
  <c r="H13" i="45" s="1"/>
  <c r="G8" i="45"/>
  <c r="H8" i="45" s="1"/>
  <c r="G6" i="45"/>
  <c r="H6" i="45" s="1"/>
  <c r="G9" i="45"/>
  <c r="G55" i="45" s="1"/>
  <c r="G54" i="34"/>
  <c r="H54" i="34" s="1"/>
  <c r="G6" i="19"/>
  <c r="H6" i="19" s="1"/>
  <c r="G166" i="34"/>
  <c r="H166" i="34" s="1"/>
  <c r="G260" i="12"/>
  <c r="H260" i="12" s="1"/>
  <c r="G630" i="35"/>
  <c r="H630" i="35" s="1"/>
  <c r="G6" i="11"/>
  <c r="H6" i="11" s="1"/>
  <c r="G26" i="11"/>
  <c r="H26" i="11" s="1"/>
  <c r="G6" i="48"/>
  <c r="H6" i="48" s="1"/>
  <c r="H8" i="48" s="1"/>
  <c r="G780" i="35"/>
  <c r="H780" i="35" s="1"/>
  <c r="G200" i="35"/>
  <c r="H200" i="35" s="1"/>
  <c r="G165" i="35"/>
  <c r="H165" i="35" s="1"/>
  <c r="G133" i="35"/>
  <c r="H133" i="35" s="1"/>
  <c r="P58" i="33"/>
  <c r="G755" i="35"/>
  <c r="H755" i="35" s="1"/>
  <c r="G230" i="35"/>
  <c r="H230" i="35" s="1"/>
  <c r="G18" i="35"/>
  <c r="G48" i="21"/>
  <c r="H48" i="21" s="1"/>
  <c r="P83" i="33"/>
  <c r="P40" i="33"/>
  <c r="G50" i="29"/>
  <c r="H50" i="29" s="1"/>
  <c r="R49" i="29"/>
  <c r="R58" i="29" s="1"/>
  <c r="G26" i="29"/>
  <c r="H26" i="29" s="1"/>
  <c r="G86" i="18"/>
  <c r="H86" i="18" s="1"/>
  <c r="G83" i="18"/>
  <c r="H83" i="18" s="1"/>
  <c r="G31" i="18"/>
  <c r="H31" i="18" s="1"/>
  <c r="M139" i="17"/>
  <c r="G126" i="16"/>
  <c r="H126" i="16" s="1"/>
  <c r="G55" i="34"/>
  <c r="H55" i="34" s="1"/>
  <c r="G383" i="11"/>
  <c r="H383" i="11" s="1"/>
  <c r="G253" i="9"/>
  <c r="H253" i="9" s="1"/>
  <c r="H258" i="9" s="1"/>
  <c r="P92" i="33"/>
  <c r="P85" i="33"/>
  <c r="P80" i="33"/>
  <c r="P76" i="33"/>
  <c r="P72" i="33"/>
  <c r="P64" i="33"/>
  <c r="P60" i="33"/>
  <c r="P39" i="33"/>
  <c r="P20" i="33"/>
  <c r="P50" i="33"/>
  <c r="P69" i="33"/>
  <c r="P88" i="33"/>
  <c r="G23" i="9"/>
  <c r="H23" i="9" s="1"/>
  <c r="H28" i="9" s="1"/>
  <c r="G99" i="9"/>
  <c r="H99" i="9" s="1"/>
  <c r="H104" i="9" s="1"/>
  <c r="R99" i="9" s="1"/>
  <c r="R104" i="9" s="1"/>
  <c r="H105" i="9" s="1"/>
  <c r="H107" i="9" s="1"/>
  <c r="H108" i="9" s="1"/>
  <c r="H109" i="9" s="1"/>
  <c r="H110" i="9" s="1"/>
  <c r="G137" i="17"/>
  <c r="H137" i="17" s="1"/>
  <c r="G6" i="12"/>
  <c r="H6" i="12" s="1"/>
  <c r="G10" i="45"/>
  <c r="H10" i="45" s="1"/>
  <c r="P54" i="33"/>
  <c r="P57" i="33"/>
  <c r="G231" i="34"/>
  <c r="G130" i="34"/>
  <c r="H130" i="34" s="1"/>
  <c r="G96" i="34"/>
  <c r="H96" i="34" s="1"/>
  <c r="G32" i="34"/>
  <c r="H32" i="34" s="1"/>
  <c r="G930" i="35"/>
  <c r="H930" i="35" s="1"/>
  <c r="G905" i="35"/>
  <c r="H905" i="35" s="1"/>
  <c r="G830" i="35"/>
  <c r="H830" i="35" s="1"/>
  <c r="G108" i="18"/>
  <c r="H108" i="18" s="1"/>
  <c r="G61" i="18"/>
  <c r="H61" i="18" s="1"/>
  <c r="G11" i="18"/>
  <c r="H11" i="18" s="1"/>
  <c r="G203" i="17"/>
  <c r="H203" i="17" s="1"/>
  <c r="P63" i="33"/>
  <c r="G299" i="11"/>
  <c r="H299" i="11" s="1"/>
  <c r="G47" i="11"/>
  <c r="H47" i="11" s="1"/>
  <c r="G329" i="9"/>
  <c r="H329" i="9" s="1"/>
  <c r="H336" i="9" s="1"/>
  <c r="R329" i="9" s="1"/>
  <c r="R336" i="9" s="1"/>
  <c r="G156" i="9"/>
  <c r="H156" i="9" s="1"/>
  <c r="M182" i="17"/>
  <c r="G27" i="14"/>
  <c r="H27" i="14" s="1"/>
  <c r="G215" i="11"/>
  <c r="H215" i="11" s="1"/>
  <c r="G83" i="7"/>
  <c r="H83" i="7" s="1"/>
  <c r="H90" i="7" s="1"/>
  <c r="P94" i="33"/>
  <c r="P82" i="33"/>
  <c r="P74" i="33"/>
  <c r="P62" i="33"/>
  <c r="P26" i="33"/>
  <c r="P43" i="33"/>
  <c r="P86" i="33"/>
  <c r="G188" i="7"/>
  <c r="H188" i="7" s="1"/>
  <c r="H195" i="7" s="1"/>
  <c r="G392" i="9"/>
  <c r="H392" i="9" s="1"/>
  <c r="H399" i="9" s="1"/>
  <c r="R392" i="9" s="1"/>
  <c r="R399" i="9" s="1"/>
  <c r="H400" i="9" s="1"/>
  <c r="P56" i="33"/>
  <c r="G26" i="31"/>
  <c r="H26" i="31" s="1"/>
  <c r="G48" i="28"/>
  <c r="H48" i="28" s="1"/>
  <c r="G6" i="28"/>
  <c r="H6" i="28" s="1"/>
  <c r="G27" i="21"/>
  <c r="H27" i="21" s="1"/>
  <c r="G5" i="19"/>
  <c r="H5" i="19" s="1"/>
  <c r="G106" i="18"/>
  <c r="H106" i="18" s="1"/>
  <c r="G8" i="18"/>
  <c r="H8" i="18" s="1"/>
  <c r="M160" i="17"/>
  <c r="M117" i="17"/>
  <c r="G115" i="17"/>
  <c r="H115" i="17" s="1"/>
  <c r="G49" i="17"/>
  <c r="H49" i="17" s="1"/>
  <c r="G106" i="16"/>
  <c r="H106" i="16" s="1"/>
  <c r="G46" i="16"/>
  <c r="H46" i="16" s="1"/>
  <c r="G48" i="14"/>
  <c r="H48" i="14" s="1"/>
  <c r="G6" i="14"/>
  <c r="H6" i="14" s="1"/>
  <c r="G26" i="13"/>
  <c r="H26" i="13" s="1"/>
  <c r="G374" i="12"/>
  <c r="H374" i="12" s="1"/>
  <c r="G305" i="12"/>
  <c r="H305" i="12" s="1"/>
  <c r="G282" i="12"/>
  <c r="H282" i="12" s="1"/>
  <c r="G259" i="12"/>
  <c r="H259" i="12" s="1"/>
  <c r="G236" i="12"/>
  <c r="H236" i="12" s="1"/>
  <c r="G167" i="12"/>
  <c r="H167" i="12" s="1"/>
  <c r="G144" i="12"/>
  <c r="H144" i="12" s="1"/>
  <c r="H75" i="12"/>
  <c r="G52" i="12"/>
  <c r="H52" i="12" s="1"/>
  <c r="G29" i="12"/>
  <c r="H29" i="12" s="1"/>
  <c r="G362" i="11"/>
  <c r="H362" i="11" s="1"/>
  <c r="G110" i="11"/>
  <c r="H110" i="11" s="1"/>
  <c r="G130" i="10"/>
  <c r="H130" i="10" s="1"/>
  <c r="H134" i="10" s="1"/>
  <c r="G22" i="10"/>
  <c r="H22" i="10" s="1"/>
  <c r="H25" i="10" s="1"/>
  <c r="G5" i="10"/>
  <c r="H5" i="10" s="1"/>
  <c r="H8" i="10" s="1"/>
  <c r="G471" i="9"/>
  <c r="H471" i="9" s="1"/>
  <c r="H475" i="9" s="1"/>
  <c r="R471" i="9" s="1"/>
  <c r="R475" i="9" s="1"/>
  <c r="G434" i="9"/>
  <c r="H434" i="9" s="1"/>
  <c r="H438" i="9" s="1"/>
  <c r="R434" i="9" s="1"/>
  <c r="R438" i="9" s="1"/>
  <c r="G74" i="34"/>
  <c r="H74" i="34" s="1"/>
  <c r="G6" i="29"/>
  <c r="H6" i="29" s="1"/>
  <c r="G6" i="27"/>
  <c r="H6" i="27" s="1"/>
  <c r="G93" i="17"/>
  <c r="H93" i="17" s="1"/>
  <c r="G146" i="16"/>
  <c r="H146" i="16" s="1"/>
  <c r="G86" i="16"/>
  <c r="H86" i="16" s="1"/>
  <c r="G26" i="16"/>
  <c r="H26" i="16" s="1"/>
  <c r="G351" i="12"/>
  <c r="H351" i="12" s="1"/>
  <c r="G328" i="12"/>
  <c r="H328" i="12" s="1"/>
  <c r="G213" i="12"/>
  <c r="H213" i="12" s="1"/>
  <c r="G190" i="12"/>
  <c r="H190" i="12" s="1"/>
  <c r="G121" i="12"/>
  <c r="H121" i="12" s="1"/>
  <c r="G98" i="12"/>
  <c r="H98" i="12" s="1"/>
  <c r="G320" i="11"/>
  <c r="H320" i="11" s="1"/>
  <c r="G236" i="11"/>
  <c r="H236" i="11" s="1"/>
  <c r="G194" i="11"/>
  <c r="H194" i="11" s="1"/>
  <c r="G68" i="11"/>
  <c r="H68" i="11" s="1"/>
  <c r="G93" i="10"/>
  <c r="H93" i="10" s="1"/>
  <c r="H98" i="10" s="1"/>
  <c r="R93" i="10" s="1"/>
  <c r="G56" i="10"/>
  <c r="H56" i="10" s="1"/>
  <c r="H59" i="10" s="1"/>
  <c r="G350" i="9"/>
  <c r="H350" i="9" s="1"/>
  <c r="H357" i="9" s="1"/>
  <c r="R350" i="9" s="1"/>
  <c r="R357" i="9" s="1"/>
  <c r="H358" i="9" s="1"/>
  <c r="G272" i="9"/>
  <c r="H272" i="9" s="1"/>
  <c r="H277" i="9" s="1"/>
  <c r="G234" i="9"/>
  <c r="H234" i="9" s="1"/>
  <c r="H239" i="9" s="1"/>
  <c r="R234" i="9" s="1"/>
  <c r="R239" i="9" s="1"/>
  <c r="G176" i="9"/>
  <c r="H176" i="9" s="1"/>
  <c r="G227" i="7"/>
  <c r="H227" i="7" s="1"/>
  <c r="H230" i="7" s="1"/>
  <c r="G209" i="7"/>
  <c r="H209" i="7" s="1"/>
  <c r="H213" i="7" s="1"/>
  <c r="R209" i="7" s="1"/>
  <c r="G104" i="7"/>
  <c r="H104" i="7" s="1"/>
  <c r="H111" i="7" s="1"/>
  <c r="G65" i="7"/>
  <c r="H65" i="7" s="1"/>
  <c r="H69" i="7" s="1"/>
  <c r="G5" i="7"/>
  <c r="H5" i="7" s="1"/>
  <c r="H12" i="7" s="1"/>
  <c r="R5" i="7" s="1"/>
  <c r="R12" i="7" s="1"/>
  <c r="P100" i="33"/>
  <c r="P97" i="33"/>
  <c r="P95" i="33"/>
  <c r="P91" i="33"/>
  <c r="P87" i="33"/>
  <c r="P79" i="33"/>
  <c r="P75" i="33"/>
  <c r="P71" i="33"/>
  <c r="P68" i="33"/>
  <c r="P53" i="33"/>
  <c r="P46" i="33"/>
  <c r="P44" i="33"/>
  <c r="P41" i="33"/>
  <c r="P37" i="33"/>
  <c r="P35" i="33"/>
  <c r="P33" i="33"/>
  <c r="P31" i="33"/>
  <c r="P29" i="33"/>
  <c r="P25" i="33"/>
  <c r="P23" i="33"/>
  <c r="G152" i="11"/>
  <c r="H152" i="11" s="1"/>
  <c r="G291" i="9"/>
  <c r="H291" i="9" s="1"/>
  <c r="H296" i="9" s="1"/>
  <c r="R291" i="9" s="1"/>
  <c r="R296" i="9" s="1"/>
  <c r="G90" i="14"/>
  <c r="H90" i="14" s="1"/>
  <c r="P90" i="33"/>
  <c r="P66" i="33"/>
  <c r="P19" i="33"/>
  <c r="G167" i="7"/>
  <c r="H167" i="7" s="1"/>
  <c r="H174" i="7" s="1"/>
  <c r="G6" i="31"/>
  <c r="H6" i="31" s="1"/>
  <c r="G48" i="27"/>
  <c r="H48" i="27" s="1"/>
  <c r="G111" i="18"/>
  <c r="H111" i="18" s="1"/>
  <c r="G181" i="17"/>
  <c r="H181" i="17" s="1"/>
  <c r="M116" i="17"/>
  <c r="G27" i="17"/>
  <c r="H27" i="17" s="1"/>
  <c r="G6" i="16"/>
  <c r="H6" i="16" s="1"/>
  <c r="G73" i="10"/>
  <c r="H73" i="10" s="1"/>
  <c r="H79" i="10" s="1"/>
  <c r="R73" i="10" s="1"/>
  <c r="G10" i="34"/>
  <c r="H10" i="34" s="1"/>
  <c r="G5" i="22"/>
  <c r="H5" i="22" s="1"/>
  <c r="H10" i="22" s="1"/>
  <c r="G69" i="21"/>
  <c r="H69" i="21" s="1"/>
  <c r="G56" i="18"/>
  <c r="H56" i="18" s="1"/>
  <c r="G33" i="18"/>
  <c r="H33" i="18" s="1"/>
  <c r="G452" i="9"/>
  <c r="H452" i="9" s="1"/>
  <c r="H457" i="9" s="1"/>
  <c r="R452" i="9" s="1"/>
  <c r="R457" i="9" s="1"/>
  <c r="H458" i="9" s="1"/>
  <c r="H460" i="9" s="1"/>
  <c r="H461" i="9" s="1"/>
  <c r="H462" i="9" s="1"/>
  <c r="H463" i="9" s="1"/>
  <c r="G214" i="9"/>
  <c r="H214" i="9" s="1"/>
  <c r="G5" i="9"/>
  <c r="H5" i="9" s="1"/>
  <c r="H9" i="9" s="1"/>
  <c r="G146" i="7"/>
  <c r="H146" i="7" s="1"/>
  <c r="H153" i="7" s="1"/>
  <c r="G26" i="7"/>
  <c r="H26" i="7" s="1"/>
  <c r="H33" i="7" s="1"/>
  <c r="P96" i="33"/>
  <c r="P89" i="33"/>
  <c r="P77" i="33"/>
  <c r="P70" i="33"/>
  <c r="P47" i="33"/>
  <c r="P42" i="33"/>
  <c r="P36" i="33"/>
  <c r="P32" i="33"/>
  <c r="P27" i="33"/>
  <c r="G5" i="36"/>
  <c r="H5" i="36" s="1"/>
  <c r="G880" i="35"/>
  <c r="H880" i="35" s="1"/>
  <c r="G113" i="34"/>
  <c r="H113" i="34" s="1"/>
  <c r="G6" i="13"/>
  <c r="H6" i="13" s="1"/>
  <c r="P78" i="33"/>
  <c r="P51" i="33"/>
  <c r="P61" i="33"/>
  <c r="G6" i="17"/>
  <c r="H6" i="17" s="1"/>
  <c r="P55" i="33"/>
  <c r="G27" i="28"/>
  <c r="H27" i="28" s="1"/>
  <c r="G6" i="21"/>
  <c r="H6" i="21" s="1"/>
  <c r="G58" i="18"/>
  <c r="G159" i="17"/>
  <c r="H159" i="17" s="1"/>
  <c r="G71" i="17"/>
  <c r="H71" i="17" s="1"/>
  <c r="G66" i="16"/>
  <c r="H66" i="16" s="1"/>
  <c r="G165" i="34"/>
  <c r="H165" i="34" s="1"/>
  <c r="G27" i="27"/>
  <c r="H27" i="27" s="1"/>
  <c r="G90" i="21"/>
  <c r="H90" i="21" s="1"/>
  <c r="G81" i="18"/>
  <c r="H81" i="18" s="1"/>
  <c r="G36" i="18"/>
  <c r="H36" i="18" s="1"/>
  <c r="G6" i="18"/>
  <c r="H6" i="18" s="1"/>
  <c r="M138" i="17"/>
  <c r="G39" i="10"/>
  <c r="H39" i="10" s="1"/>
  <c r="H42" i="10" s="1"/>
  <c r="G118" i="9"/>
  <c r="H118" i="9" s="1"/>
  <c r="H123" i="9" s="1"/>
  <c r="G125" i="7"/>
  <c r="H125" i="7" s="1"/>
  <c r="H132" i="7" s="1"/>
  <c r="G47" i="7"/>
  <c r="H47" i="7" s="1"/>
  <c r="H51" i="7" s="1"/>
  <c r="R47" i="7" s="1"/>
  <c r="R51" i="7" s="1"/>
  <c r="P99" i="33"/>
  <c r="P93" i="33"/>
  <c r="P84" i="33"/>
  <c r="P73" i="33"/>
  <c r="P67" i="33"/>
  <c r="P45" i="33"/>
  <c r="P38" i="33"/>
  <c r="P34" i="33"/>
  <c r="P30" i="33"/>
  <c r="P24" i="33"/>
  <c r="G778" i="35"/>
  <c r="H778" i="35" s="1"/>
  <c r="G528" i="35"/>
  <c r="G428" i="35"/>
  <c r="G378" i="35"/>
  <c r="G453" i="35"/>
  <c r="G353" i="35"/>
  <c r="G303" i="35"/>
  <c r="G224" i="35"/>
  <c r="H224" i="35" s="1"/>
  <c r="G703" i="35"/>
  <c r="G903" i="35"/>
  <c r="H903" i="35" s="1"/>
  <c r="G163" i="34"/>
  <c r="H163" i="34" s="1"/>
  <c r="G27" i="34"/>
  <c r="H27" i="34" s="1"/>
  <c r="G229" i="34"/>
  <c r="H229" i="34" s="1"/>
  <c r="G678" i="35"/>
  <c r="G853" i="35"/>
  <c r="H853" i="35" s="1"/>
  <c r="G71" i="34"/>
  <c r="H71" i="34" s="1"/>
  <c r="G628" i="35"/>
  <c r="G728" i="35"/>
  <c r="G4" i="45"/>
  <c r="H4" i="45" s="1"/>
  <c r="G907" i="35"/>
  <c r="G882" i="35"/>
  <c r="G832" i="35"/>
  <c r="H832" i="35" s="1"/>
  <c r="G258" i="35"/>
  <c r="H258" i="35" s="1"/>
  <c r="G167" i="35"/>
  <c r="H167" i="35" s="1"/>
  <c r="G40" i="35"/>
  <c r="H40" i="35" s="1"/>
  <c r="G12" i="45"/>
  <c r="G58" i="45" s="1"/>
  <c r="G83" i="45" s="1"/>
  <c r="H83" i="45" s="1"/>
  <c r="H6" i="47"/>
  <c r="H5" i="40"/>
  <c r="H46" i="37"/>
  <c r="H28" i="37"/>
  <c r="H185" i="34"/>
  <c r="H5" i="38"/>
  <c r="H13" i="37"/>
  <c r="H4" i="40"/>
  <c r="H6" i="46"/>
  <c r="G5" i="45"/>
  <c r="H5" i="45" s="1"/>
  <c r="G72" i="34"/>
  <c r="H72" i="34" s="1"/>
  <c r="G6" i="34"/>
  <c r="H6" i="34" s="1"/>
  <c r="G260" i="35"/>
  <c r="H260" i="35" s="1"/>
  <c r="G227" i="35"/>
  <c r="H227" i="35" s="1"/>
  <c r="G198" i="35"/>
  <c r="H198" i="35" s="1"/>
  <c r="G196" i="35"/>
  <c r="H196" i="35" s="1"/>
  <c r="G163" i="35"/>
  <c r="H163" i="35" s="1"/>
  <c r="G161" i="35"/>
  <c r="H161" i="35" s="1"/>
  <c r="G131" i="35"/>
  <c r="H131" i="35" s="1"/>
  <c r="G129" i="35"/>
  <c r="G228" i="35"/>
  <c r="H228" i="35" s="1"/>
  <c r="G226" i="35"/>
  <c r="H226" i="35" s="1"/>
  <c r="G197" i="35"/>
  <c r="H197" i="35" s="1"/>
  <c r="G162" i="35"/>
  <c r="H162" i="35" s="1"/>
  <c r="G130" i="35"/>
  <c r="H130" i="35" s="1"/>
  <c r="G42" i="35"/>
  <c r="H42" i="35" s="1"/>
  <c r="G12" i="35"/>
  <c r="H12" i="35" s="1"/>
  <c r="G201" i="35"/>
  <c r="H201" i="35" s="1"/>
  <c r="G7" i="49"/>
  <c r="G530" i="35"/>
  <c r="H530" i="35" s="1"/>
  <c r="G480" i="35"/>
  <c r="H480" i="35" s="1"/>
  <c r="G430" i="35"/>
  <c r="G380" i="35"/>
  <c r="G330" i="35"/>
  <c r="G280" i="35"/>
  <c r="H280" i="35" s="1"/>
  <c r="G505" i="35"/>
  <c r="H505" i="35" s="1"/>
  <c r="G455" i="35"/>
  <c r="G405" i="35"/>
  <c r="H405" i="35" s="1"/>
  <c r="G355" i="35"/>
  <c r="H355" i="35" s="1"/>
  <c r="G305" i="35"/>
  <c r="G257" i="35"/>
  <c r="H257" i="35" s="1"/>
  <c r="G38" i="35"/>
  <c r="H38" i="35" s="1"/>
  <c r="G8" i="35"/>
  <c r="H8" i="35" s="1"/>
  <c r="G655" i="35"/>
  <c r="H655" i="35" s="1"/>
  <c r="G580" i="35"/>
  <c r="H580" i="35" s="1"/>
  <c r="G705" i="35"/>
  <c r="H705" i="35" s="1"/>
  <c r="G605" i="35"/>
  <c r="G680" i="35"/>
  <c r="H680" i="35" s="1"/>
  <c r="G555" i="35"/>
  <c r="G730" i="35"/>
  <c r="H730" i="35" s="1"/>
  <c r="G6" i="49"/>
  <c r="H6" i="49" s="1"/>
  <c r="G504" i="35"/>
  <c r="G454" i="35"/>
  <c r="H454" i="35" s="1"/>
  <c r="G404" i="35"/>
  <c r="H404" i="35" s="1"/>
  <c r="G354" i="35"/>
  <c r="H354" i="35" s="1"/>
  <c r="G304" i="35"/>
  <c r="H304" i="35" s="1"/>
  <c r="G256" i="35"/>
  <c r="H256" i="35" s="1"/>
  <c r="G37" i="35"/>
  <c r="H37" i="35" s="1"/>
  <c r="G7" i="35"/>
  <c r="H7" i="35" s="1"/>
  <c r="G529" i="35"/>
  <c r="G479" i="35"/>
  <c r="H479" i="35" s="1"/>
  <c r="G429" i="35"/>
  <c r="G379" i="35"/>
  <c r="H379" i="35" s="1"/>
  <c r="G329" i="35"/>
  <c r="H329" i="35" s="1"/>
  <c r="G279" i="35"/>
  <c r="H279" i="35" s="1"/>
  <c r="G654" i="35"/>
  <c r="G704" i="35"/>
  <c r="G729" i="35"/>
  <c r="H729" i="35" s="1"/>
  <c r="G604" i="35"/>
  <c r="G8" i="34"/>
  <c r="H8" i="34" s="1"/>
  <c r="G806" i="35"/>
  <c r="G756" i="35"/>
  <c r="H756" i="35" s="1"/>
  <c r="G233" i="35"/>
  <c r="H233" i="35" s="1"/>
  <c r="G229" i="35"/>
  <c r="H229" i="35" s="1"/>
  <c r="G204" i="35"/>
  <c r="H204" i="35" s="1"/>
  <c r="G169" i="35"/>
  <c r="H169" i="35" s="1"/>
  <c r="G137" i="35"/>
  <c r="H137" i="35" s="1"/>
  <c r="G45" i="35"/>
  <c r="H45" i="35" s="1"/>
  <c r="G15" i="35"/>
  <c r="H15" i="35" s="1"/>
  <c r="G781" i="35"/>
  <c r="H781" i="35" s="1"/>
  <c r="G234" i="35"/>
  <c r="H234" i="35" s="1"/>
  <c r="G203" i="35"/>
  <c r="H203" i="35" s="1"/>
  <c r="G199" i="35"/>
  <c r="H199" i="35" s="1"/>
  <c r="G168" i="35"/>
  <c r="H168" i="35" s="1"/>
  <c r="G164" i="35"/>
  <c r="H164" i="35" s="1"/>
  <c r="G136" i="35"/>
  <c r="H136" i="35" s="1"/>
  <c r="G132" i="35"/>
  <c r="H132" i="35" s="1"/>
  <c r="G46" i="35"/>
  <c r="H46" i="35" s="1"/>
  <c r="G16" i="35"/>
  <c r="H322" i="34"/>
  <c r="H33" i="46"/>
  <c r="H129" i="35"/>
  <c r="G26" i="47"/>
  <c r="H26" i="47" s="1"/>
  <c r="L81" i="45"/>
  <c r="M81" i="45" s="1"/>
  <c r="M33" i="45"/>
  <c r="G231" i="8"/>
  <c r="G30" i="45"/>
  <c r="H30" i="45" s="1"/>
  <c r="J26" i="33"/>
  <c r="G61" i="8"/>
  <c r="A22" i="8" l="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7" i="8" s="1"/>
  <c r="A48" i="8" s="1"/>
  <c r="A49" i="8" s="1"/>
  <c r="A50" i="8" s="1"/>
  <c r="A51" i="8" s="1"/>
  <c r="A52" i="8" s="1"/>
  <c r="A53" i="8" s="1"/>
  <c r="A54" i="8" s="1"/>
  <c r="B224" i="8"/>
  <c r="M165" i="35"/>
  <c r="F330" i="35"/>
  <c r="H305" i="35"/>
  <c r="H806" i="35"/>
  <c r="K586" i="35"/>
  <c r="H455" i="35"/>
  <c r="R504" i="35"/>
  <c r="R329" i="35"/>
  <c r="R404" i="35"/>
  <c r="R608" i="35"/>
  <c r="R629" i="35"/>
  <c r="R604" i="35"/>
  <c r="H337" i="9"/>
  <c r="A158" i="35"/>
  <c r="B226" i="8"/>
  <c r="H605" i="35"/>
  <c r="H208" i="34"/>
  <c r="H316" i="9"/>
  <c r="H318" i="9" s="1"/>
  <c r="H319" i="9" s="1"/>
  <c r="H320" i="9" s="1"/>
  <c r="H321" i="9" s="1"/>
  <c r="H322" i="9" s="1"/>
  <c r="F629" i="35"/>
  <c r="R379" i="35"/>
  <c r="A64" i="16"/>
  <c r="K56" i="10"/>
  <c r="B208" i="8"/>
  <c r="H303" i="35"/>
  <c r="B203" i="8"/>
  <c r="F429" i="35"/>
  <c r="H429" i="35" s="1"/>
  <c r="K13" i="37"/>
  <c r="F428" i="35"/>
  <c r="H428" i="35" s="1"/>
  <c r="H60" i="45"/>
  <c r="H330" i="35"/>
  <c r="H882" i="35"/>
  <c r="F678" i="35"/>
  <c r="H678" i="35" s="1"/>
  <c r="M50" i="33"/>
  <c r="R479" i="35"/>
  <c r="R6" i="49"/>
  <c r="H353" i="35"/>
  <c r="H380" i="35"/>
  <c r="H907" i="35"/>
  <c r="H914" i="35" s="1"/>
  <c r="H916" i="35" s="1"/>
  <c r="H231" i="34"/>
  <c r="H881" i="35"/>
  <c r="A55" i="10"/>
  <c r="B50" i="8" s="1"/>
  <c r="H421" i="9"/>
  <c r="H423" i="9" s="1"/>
  <c r="H424" i="9" s="1"/>
  <c r="H425" i="9" s="1"/>
  <c r="H426" i="9" s="1"/>
  <c r="H427" i="9" s="1"/>
  <c r="K225" i="35"/>
  <c r="R304" i="35"/>
  <c r="R454" i="35"/>
  <c r="R529" i="35"/>
  <c r="H704" i="35"/>
  <c r="H430" i="35"/>
  <c r="H313" i="12"/>
  <c r="I297" i="8"/>
  <c r="I300" i="8"/>
  <c r="I299" i="8"/>
  <c r="I303" i="8"/>
  <c r="Q228" i="35"/>
  <c r="R228" i="35" s="1"/>
  <c r="Q855" i="35"/>
  <c r="R855" i="35" s="1"/>
  <c r="T23" i="33"/>
  <c r="T24" i="33"/>
  <c r="T25" i="33"/>
  <c r="T26" i="33"/>
  <c r="T30" i="33"/>
  <c r="T35" i="33"/>
  <c r="T45" i="33"/>
  <c r="T70" i="33"/>
  <c r="T71" i="33"/>
  <c r="T72" i="33"/>
  <c r="Q9" i="35"/>
  <c r="R9" i="35" s="1"/>
  <c r="T54" i="33"/>
  <c r="T57" i="33"/>
  <c r="T56" i="33"/>
  <c r="O39" i="33"/>
  <c r="O52" i="33"/>
  <c r="J47" i="33"/>
  <c r="J50" i="33"/>
  <c r="S50" i="33" s="1"/>
  <c r="M86" i="33"/>
  <c r="Q94" i="10"/>
  <c r="R94" i="10" s="1"/>
  <c r="R98" i="10" s="1"/>
  <c r="T32" i="33"/>
  <c r="T33" i="33"/>
  <c r="T39" i="33"/>
  <c r="T43" i="33"/>
  <c r="T47" i="33"/>
  <c r="T50" i="33"/>
  <c r="T51" i="33"/>
  <c r="T52" i="33"/>
  <c r="T61" i="33"/>
  <c r="T62" i="33"/>
  <c r="T63" i="33"/>
  <c r="T67" i="33"/>
  <c r="T68" i="33"/>
  <c r="T74" i="33"/>
  <c r="T84" i="33"/>
  <c r="T85" i="33"/>
  <c r="T91" i="33"/>
  <c r="T92" i="33"/>
  <c r="T98" i="33"/>
  <c r="T99" i="33"/>
  <c r="T100" i="33"/>
  <c r="Q5" i="10"/>
  <c r="R5" i="10" s="1"/>
  <c r="R8" i="10" s="1"/>
  <c r="Q22" i="10"/>
  <c r="R22" i="10" s="1"/>
  <c r="R25" i="10" s="1"/>
  <c r="Q39" i="10"/>
  <c r="Q56" i="10"/>
  <c r="R56" i="10" s="1"/>
  <c r="R59" i="10" s="1"/>
  <c r="Q164" i="35"/>
  <c r="R164" i="35" s="1"/>
  <c r="Q333" i="35"/>
  <c r="R333" i="35" s="1"/>
  <c r="Q358" i="35"/>
  <c r="R358" i="35" s="1"/>
  <c r="Q383" i="35"/>
  <c r="R383" i="35" s="1"/>
  <c r="Q508" i="35"/>
  <c r="R508" i="35" s="1"/>
  <c r="Q533" i="35"/>
  <c r="R533" i="35" s="1"/>
  <c r="Q683" i="35"/>
  <c r="R683" i="35" s="1"/>
  <c r="Q755" i="35"/>
  <c r="R755" i="35" s="1"/>
  <c r="Q830" i="35"/>
  <c r="R830" i="35" s="1"/>
  <c r="Q905" i="35"/>
  <c r="R905" i="35" s="1"/>
  <c r="Q28" i="34"/>
  <c r="R28" i="34" s="1"/>
  <c r="Q50" i="34"/>
  <c r="R50" i="34" s="1"/>
  <c r="Q73" i="34"/>
  <c r="R73" i="34" s="1"/>
  <c r="Q230" i="34"/>
  <c r="R230" i="34" s="1"/>
  <c r="R13" i="37"/>
  <c r="R118" i="9"/>
  <c r="R123" i="9" s="1"/>
  <c r="H124" i="9" s="1"/>
  <c r="H126" i="9" s="1"/>
  <c r="H127" i="9" s="1"/>
  <c r="H128" i="9" s="1"/>
  <c r="H129" i="9" s="1"/>
  <c r="R26" i="7"/>
  <c r="R33" i="7" s="1"/>
  <c r="H34" i="7" s="1"/>
  <c r="H36" i="7" s="1"/>
  <c r="H37" i="7" s="1"/>
  <c r="H38" i="7" s="1"/>
  <c r="H39" i="7" s="1"/>
  <c r="R5" i="9"/>
  <c r="R9" i="9" s="1"/>
  <c r="R167" i="7"/>
  <c r="R174" i="7" s="1"/>
  <c r="H175" i="7" s="1"/>
  <c r="H177" i="7" s="1"/>
  <c r="H178" i="7" s="1"/>
  <c r="H179" i="7" s="1"/>
  <c r="H180" i="7" s="1"/>
  <c r="E14" i="8" s="1"/>
  <c r="R65" i="7"/>
  <c r="R69" i="7" s="1"/>
  <c r="H70" i="7" s="1"/>
  <c r="H72" i="7" s="1"/>
  <c r="H73" i="7" s="1"/>
  <c r="H74" i="7" s="1"/>
  <c r="H75" i="7" s="1"/>
  <c r="R213" i="7"/>
  <c r="H214" i="7" s="1"/>
  <c r="H216" i="7" s="1"/>
  <c r="H217" i="7" s="1"/>
  <c r="H218" i="7" s="1"/>
  <c r="H219" i="7" s="1"/>
  <c r="R272" i="9"/>
  <c r="R277" i="9" s="1"/>
  <c r="H278" i="9" s="1"/>
  <c r="H285" i="9" s="1"/>
  <c r="H34" i="8" s="1"/>
  <c r="G34" i="8" s="1"/>
  <c r="R253" i="9"/>
  <c r="R258" i="9" s="1"/>
  <c r="H259" i="9" s="1"/>
  <c r="R125" i="7"/>
  <c r="R132" i="7" s="1"/>
  <c r="H133" i="7" s="1"/>
  <c r="H135" i="7" s="1"/>
  <c r="H136" i="7" s="1"/>
  <c r="H137" i="7" s="1"/>
  <c r="H138" i="7" s="1"/>
  <c r="R146" i="7"/>
  <c r="R153" i="7" s="1"/>
  <c r="R104" i="7"/>
  <c r="R111" i="7" s="1"/>
  <c r="R227" i="7"/>
  <c r="R230" i="7" s="1"/>
  <c r="H231" i="7" s="1"/>
  <c r="H233" i="7" s="1"/>
  <c r="H234" i="7" s="1"/>
  <c r="H235" i="7" s="1"/>
  <c r="H236" i="7" s="1"/>
  <c r="R188" i="7"/>
  <c r="R195" i="7" s="1"/>
  <c r="H196" i="7" s="1"/>
  <c r="H198" i="7" s="1"/>
  <c r="H199" i="7" s="1"/>
  <c r="H200" i="7" s="1"/>
  <c r="H201" i="7" s="1"/>
  <c r="R83" i="7"/>
  <c r="R90" i="7" s="1"/>
  <c r="H91" i="7" s="1"/>
  <c r="H93" i="7" s="1"/>
  <c r="H94" i="7" s="1"/>
  <c r="H95" i="7" s="1"/>
  <c r="H96" i="7" s="1"/>
  <c r="E10" i="8" s="1"/>
  <c r="R23" i="9"/>
  <c r="R28" i="9" s="1"/>
  <c r="H29" i="9" s="1"/>
  <c r="H31" i="9" s="1"/>
  <c r="H32" i="9" s="1"/>
  <c r="H33" i="9" s="1"/>
  <c r="H34" i="9" s="1"/>
  <c r="E21" i="8" s="1"/>
  <c r="Q532" i="35"/>
  <c r="R532" i="35" s="1"/>
  <c r="Q432" i="35"/>
  <c r="R432" i="35" s="1"/>
  <c r="Q26" i="33"/>
  <c r="S26" i="33"/>
  <c r="T48" i="33"/>
  <c r="U48" i="33" s="1"/>
  <c r="V48" i="33" s="1"/>
  <c r="L231" i="34" s="1"/>
  <c r="M231" i="34" s="1"/>
  <c r="T49" i="33"/>
  <c r="U49" i="33" s="1"/>
  <c r="V49" i="33" s="1"/>
  <c r="L207" i="34" s="1"/>
  <c r="M207" i="34" s="1"/>
  <c r="M215" i="34" s="1"/>
  <c r="T21" i="33"/>
  <c r="T22" i="33"/>
  <c r="H129" i="12"/>
  <c r="H221" i="12"/>
  <c r="A54" i="32"/>
  <c r="G53" i="32"/>
  <c r="A21" i="33" s="1"/>
  <c r="T19" i="33"/>
  <c r="T20" i="33"/>
  <c r="T27" i="33"/>
  <c r="T29" i="33"/>
  <c r="T31" i="33"/>
  <c r="T34" i="33"/>
  <c r="T36" i="33"/>
  <c r="T37" i="33"/>
  <c r="T38" i="33"/>
  <c r="T40" i="33"/>
  <c r="T42" i="33"/>
  <c r="T44" i="33"/>
  <c r="D46" i="33"/>
  <c r="T46" i="33"/>
  <c r="T53" i="33"/>
  <c r="T60" i="33"/>
  <c r="T64" i="33"/>
  <c r="T66" i="33"/>
  <c r="T69" i="33"/>
  <c r="T73" i="33"/>
  <c r="T75" i="33"/>
  <c r="T78" i="33"/>
  <c r="T79" i="33"/>
  <c r="T80" i="33"/>
  <c r="T82" i="33"/>
  <c r="T83" i="33"/>
  <c r="T86" i="33"/>
  <c r="T88" i="33"/>
  <c r="T89" i="33"/>
  <c r="T90" i="33"/>
  <c r="T93" i="33"/>
  <c r="T97" i="33"/>
  <c r="D99" i="33"/>
  <c r="Q7" i="35"/>
  <c r="R7" i="35" s="1"/>
  <c r="Q39" i="35"/>
  <c r="R39" i="35" s="1"/>
  <c r="Q131" i="35"/>
  <c r="R131" i="35" s="1"/>
  <c r="Q163" i="35"/>
  <c r="R163" i="35" s="1"/>
  <c r="Q198" i="35"/>
  <c r="R198" i="35" s="1"/>
  <c r="Q229" i="35"/>
  <c r="R229" i="35" s="1"/>
  <c r="Q256" i="35"/>
  <c r="R256" i="35" s="1"/>
  <c r="Q308" i="35"/>
  <c r="Q408" i="35"/>
  <c r="R408" i="35" s="1"/>
  <c r="Q433" i="35"/>
  <c r="R433" i="35" s="1"/>
  <c r="Q483" i="35"/>
  <c r="R483" i="35" s="1"/>
  <c r="Q558" i="35"/>
  <c r="R558" i="35" s="1"/>
  <c r="Q633" i="35"/>
  <c r="R633" i="35" s="1"/>
  <c r="Q658" i="35"/>
  <c r="R658" i="35" s="1"/>
  <c r="Q708" i="35"/>
  <c r="R708" i="35" s="1"/>
  <c r="Q733" i="35"/>
  <c r="R733" i="35" s="1"/>
  <c r="Q780" i="35"/>
  <c r="R780" i="35" s="1"/>
  <c r="Q805" i="35"/>
  <c r="R805" i="35" s="1"/>
  <c r="Q880" i="35"/>
  <c r="R880" i="35" s="1"/>
  <c r="Q930" i="35"/>
  <c r="R930" i="35" s="1"/>
  <c r="Q6" i="34"/>
  <c r="R6" i="34" s="1"/>
  <c r="Q187" i="34"/>
  <c r="R187" i="34" s="1"/>
  <c r="T55" i="33"/>
  <c r="Q8" i="45"/>
  <c r="R8" i="45" s="1"/>
  <c r="H52" i="11"/>
  <c r="H62" i="45"/>
  <c r="Q7" i="34"/>
  <c r="R7" i="34" s="1"/>
  <c r="Q29" i="34"/>
  <c r="R29" i="34" s="1"/>
  <c r="Q40" i="35"/>
  <c r="R40" i="35" s="1"/>
  <c r="Q51" i="34"/>
  <c r="R51" i="34" s="1"/>
  <c r="Q928" i="35"/>
  <c r="R928" i="35" s="1"/>
  <c r="Q778" i="35"/>
  <c r="R778" i="35" s="1"/>
  <c r="Q350" i="51"/>
  <c r="R350" i="51" s="1"/>
  <c r="Q212" i="51"/>
  <c r="R212" i="51" s="1"/>
  <c r="Q120" i="51"/>
  <c r="R120" i="51" s="1"/>
  <c r="Q28" i="51"/>
  <c r="R28" i="51" s="1"/>
  <c r="Q5" i="51"/>
  <c r="R5" i="51" s="1"/>
  <c r="Q304" i="51"/>
  <c r="R304" i="51" s="1"/>
  <c r="Q258" i="51"/>
  <c r="R258" i="51" s="1"/>
  <c r="Q166" i="51"/>
  <c r="R166" i="51" s="1"/>
  <c r="Q74" i="51"/>
  <c r="R74" i="51" s="1"/>
  <c r="Q28" i="45"/>
  <c r="Q74" i="12"/>
  <c r="R74" i="12" s="1"/>
  <c r="R83" i="12" s="1"/>
  <c r="Q929" i="35"/>
  <c r="R929" i="35" s="1"/>
  <c r="Q30" i="45"/>
  <c r="R30" i="37"/>
  <c r="Q8" i="35"/>
  <c r="R8" i="35" s="1"/>
  <c r="H8" i="36"/>
  <c r="R5" i="36" s="1"/>
  <c r="R8" i="36" s="1"/>
  <c r="H10" i="31"/>
  <c r="R5" i="31" s="1"/>
  <c r="R10" i="31" s="1"/>
  <c r="H199" i="11"/>
  <c r="H31" i="13"/>
  <c r="H54" i="14"/>
  <c r="H122" i="17"/>
  <c r="D44" i="33"/>
  <c r="D52" i="33"/>
  <c r="Q136" i="17"/>
  <c r="R136" i="17" s="1"/>
  <c r="R144" i="17" s="1"/>
  <c r="Q255" i="35"/>
  <c r="R255" i="35" s="1"/>
  <c r="Q36" i="35"/>
  <c r="R36" i="35" s="1"/>
  <c r="Q27" i="45"/>
  <c r="Q5" i="49"/>
  <c r="R5" i="49" s="1"/>
  <c r="Q603" i="35"/>
  <c r="R603" i="35" s="1"/>
  <c r="Q528" i="35"/>
  <c r="R528" i="35" s="1"/>
  <c r="Q453" i="35"/>
  <c r="R453" i="35" s="1"/>
  <c r="Q403" i="35"/>
  <c r="R403" i="35" s="1"/>
  <c r="Q378" i="35"/>
  <c r="R378" i="35" s="1"/>
  <c r="Q328" i="35"/>
  <c r="R328" i="35" s="1"/>
  <c r="Q303" i="35"/>
  <c r="R303" i="35" s="1"/>
  <c r="Q127" i="35"/>
  <c r="R127" i="35" s="1"/>
  <c r="Q5" i="35"/>
  <c r="R5" i="35" s="1"/>
  <c r="Q156" i="9"/>
  <c r="Q33" i="46"/>
  <c r="R33" i="46" s="1"/>
  <c r="Q185" i="34"/>
  <c r="R185" i="34" s="1"/>
  <c r="Q48" i="34"/>
  <c r="R48" i="34" s="1"/>
  <c r="Q933" i="35"/>
  <c r="R933" i="35" s="1"/>
  <c r="Q883" i="35"/>
  <c r="R883" i="35" s="1"/>
  <c r="H34" i="37"/>
  <c r="T34" i="37" s="1"/>
  <c r="U34" i="37" s="1"/>
  <c r="U35" i="37" s="1"/>
  <c r="H70" i="16"/>
  <c r="R65" i="16" s="1"/>
  <c r="R70" i="16" s="1"/>
  <c r="H166" i="17"/>
  <c r="R158" i="17" s="1"/>
  <c r="R166" i="17" s="1"/>
  <c r="H12" i="17"/>
  <c r="R5" i="17" s="1"/>
  <c r="R12" i="17" s="1"/>
  <c r="H336" i="12"/>
  <c r="H33" i="14"/>
  <c r="H132" i="34"/>
  <c r="H144" i="17"/>
  <c r="H388" i="11"/>
  <c r="Q52" i="45"/>
  <c r="Q77" i="45" s="1"/>
  <c r="R77" i="45" s="1"/>
  <c r="Q89" i="21"/>
  <c r="R89" i="21" s="1"/>
  <c r="R96" i="21" s="1"/>
  <c r="Q196" i="35"/>
  <c r="R196" i="35" s="1"/>
  <c r="Q226" i="35"/>
  <c r="R226" i="35" s="1"/>
  <c r="Q507" i="35"/>
  <c r="R507" i="35" s="1"/>
  <c r="T58" i="33"/>
  <c r="Q31" i="45"/>
  <c r="R31" i="45" s="1"/>
  <c r="Q351" i="51"/>
  <c r="R351" i="51" s="1"/>
  <c r="Q328" i="51"/>
  <c r="R328" i="51" s="1"/>
  <c r="R336" i="51" s="1"/>
  <c r="Q213" i="51"/>
  <c r="R213" i="51" s="1"/>
  <c r="Q190" i="51"/>
  <c r="R190" i="51" s="1"/>
  <c r="R198" i="51" s="1"/>
  <c r="Q121" i="51"/>
  <c r="R121" i="51" s="1"/>
  <c r="Q98" i="51"/>
  <c r="R98" i="51" s="1"/>
  <c r="R106" i="51" s="1"/>
  <c r="Q52" i="51"/>
  <c r="R52" i="51" s="1"/>
  <c r="R60" i="51" s="1"/>
  <c r="Q29" i="51"/>
  <c r="R29" i="51" s="1"/>
  <c r="Q6" i="51"/>
  <c r="R6" i="51" s="1"/>
  <c r="Q374" i="51"/>
  <c r="R374" i="51" s="1"/>
  <c r="R382" i="51" s="1"/>
  <c r="Q305" i="51"/>
  <c r="R305" i="51" s="1"/>
  <c r="Q282" i="51"/>
  <c r="R282" i="51" s="1"/>
  <c r="R290" i="51" s="1"/>
  <c r="Q259" i="51"/>
  <c r="R259" i="51" s="1"/>
  <c r="Q236" i="51"/>
  <c r="R236" i="51" s="1"/>
  <c r="R244" i="51" s="1"/>
  <c r="Q167" i="51"/>
  <c r="R167" i="51" s="1"/>
  <c r="Q144" i="51"/>
  <c r="R144" i="51" s="1"/>
  <c r="R152" i="51" s="1"/>
  <c r="Q75" i="51"/>
  <c r="R75" i="51" s="1"/>
  <c r="M68" i="33"/>
  <c r="M88" i="33"/>
  <c r="O85" i="33"/>
  <c r="M69" i="33"/>
  <c r="O99" i="33"/>
  <c r="O63" i="33"/>
  <c r="M90" i="33"/>
  <c r="M51" i="33"/>
  <c r="J32" i="33"/>
  <c r="Q32" i="33" s="1"/>
  <c r="J43" i="33"/>
  <c r="Q43" i="33" s="1"/>
  <c r="J84" i="33"/>
  <c r="Q84" i="33" s="1"/>
  <c r="J91" i="33"/>
  <c r="S91" i="33" s="1"/>
  <c r="J54" i="33"/>
  <c r="S54" i="33" s="1"/>
  <c r="O55" i="33"/>
  <c r="J97" i="33"/>
  <c r="S97" i="33" s="1"/>
  <c r="O93" i="33"/>
  <c r="M72" i="33"/>
  <c r="M60" i="33"/>
  <c r="O44" i="33"/>
  <c r="J31" i="33"/>
  <c r="Q31" i="33" s="1"/>
  <c r="J40" i="33"/>
  <c r="S40" i="33" s="1"/>
  <c r="J44" i="33"/>
  <c r="Q44" i="33" s="1"/>
  <c r="O96" i="33"/>
  <c r="M78" i="33"/>
  <c r="M71" i="33"/>
  <c r="O89" i="33"/>
  <c r="J88" i="33"/>
  <c r="S88" i="33" s="1"/>
  <c r="M56" i="33"/>
  <c r="J92" i="33"/>
  <c r="S92" i="33" s="1"/>
  <c r="H382" i="12"/>
  <c r="H11" i="28"/>
  <c r="R5" i="28" s="1"/>
  <c r="R11" i="28" s="1"/>
  <c r="H30" i="31"/>
  <c r="R25" i="31" s="1"/>
  <c r="R30" i="31" s="1"/>
  <c r="H50" i="16"/>
  <c r="R45" i="16" s="1"/>
  <c r="R50" i="16" s="1"/>
  <c r="H56" i="17"/>
  <c r="G28" i="45"/>
  <c r="H28" i="45" s="1"/>
  <c r="G31" i="45"/>
  <c r="H31" i="45" s="1"/>
  <c r="D54" i="33"/>
  <c r="G56" i="45"/>
  <c r="H56" i="45" s="1"/>
  <c r="G54" i="45"/>
  <c r="H54" i="45" s="1"/>
  <c r="G32" i="45"/>
  <c r="H32" i="45" s="1"/>
  <c r="D33" i="33"/>
  <c r="D53" i="33"/>
  <c r="R583" i="35"/>
  <c r="H220" i="9"/>
  <c r="H11" i="13"/>
  <c r="G35" i="45"/>
  <c r="H35" i="45" s="1"/>
  <c r="G33" i="45"/>
  <c r="H33" i="45" s="1"/>
  <c r="H34" i="17"/>
  <c r="H53" i="27"/>
  <c r="R47" i="27" s="1"/>
  <c r="R53" i="27" s="1"/>
  <c r="R4" i="46"/>
  <c r="R9" i="46" s="1"/>
  <c r="D45" i="33"/>
  <c r="D41" i="33"/>
  <c r="D77" i="33"/>
  <c r="R54" i="21"/>
  <c r="H18" i="46"/>
  <c r="H31" i="46"/>
  <c r="G51" i="45"/>
  <c r="G59" i="45"/>
  <c r="G84" i="45" s="1"/>
  <c r="H84" i="45" s="1"/>
  <c r="H157" i="11"/>
  <c r="H244" i="12"/>
  <c r="H115" i="18"/>
  <c r="H220" i="11"/>
  <c r="H14" i="12"/>
  <c r="H130" i="16"/>
  <c r="R125" i="16" s="1"/>
  <c r="R130" i="16" s="1"/>
  <c r="J45" i="33"/>
  <c r="Q42" i="33"/>
  <c r="J38" i="33"/>
  <c r="Q38" i="33" s="1"/>
  <c r="H11" i="40"/>
  <c r="T11" i="40" s="1"/>
  <c r="H9" i="45"/>
  <c r="G52" i="45"/>
  <c r="H52" i="45" s="1"/>
  <c r="H37" i="12"/>
  <c r="H15" i="18"/>
  <c r="H12" i="21"/>
  <c r="R79" i="10"/>
  <c r="H359" i="12"/>
  <c r="H11" i="27"/>
  <c r="R5" i="27" s="1"/>
  <c r="R11" i="27" s="1"/>
  <c r="H152" i="12"/>
  <c r="H290" i="12"/>
  <c r="H207" i="17"/>
  <c r="R202" i="17" s="1"/>
  <c r="R207" i="17" s="1"/>
  <c r="H96" i="21"/>
  <c r="D51" i="33"/>
  <c r="D50" i="33"/>
  <c r="H30" i="16"/>
  <c r="R25" i="16" s="1"/>
  <c r="R30" i="16" s="1"/>
  <c r="D32" i="33"/>
  <c r="H241" i="11"/>
  <c r="J82" i="33"/>
  <c r="Q82" i="33" s="1"/>
  <c r="D92" i="33"/>
  <c r="R428" i="35"/>
  <c r="R579" i="35"/>
  <c r="R628" i="35"/>
  <c r="R654" i="35"/>
  <c r="R679" i="35"/>
  <c r="D55" i="33"/>
  <c r="J98" i="33"/>
  <c r="S98" i="33" s="1"/>
  <c r="J94" i="33"/>
  <c r="Q94" i="33" s="1"/>
  <c r="J29" i="33"/>
  <c r="Q29" i="33" s="1"/>
  <c r="J66" i="33"/>
  <c r="S66" i="33" s="1"/>
  <c r="J77" i="33"/>
  <c r="Q77" i="33" s="1"/>
  <c r="H10" i="19"/>
  <c r="U26" i="33"/>
  <c r="V26" i="33" s="1"/>
  <c r="L94" i="34" s="1"/>
  <c r="M94" i="34" s="1"/>
  <c r="M98" i="34" s="1"/>
  <c r="J68" i="33"/>
  <c r="Q68" i="33" s="1"/>
  <c r="J56" i="33"/>
  <c r="J39" i="33"/>
  <c r="H110" i="16"/>
  <c r="R105" i="16" s="1"/>
  <c r="R110" i="16" s="1"/>
  <c r="H75" i="21"/>
  <c r="H12" i="14"/>
  <c r="H198" i="12"/>
  <c r="G80" i="45"/>
  <c r="H80" i="45" s="1"/>
  <c r="H55" i="45"/>
  <c r="H12" i="45"/>
  <c r="H237" i="34"/>
  <c r="G57" i="45"/>
  <c r="H57" i="45" s="1"/>
  <c r="G34" i="45"/>
  <c r="H34" i="45" s="1"/>
  <c r="H150" i="16"/>
  <c r="R145" i="16" s="1"/>
  <c r="R150" i="16" s="1"/>
  <c r="H31" i="47"/>
  <c r="H33" i="47" s="1"/>
  <c r="H10" i="16"/>
  <c r="R5" i="16" s="1"/>
  <c r="R10" i="16" s="1"/>
  <c r="H175" i="12"/>
  <c r="H304" i="11"/>
  <c r="H60" i="12"/>
  <c r="H83" i="12"/>
  <c r="H106" i="12"/>
  <c r="H34" i="29"/>
  <c r="R25" i="29" s="1"/>
  <c r="R34" i="29" s="1"/>
  <c r="H96" i="14"/>
  <c r="R89" i="14" s="1"/>
  <c r="R96" i="14" s="1"/>
  <c r="H115" i="11"/>
  <c r="H73" i="11"/>
  <c r="H703" i="35"/>
  <c r="H714" i="35" s="1"/>
  <c r="H716" i="35" s="1"/>
  <c r="G36" i="45"/>
  <c r="H36" i="45" s="1"/>
  <c r="G29" i="45"/>
  <c r="H29" i="45" s="1"/>
  <c r="H364" i="35"/>
  <c r="H366" i="35" s="1"/>
  <c r="G10" i="35"/>
  <c r="H10" i="35" s="1"/>
  <c r="G232" i="35"/>
  <c r="H232" i="35" s="1"/>
  <c r="G135" i="35"/>
  <c r="H135" i="35" s="1"/>
  <c r="G202" i="35"/>
  <c r="H202" i="35" s="1"/>
  <c r="G932" i="35"/>
  <c r="G31" i="34"/>
  <c r="H31" i="34" s="1"/>
  <c r="H34" i="34" s="1"/>
  <c r="G857" i="35"/>
  <c r="H857" i="35" s="1"/>
  <c r="G9" i="34"/>
  <c r="H9" i="34" s="1"/>
  <c r="G53" i="34"/>
  <c r="H53" i="34" s="1"/>
  <c r="G78" i="34"/>
  <c r="H78" i="34" s="1"/>
  <c r="G14" i="35"/>
  <c r="H14" i="35" s="1"/>
  <c r="G44" i="35"/>
  <c r="H44" i="35" s="1"/>
  <c r="G138" i="35"/>
  <c r="H138" i="35" s="1"/>
  <c r="G170" i="35"/>
  <c r="H170" i="35" s="1"/>
  <c r="G205" i="35"/>
  <c r="H205" i="35" s="1"/>
  <c r="G757" i="35"/>
  <c r="H757" i="35" s="1"/>
  <c r="G807" i="35"/>
  <c r="H807" i="35" s="1"/>
  <c r="G13" i="35"/>
  <c r="H13" i="35" s="1"/>
  <c r="G17" i="35"/>
  <c r="H17" i="35" s="1"/>
  <c r="G43" i="35"/>
  <c r="H43" i="35" s="1"/>
  <c r="G47" i="35"/>
  <c r="H47" i="35" s="1"/>
  <c r="G235" i="35"/>
  <c r="H235" i="35" s="1"/>
  <c r="G578" i="35"/>
  <c r="G653" i="35"/>
  <c r="G603" i="35"/>
  <c r="G207" i="34"/>
  <c r="G553" i="35"/>
  <c r="H553" i="35" s="1"/>
  <c r="G828" i="35"/>
  <c r="H828" i="35" s="1"/>
  <c r="H839" i="35" s="1"/>
  <c r="H841" i="35" s="1"/>
  <c r="G878" i="35"/>
  <c r="H878" i="35" s="1"/>
  <c r="H889" i="35" s="1"/>
  <c r="H891" i="35" s="1"/>
  <c r="G928" i="35"/>
  <c r="H928" i="35" s="1"/>
  <c r="G5" i="34"/>
  <c r="H5" i="34" s="1"/>
  <c r="G94" i="34"/>
  <c r="H94" i="34" s="1"/>
  <c r="H98" i="34" s="1"/>
  <c r="G48" i="34"/>
  <c r="H48" i="34" s="1"/>
  <c r="G403" i="35"/>
  <c r="G503" i="35"/>
  <c r="G753" i="35"/>
  <c r="H753" i="35" s="1"/>
  <c r="G803" i="35"/>
  <c r="H803" i="35" s="1"/>
  <c r="G5" i="35"/>
  <c r="H5" i="35" s="1"/>
  <c r="G35" i="35"/>
  <c r="H35" i="35" s="1"/>
  <c r="G127" i="35"/>
  <c r="H127" i="35" s="1"/>
  <c r="G159" i="35"/>
  <c r="H159" i="35" s="1"/>
  <c r="G194" i="35"/>
  <c r="H194" i="35" s="1"/>
  <c r="G254" i="35"/>
  <c r="H254" i="35" s="1"/>
  <c r="G278" i="35"/>
  <c r="H278" i="35" s="1"/>
  <c r="H289" i="35" s="1"/>
  <c r="H291" i="35" s="1"/>
  <c r="G328" i="35"/>
  <c r="H328" i="35" s="1"/>
  <c r="G478" i="35"/>
  <c r="H367" i="11"/>
  <c r="H325" i="11"/>
  <c r="H54" i="21"/>
  <c r="H267" i="12"/>
  <c r="H5" i="47"/>
  <c r="H11" i="47" s="1"/>
  <c r="H13" i="47" s="1"/>
  <c r="G148" i="10"/>
  <c r="H148" i="10" s="1"/>
  <c r="H152" i="10" s="1"/>
  <c r="G46" i="47"/>
  <c r="H46" i="47" s="1"/>
  <c r="H51" i="47" s="1"/>
  <c r="H53" i="47" s="1"/>
  <c r="G805" i="35"/>
  <c r="H805" i="35" s="1"/>
  <c r="G261" i="35"/>
  <c r="H261" i="35" s="1"/>
  <c r="G48" i="35"/>
  <c r="H48" i="35" s="1"/>
  <c r="G209" i="34"/>
  <c r="H209" i="34" s="1"/>
  <c r="P98" i="33"/>
  <c r="P52" i="33"/>
  <c r="G74" i="29"/>
  <c r="H74" i="29" s="1"/>
  <c r="H82" i="29" s="1"/>
  <c r="R73" i="29" s="1"/>
  <c r="R82" i="29" s="1"/>
  <c r="G855" i="35"/>
  <c r="H855" i="35" s="1"/>
  <c r="G278" i="11"/>
  <c r="H278" i="11" s="1"/>
  <c r="H283" i="11" s="1"/>
  <c r="G131" i="11"/>
  <c r="H131" i="11" s="1"/>
  <c r="H136" i="11" s="1"/>
  <c r="G112" i="10"/>
  <c r="H112" i="10" s="1"/>
  <c r="H116" i="10" s="1"/>
  <c r="R112" i="10" s="1"/>
  <c r="R116" i="10" s="1"/>
  <c r="H117" i="10" s="1"/>
  <c r="H119" i="10" s="1"/>
  <c r="H120" i="10" s="1"/>
  <c r="H121" i="10" s="1"/>
  <c r="H122" i="10" s="1"/>
  <c r="E53" i="8" s="1"/>
  <c r="G371" i="9"/>
  <c r="H371" i="9" s="1"/>
  <c r="H378" i="9" s="1"/>
  <c r="R371" i="9" s="1"/>
  <c r="R378" i="9" s="1"/>
  <c r="H379" i="9" s="1"/>
  <c r="G195" i="9"/>
  <c r="H195" i="9" s="1"/>
  <c r="H199" i="9" s="1"/>
  <c r="G137" i="9"/>
  <c r="H137" i="9" s="1"/>
  <c r="G111" i="14"/>
  <c r="H111" i="14" s="1"/>
  <c r="H117" i="14" s="1"/>
  <c r="R110" i="14" s="1"/>
  <c r="R117" i="14" s="1"/>
  <c r="G69" i="14"/>
  <c r="H69" i="14" s="1"/>
  <c r="H75" i="14" s="1"/>
  <c r="R68" i="14" s="1"/>
  <c r="R75" i="14" s="1"/>
  <c r="G46" i="13"/>
  <c r="H46" i="13" s="1"/>
  <c r="H51" i="13" s="1"/>
  <c r="D39" i="33"/>
  <c r="D40" i="33"/>
  <c r="D47" i="33"/>
  <c r="H297" i="9"/>
  <c r="H439" i="9"/>
  <c r="H441" i="9" s="1"/>
  <c r="H442" i="9" s="1"/>
  <c r="H443" i="9" s="1"/>
  <c r="H444" i="9" s="1"/>
  <c r="H445" i="9" s="1"/>
  <c r="H476" i="9"/>
  <c r="H478" i="9" s="1"/>
  <c r="H479" i="9" s="1"/>
  <c r="H480" i="9" s="1"/>
  <c r="H481" i="9" s="1"/>
  <c r="H482" i="9" s="1"/>
  <c r="J72" i="33"/>
  <c r="S72" i="33" s="1"/>
  <c r="Q20" i="33"/>
  <c r="Q23" i="33"/>
  <c r="Q27" i="33"/>
  <c r="U27" i="33"/>
  <c r="V27" i="33" s="1"/>
  <c r="L130" i="10" s="1"/>
  <c r="M130" i="10" s="1"/>
  <c r="M134" i="10" s="1"/>
  <c r="H135" i="10" s="1"/>
  <c r="U20" i="33"/>
  <c r="V20" i="33" s="1"/>
  <c r="Q25" i="33"/>
  <c r="J33" i="33"/>
  <c r="S33" i="33" s="1"/>
  <c r="J34" i="33"/>
  <c r="J37" i="33"/>
  <c r="S37" i="33" s="1"/>
  <c r="J41" i="33"/>
  <c r="J46" i="33"/>
  <c r="Q46" i="33" s="1"/>
  <c r="J52" i="33"/>
  <c r="S52" i="33" s="1"/>
  <c r="J60" i="33"/>
  <c r="S60" i="33" s="1"/>
  <c r="J62" i="33"/>
  <c r="S62" i="33" s="1"/>
  <c r="J63" i="33"/>
  <c r="S63" i="33" s="1"/>
  <c r="J67" i="33"/>
  <c r="J70" i="33"/>
  <c r="S70" i="33" s="1"/>
  <c r="J71" i="33"/>
  <c r="S71" i="33" s="1"/>
  <c r="J75" i="33"/>
  <c r="J78" i="33"/>
  <c r="J79" i="33"/>
  <c r="J83" i="33"/>
  <c r="S83" i="33" s="1"/>
  <c r="J85" i="33"/>
  <c r="J87" i="33"/>
  <c r="J58" i="33"/>
  <c r="S58" i="33" s="1"/>
  <c r="J36" i="33"/>
  <c r="S36" i="33" s="1"/>
  <c r="J53" i="33"/>
  <c r="S53" i="33" s="1"/>
  <c r="J61" i="33"/>
  <c r="J64" i="33"/>
  <c r="Q64" i="33" s="1"/>
  <c r="J74" i="33"/>
  <c r="S74" i="33" s="1"/>
  <c r="J80" i="33"/>
  <c r="J89" i="33"/>
  <c r="Q89" i="33" s="1"/>
  <c r="J90" i="33"/>
  <c r="J95" i="33"/>
  <c r="J96" i="33"/>
  <c r="J99" i="33"/>
  <c r="S99" i="33" s="1"/>
  <c r="J100" i="33"/>
  <c r="Q100" i="33" s="1"/>
  <c r="R31" i="37"/>
  <c r="R49" i="37"/>
  <c r="R16" i="37"/>
  <c r="H464" i="9"/>
  <c r="E43" i="8"/>
  <c r="H111" i="9"/>
  <c r="E25" i="8"/>
  <c r="G76" i="34"/>
  <c r="H76" i="34" s="1"/>
  <c r="G231" i="35"/>
  <c r="H231" i="35" s="1"/>
  <c r="G11" i="35"/>
  <c r="H11" i="35" s="1"/>
  <c r="G259" i="35"/>
  <c r="H259" i="35" s="1"/>
  <c r="G166" i="35"/>
  <c r="H166" i="35" s="1"/>
  <c r="K335" i="35"/>
  <c r="M335" i="35" s="1"/>
  <c r="D46" i="40"/>
  <c r="H45" i="40"/>
  <c r="A91" i="17"/>
  <c r="B173" i="8"/>
  <c r="A117" i="9"/>
  <c r="B25" i="8"/>
  <c r="B284" i="8"/>
  <c r="A70" i="34"/>
  <c r="D23" i="33"/>
  <c r="D24" i="33"/>
  <c r="D25" i="33"/>
  <c r="D36" i="33"/>
  <c r="O53" i="33"/>
  <c r="D71" i="33"/>
  <c r="D72" i="33"/>
  <c r="D75" i="33"/>
  <c r="H13" i="7"/>
  <c r="H15" i="7" s="1"/>
  <c r="H16" i="7" s="1"/>
  <c r="H17" i="7" s="1"/>
  <c r="H18" i="7" s="1"/>
  <c r="E6" i="8" s="1"/>
  <c r="A64" i="7"/>
  <c r="B8" i="8"/>
  <c r="H52" i="7"/>
  <c r="H54" i="7" s="1"/>
  <c r="H55" i="7" s="1"/>
  <c r="H56" i="7" s="1"/>
  <c r="H57" i="7" s="1"/>
  <c r="E8" i="8" s="1"/>
  <c r="H240" i="9"/>
  <c r="A88" i="14"/>
  <c r="B155" i="8"/>
  <c r="B183" i="8"/>
  <c r="A54" i="18"/>
  <c r="K160" i="35"/>
  <c r="K166" i="35"/>
  <c r="K486" i="35"/>
  <c r="H555" i="35"/>
  <c r="F932" i="35"/>
  <c r="H931" i="35"/>
  <c r="O100" i="33"/>
  <c r="M100" i="33"/>
  <c r="C46" i="40"/>
  <c r="I45" i="40"/>
  <c r="J45" i="40" s="1"/>
  <c r="Q24" i="33"/>
  <c r="H11" i="45"/>
  <c r="G134" i="35"/>
  <c r="H134" i="35" s="1"/>
  <c r="G41" i="35"/>
  <c r="H41" i="35" s="1"/>
  <c r="H32" i="46"/>
  <c r="H19" i="46"/>
  <c r="H27" i="38"/>
  <c r="H29" i="38" s="1"/>
  <c r="G38" i="38"/>
  <c r="H43" i="38" s="1"/>
  <c r="H45" i="38" s="1"/>
  <c r="G27" i="45"/>
  <c r="H27" i="45" s="1"/>
  <c r="G50" i="45"/>
  <c r="H171" i="34"/>
  <c r="H314" i="35"/>
  <c r="H316" i="35" s="1"/>
  <c r="H40" i="18"/>
  <c r="H321" i="34"/>
  <c r="H326" i="34" s="1"/>
  <c r="H6" i="38"/>
  <c r="R7" i="38" s="1"/>
  <c r="H14" i="37"/>
  <c r="H19" i="37" s="1"/>
  <c r="H147" i="34"/>
  <c r="H149" i="34" s="1"/>
  <c r="H47" i="37"/>
  <c r="H52" i="37" s="1"/>
  <c r="G206" i="35"/>
  <c r="H206" i="35" s="1"/>
  <c r="G236" i="35"/>
  <c r="H236" i="35" s="1"/>
  <c r="G75" i="34"/>
  <c r="H75" i="34" s="1"/>
  <c r="H32" i="28"/>
  <c r="R26" i="28" s="1"/>
  <c r="R32" i="28" s="1"/>
  <c r="H100" i="17"/>
  <c r="R92" i="17" s="1"/>
  <c r="R100" i="17" s="1"/>
  <c r="H10" i="11"/>
  <c r="H90" i="18"/>
  <c r="H115" i="34"/>
  <c r="H32" i="27"/>
  <c r="R26" i="27" s="1"/>
  <c r="R32" i="27" s="1"/>
  <c r="H188" i="17"/>
  <c r="R180" i="17" s="1"/>
  <c r="R188" i="17" s="1"/>
  <c r="H78" i="17"/>
  <c r="R70" i="17" s="1"/>
  <c r="R78" i="17" s="1"/>
  <c r="H10" i="29"/>
  <c r="R5" i="29" s="1"/>
  <c r="R10" i="29" s="1"/>
  <c r="H53" i="28"/>
  <c r="R47" i="28" s="1"/>
  <c r="R53" i="28" s="1"/>
  <c r="H65" i="18"/>
  <c r="H90" i="16"/>
  <c r="R85" i="16" s="1"/>
  <c r="R90" i="16" s="1"/>
  <c r="H33" i="21"/>
  <c r="H180" i="9"/>
  <c r="R175" i="9" s="1"/>
  <c r="R180" i="9" s="1"/>
  <c r="H504" i="35"/>
  <c r="H604" i="35"/>
  <c r="H654" i="35"/>
  <c r="H529" i="35"/>
  <c r="B7" i="8"/>
  <c r="M84" i="33"/>
  <c r="B75" i="8"/>
  <c r="A129" i="11"/>
  <c r="D34" i="33"/>
  <c r="M42" i="33"/>
  <c r="O43" i="33"/>
  <c r="M43" i="33"/>
  <c r="J51" i="33"/>
  <c r="O66" i="33"/>
  <c r="M66" i="33"/>
  <c r="O70" i="33"/>
  <c r="M70" i="33"/>
  <c r="M91" i="33"/>
  <c r="O91" i="33"/>
  <c r="M94" i="33"/>
  <c r="O94" i="33"/>
  <c r="M97" i="33"/>
  <c r="O97" i="33"/>
  <c r="K167" i="35"/>
  <c r="A48" i="29"/>
  <c r="B213" i="8"/>
  <c r="I25" i="35"/>
  <c r="H16" i="35"/>
  <c r="H18" i="35"/>
  <c r="F453" i="35"/>
  <c r="H453" i="35" s="1"/>
  <c r="F578" i="35"/>
  <c r="F728" i="35"/>
  <c r="H728" i="35" s="1"/>
  <c r="H739" i="35" s="1"/>
  <c r="H741" i="35" s="1"/>
  <c r="F503" i="35"/>
  <c r="F478" i="35"/>
  <c r="F653" i="35"/>
  <c r="F528" i="35"/>
  <c r="H528" i="35" s="1"/>
  <c r="F628" i="35"/>
  <c r="H628" i="35" s="1"/>
  <c r="F403" i="35"/>
  <c r="F603" i="35"/>
  <c r="H187" i="34"/>
  <c r="H193" i="34" s="1"/>
  <c r="Q81" i="45"/>
  <c r="R81" i="45" s="1"/>
  <c r="R56" i="45"/>
  <c r="G86" i="45"/>
  <c r="H86" i="45" s="1"/>
  <c r="H61" i="45"/>
  <c r="F378" i="35"/>
  <c r="H378" i="35" s="1"/>
  <c r="H389" i="35" s="1"/>
  <c r="H391" i="35" s="1"/>
  <c r="H7" i="49"/>
  <c r="H16" i="49" s="1"/>
  <c r="Y11" i="40"/>
  <c r="X11" i="40" s="1"/>
  <c r="X12" i="40" s="1"/>
  <c r="Q906" i="35"/>
  <c r="R906" i="35" s="1"/>
  <c r="Q806" i="35"/>
  <c r="R806" i="35" s="1"/>
  <c r="Q756" i="35"/>
  <c r="R756" i="35" s="1"/>
  <c r="Q931" i="35"/>
  <c r="R931" i="35" s="1"/>
  <c r="Q856" i="35"/>
  <c r="R856" i="35" s="1"/>
  <c r="Q831" i="35"/>
  <c r="R831" i="35" s="1"/>
  <c r="Q9" i="49"/>
  <c r="R9" i="49" s="1"/>
  <c r="Q30" i="46"/>
  <c r="R30" i="46" s="1"/>
  <c r="Q732" i="35"/>
  <c r="R732" i="35" s="1"/>
  <c r="Q707" i="35"/>
  <c r="R707" i="35" s="1"/>
  <c r="Q657" i="35"/>
  <c r="R657" i="35" s="1"/>
  <c r="Q582" i="35"/>
  <c r="R582" i="35" s="1"/>
  <c r="Q457" i="35"/>
  <c r="R457" i="35" s="1"/>
  <c r="Q407" i="35"/>
  <c r="R407" i="35" s="1"/>
  <c r="Q382" i="35"/>
  <c r="R382" i="35" s="1"/>
  <c r="Q357" i="35"/>
  <c r="R357" i="35" s="1"/>
  <c r="Q307" i="35"/>
  <c r="R307" i="35" s="1"/>
  <c r="Q282" i="35"/>
  <c r="R282" i="35" s="1"/>
  <c r="R289" i="35" s="1"/>
  <c r="Q322" i="34"/>
  <c r="R322" i="34" s="1"/>
  <c r="Q682" i="35"/>
  <c r="R682" i="35" s="1"/>
  <c r="Q557" i="35"/>
  <c r="R557" i="35" s="1"/>
  <c r="Q482" i="35"/>
  <c r="R482" i="35" s="1"/>
  <c r="Q332" i="35"/>
  <c r="R332" i="35" s="1"/>
  <c r="Q632" i="35"/>
  <c r="R632" i="35" s="1"/>
  <c r="Q607" i="35"/>
  <c r="R607" i="35" s="1"/>
  <c r="Q6" i="19"/>
  <c r="R6" i="19" s="1"/>
  <c r="Q207" i="34"/>
  <c r="R207" i="34" s="1"/>
  <c r="R215" i="34" s="1"/>
  <c r="Q71" i="34"/>
  <c r="R71" i="34" s="1"/>
  <c r="Q32" i="46"/>
  <c r="R32" i="46" s="1"/>
  <c r="Q5" i="45"/>
  <c r="Q321" i="34"/>
  <c r="R321" i="34" s="1"/>
  <c r="Q5" i="12"/>
  <c r="R5" i="12" s="1"/>
  <c r="R14" i="12" s="1"/>
  <c r="Q163" i="34"/>
  <c r="R163" i="34" s="1"/>
  <c r="Q904" i="35"/>
  <c r="R904" i="35" s="1"/>
  <c r="Q829" i="35"/>
  <c r="R829" i="35" s="1"/>
  <c r="Q804" i="35"/>
  <c r="R804" i="35" s="1"/>
  <c r="Q754" i="35"/>
  <c r="R754" i="35" s="1"/>
  <c r="Q225" i="35"/>
  <c r="R225" i="35" s="1"/>
  <c r="Q195" i="35"/>
  <c r="R195" i="35" s="1"/>
  <c r="Q160" i="35"/>
  <c r="R160" i="35" s="1"/>
  <c r="Q114" i="17"/>
  <c r="R114" i="17" s="1"/>
  <c r="R122" i="17" s="1"/>
  <c r="Q26" i="17"/>
  <c r="R26" i="17" s="1"/>
  <c r="R34" i="17" s="1"/>
  <c r="Q26" i="14"/>
  <c r="R26" i="14" s="1"/>
  <c r="R33" i="14" s="1"/>
  <c r="Q5" i="14"/>
  <c r="R5" i="14" s="1"/>
  <c r="R12" i="14" s="1"/>
  <c r="Q350" i="12"/>
  <c r="R350" i="12" s="1"/>
  <c r="R359" i="12" s="1"/>
  <c r="Q304" i="12"/>
  <c r="R304" i="12" s="1"/>
  <c r="R313" i="12" s="1"/>
  <c r="Q120" i="12"/>
  <c r="R120" i="12" s="1"/>
  <c r="R129" i="12" s="1"/>
  <c r="Q28" i="12"/>
  <c r="R28" i="12" s="1"/>
  <c r="R37" i="12" s="1"/>
  <c r="Q879" i="35"/>
  <c r="R879" i="35" s="1"/>
  <c r="Q779" i="35"/>
  <c r="R779" i="35" s="1"/>
  <c r="Q128" i="35"/>
  <c r="R128" i="35" s="1"/>
  <c r="Q5" i="19"/>
  <c r="R5" i="19" s="1"/>
  <c r="Q48" i="17"/>
  <c r="R48" i="17" s="1"/>
  <c r="R56" i="17" s="1"/>
  <c r="Q47" i="14"/>
  <c r="R47" i="14" s="1"/>
  <c r="R54" i="14" s="1"/>
  <c r="Q258" i="12"/>
  <c r="R258" i="12" s="1"/>
  <c r="R267" i="12" s="1"/>
  <c r="Q166" i="12"/>
  <c r="R166" i="12" s="1"/>
  <c r="R175" i="12" s="1"/>
  <c r="Q854" i="35"/>
  <c r="R854" i="35" s="1"/>
  <c r="Q212" i="12"/>
  <c r="R212" i="12" s="1"/>
  <c r="R221" i="12" s="1"/>
  <c r="H4" i="46"/>
  <c r="G579" i="35"/>
  <c r="H579" i="35" s="1"/>
  <c r="G629" i="35"/>
  <c r="G679" i="35"/>
  <c r="H679" i="35" s="1"/>
  <c r="G49" i="34"/>
  <c r="H49" i="34" s="1"/>
  <c r="G554" i="35"/>
  <c r="H554" i="35" s="1"/>
  <c r="I46" i="40"/>
  <c r="G52" i="32"/>
  <c r="A20" i="33" s="1"/>
  <c r="A19" i="33"/>
  <c r="J35" i="33"/>
  <c r="O46" i="33"/>
  <c r="M46" i="33"/>
  <c r="O47" i="33"/>
  <c r="M47" i="33"/>
  <c r="O61" i="33"/>
  <c r="M61" i="33"/>
  <c r="M64" i="33"/>
  <c r="O64" i="33"/>
  <c r="J69" i="33"/>
  <c r="J73" i="33"/>
  <c r="O73" i="33"/>
  <c r="M73" i="33"/>
  <c r="O75" i="33"/>
  <c r="M75" i="33"/>
  <c r="J76" i="33"/>
  <c r="O76" i="33"/>
  <c r="M76" i="33"/>
  <c r="D85" i="33"/>
  <c r="J86" i="33"/>
  <c r="D88" i="33"/>
  <c r="J93" i="33"/>
  <c r="K39" i="10"/>
  <c r="P39" i="10"/>
  <c r="H179" i="11"/>
  <c r="H181" i="11" s="1"/>
  <c r="H182" i="11" s="1"/>
  <c r="H183" i="11" s="1"/>
  <c r="H184" i="11" s="1"/>
  <c r="H185" i="11" s="1"/>
  <c r="H186" i="11" s="1"/>
  <c r="K285" i="35"/>
  <c r="M285" i="35" s="1"/>
  <c r="K286" i="35"/>
  <c r="K435" i="35"/>
  <c r="M435" i="35" s="1"/>
  <c r="K436" i="35"/>
  <c r="K686" i="35"/>
  <c r="K685" i="35"/>
  <c r="M685" i="35" s="1"/>
  <c r="K10" i="45"/>
  <c r="K11" i="45"/>
  <c r="D96" i="33"/>
  <c r="D94" i="33"/>
  <c r="D30" i="33"/>
  <c r="D95" i="33"/>
  <c r="D97" i="33"/>
  <c r="R58" i="33"/>
  <c r="R56" i="33"/>
  <c r="R54" i="33"/>
  <c r="R57" i="33"/>
  <c r="R19" i="33"/>
  <c r="R100" i="33"/>
  <c r="R97" i="33"/>
  <c r="R94" i="33"/>
  <c r="R93" i="33"/>
  <c r="R91" i="33"/>
  <c r="R88" i="33"/>
  <c r="R87" i="33"/>
  <c r="R84" i="33"/>
  <c r="R78" i="33"/>
  <c r="R76" i="33"/>
  <c r="R75" i="33"/>
  <c r="R74" i="33"/>
  <c r="R73" i="33"/>
  <c r="R70" i="33"/>
  <c r="R69" i="33"/>
  <c r="R67" i="33"/>
  <c r="R66" i="33"/>
  <c r="R64" i="33"/>
  <c r="R61" i="33"/>
  <c r="R60" i="33"/>
  <c r="R53" i="33"/>
  <c r="R50" i="33"/>
  <c r="R47" i="33"/>
  <c r="R46" i="33"/>
  <c r="R45" i="33"/>
  <c r="R44" i="33"/>
  <c r="R43" i="33"/>
  <c r="R42" i="33"/>
  <c r="R39" i="33"/>
  <c r="R38" i="33"/>
  <c r="R37" i="33"/>
  <c r="R33" i="33"/>
  <c r="R32" i="33"/>
  <c r="R30" i="33"/>
  <c r="R29" i="33"/>
  <c r="R25" i="33"/>
  <c r="R24" i="33"/>
  <c r="R23" i="33"/>
  <c r="R20" i="33"/>
  <c r="Q7" i="45"/>
  <c r="Q15" i="37"/>
  <c r="R15" i="37" s="1"/>
  <c r="Q233" i="34"/>
  <c r="R233" i="34" s="1"/>
  <c r="Q232" i="34"/>
  <c r="R232" i="34" s="1"/>
  <c r="Q190" i="34"/>
  <c r="R190" i="34" s="1"/>
  <c r="Q72" i="34"/>
  <c r="R72" i="34" s="1"/>
  <c r="Q5" i="34"/>
  <c r="R5" i="34" s="1"/>
  <c r="Q227" i="35"/>
  <c r="R227" i="35" s="1"/>
  <c r="Q197" i="35"/>
  <c r="R197" i="35" s="1"/>
  <c r="Q162" i="35"/>
  <c r="R162" i="35" s="1"/>
  <c r="Q38" i="35"/>
  <c r="R38" i="35" s="1"/>
  <c r="R48" i="37"/>
  <c r="Q49" i="34"/>
  <c r="R49" i="34" s="1"/>
  <c r="Q130" i="35"/>
  <c r="R130" i="35" s="1"/>
  <c r="B193" i="8"/>
  <c r="A46" i="21"/>
  <c r="R308" i="35"/>
  <c r="R458" i="35"/>
  <c r="R478" i="35"/>
  <c r="R704" i="35"/>
  <c r="R729" i="35"/>
  <c r="K28" i="37"/>
  <c r="P28" i="37"/>
  <c r="R28" i="37" s="1"/>
  <c r="P46" i="37"/>
  <c r="O57" i="33"/>
  <c r="M57" i="33"/>
  <c r="Q4" i="45"/>
  <c r="Q908" i="35"/>
  <c r="R908" i="35" s="1"/>
  <c r="Q808" i="35"/>
  <c r="R808" i="35" s="1"/>
  <c r="Q758" i="35"/>
  <c r="R758" i="35" s="1"/>
  <c r="Q728" i="35"/>
  <c r="R728" i="35" s="1"/>
  <c r="Q703" i="35"/>
  <c r="R703" i="35" s="1"/>
  <c r="Q678" i="35"/>
  <c r="R678" i="35" s="1"/>
  <c r="Q653" i="35"/>
  <c r="R653" i="35" s="1"/>
  <c r="Q578" i="35"/>
  <c r="R578" i="35" s="1"/>
  <c r="Q503" i="35"/>
  <c r="R503" i="35" s="1"/>
  <c r="Q353" i="35"/>
  <c r="R353" i="35" s="1"/>
  <c r="Q224" i="35"/>
  <c r="R224" i="35" s="1"/>
  <c r="Q194" i="35"/>
  <c r="R194" i="35" s="1"/>
  <c r="Q159" i="35"/>
  <c r="R159" i="35" s="1"/>
  <c r="Q35" i="35"/>
  <c r="R35" i="35" s="1"/>
  <c r="Q165" i="34"/>
  <c r="R165" i="34" s="1"/>
  <c r="Q903" i="35"/>
  <c r="R903" i="35" s="1"/>
  <c r="Q878" i="35"/>
  <c r="R878" i="35" s="1"/>
  <c r="Q828" i="35"/>
  <c r="R828" i="35" s="1"/>
  <c r="Q803" i="35"/>
  <c r="R803" i="35" s="1"/>
  <c r="Q753" i="35"/>
  <c r="R753" i="35" s="1"/>
  <c r="O54" i="33"/>
  <c r="M54" i="33"/>
  <c r="J57" i="33"/>
  <c r="I55" i="33"/>
  <c r="J55" i="33" s="1"/>
  <c r="G53" i="45"/>
  <c r="H7" i="45"/>
  <c r="K56" i="45"/>
  <c r="K51" i="45"/>
  <c r="Q324" i="34"/>
  <c r="R324" i="34" s="1"/>
  <c r="Q9" i="45"/>
  <c r="G804" i="35"/>
  <c r="H804" i="35" s="1"/>
  <c r="G779" i="35"/>
  <c r="H779" i="35" s="1"/>
  <c r="H789" i="35" s="1"/>
  <c r="H791" i="35" s="1"/>
  <c r="G225" i="35"/>
  <c r="H225" i="35" s="1"/>
  <c r="G160" i="35"/>
  <c r="H160" i="35" s="1"/>
  <c r="G6" i="35"/>
  <c r="H6" i="35" s="1"/>
  <c r="G25" i="11"/>
  <c r="H25" i="11" s="1"/>
  <c r="H31" i="11" s="1"/>
  <c r="N58" i="33"/>
  <c r="G36" i="35"/>
  <c r="H36" i="35" s="1"/>
  <c r="G195" i="35"/>
  <c r="H195" i="35" s="1"/>
  <c r="G754" i="35"/>
  <c r="H754" i="35" s="1"/>
  <c r="H464" i="35" l="1"/>
  <c r="H466" i="35" s="1"/>
  <c r="H339" i="35"/>
  <c r="H341" i="35" s="1"/>
  <c r="A58" i="8"/>
  <c r="A59" i="8" s="1"/>
  <c r="A60" i="8" s="1"/>
  <c r="A61" i="8" s="1"/>
  <c r="A62" i="8" s="1"/>
  <c r="A75" i="8" s="1"/>
  <c r="A76" i="8" s="1"/>
  <c r="A77" i="8" s="1"/>
  <c r="A78" i="8" s="1"/>
  <c r="A91" i="8" s="1"/>
  <c r="A92" i="8" s="1"/>
  <c r="A93" i="8" s="1"/>
  <c r="A94" i="8" s="1"/>
  <c r="A107" i="8" s="1"/>
  <c r="A108" i="8" s="1"/>
  <c r="A109" i="8" s="1"/>
  <c r="A110" i="8" s="1"/>
  <c r="A123" i="8" s="1"/>
  <c r="A124" i="8" s="1"/>
  <c r="A127" i="8" s="1"/>
  <c r="A128" i="8" s="1"/>
  <c r="A129" i="8" s="1"/>
  <c r="A130" i="8" s="1"/>
  <c r="A131" i="8" s="1"/>
  <c r="A132" i="8" s="1"/>
  <c r="A133" i="8" s="1"/>
  <c r="A134" i="8" s="1"/>
  <c r="A135" i="8" s="1"/>
  <c r="A136" i="8" s="1"/>
  <c r="A137" i="8" s="1"/>
  <c r="A138" i="8" s="1"/>
  <c r="A139" i="8" s="1"/>
  <c r="A140" i="8" s="1"/>
  <c r="A141" i="8" s="1"/>
  <c r="A142" i="8" s="1"/>
  <c r="A143" i="8" s="1"/>
  <c r="A55" i="8"/>
  <c r="C7" i="56"/>
  <c r="C6" i="56"/>
  <c r="H439" i="35"/>
  <c r="H441" i="35" s="1"/>
  <c r="I6" i="8"/>
  <c r="F6" i="8"/>
  <c r="H689" i="35"/>
  <c r="H691" i="35" s="1"/>
  <c r="H629" i="35"/>
  <c r="A72" i="10"/>
  <c r="A84" i="16"/>
  <c r="B163" i="8"/>
  <c r="B229" i="8"/>
  <c r="A193" i="35"/>
  <c r="R34" i="34"/>
  <c r="G81" i="45"/>
  <c r="H81" i="45" s="1"/>
  <c r="H237" i="7"/>
  <c r="E17" i="8"/>
  <c r="F17" i="8" s="1"/>
  <c r="J17" i="8" s="1"/>
  <c r="H202" i="7"/>
  <c r="E15" i="8"/>
  <c r="F15" i="8" s="1"/>
  <c r="J15" i="8" s="1"/>
  <c r="G77" i="45"/>
  <c r="H77" i="45" s="1"/>
  <c r="R263" i="35"/>
  <c r="L5" i="52"/>
  <c r="M5" i="52" s="1"/>
  <c r="L45" i="52"/>
  <c r="M45" i="52" s="1"/>
  <c r="L25" i="52"/>
  <c r="M25" i="52" s="1"/>
  <c r="M30" i="52" s="1"/>
  <c r="H31" i="52" s="1"/>
  <c r="H99" i="34"/>
  <c r="H101" i="34" s="1"/>
  <c r="H102" i="34" s="1"/>
  <c r="H103" i="34" s="1"/>
  <c r="H104" i="34" s="1"/>
  <c r="H105" i="34" s="1"/>
  <c r="H59" i="45"/>
  <c r="R789" i="35"/>
  <c r="R439" i="35"/>
  <c r="R12" i="34"/>
  <c r="R39" i="10"/>
  <c r="R42" i="10" s="1"/>
  <c r="R564" i="35"/>
  <c r="R939" i="35"/>
  <c r="H154" i="7"/>
  <c r="H156" i="7" s="1"/>
  <c r="H157" i="7" s="1"/>
  <c r="H158" i="7" s="1"/>
  <c r="H159" i="7" s="1"/>
  <c r="H40" i="7"/>
  <c r="E7" i="8"/>
  <c r="E9" i="8"/>
  <c r="F9" i="8" s="1"/>
  <c r="J9" i="8" s="1"/>
  <c r="H76" i="7"/>
  <c r="H10" i="9"/>
  <c r="H12" i="9" s="1"/>
  <c r="H13" i="9" s="1"/>
  <c r="H14" i="9" s="1"/>
  <c r="H15" i="9" s="1"/>
  <c r="H112" i="7"/>
  <c r="H114" i="7" s="1"/>
  <c r="H115" i="7" s="1"/>
  <c r="H116" i="7" s="1"/>
  <c r="H117" i="7" s="1"/>
  <c r="R156" i="9"/>
  <c r="R161" i="9" s="1"/>
  <c r="H137" i="10"/>
  <c r="H138" i="10" s="1"/>
  <c r="H139" i="10" s="1"/>
  <c r="H140" i="10" s="1"/>
  <c r="R46" i="37"/>
  <c r="R52" i="37" s="1"/>
  <c r="G79" i="45"/>
  <c r="H79" i="45" s="1"/>
  <c r="Q54" i="45"/>
  <c r="Q79" i="45" s="1"/>
  <c r="R79" i="45" s="1"/>
  <c r="A55" i="32"/>
  <c r="G54" i="32"/>
  <c r="A22" i="33" s="1"/>
  <c r="R539" i="35"/>
  <c r="Q45" i="33"/>
  <c r="S45" i="33"/>
  <c r="Q92" i="33"/>
  <c r="U92" i="33" s="1"/>
  <c r="V92" i="33" s="1"/>
  <c r="Q54" i="33"/>
  <c r="U54" i="33" s="1"/>
  <c r="V54" i="33" s="1"/>
  <c r="Q97" i="33"/>
  <c r="U97" i="33" s="1"/>
  <c r="V97" i="33" s="1"/>
  <c r="Q40" i="33"/>
  <c r="U40" i="33" s="1"/>
  <c r="V40" i="33" s="1"/>
  <c r="R10" i="19"/>
  <c r="R20" i="35"/>
  <c r="R37" i="51"/>
  <c r="R614" i="35"/>
  <c r="R83" i="51"/>
  <c r="R267" i="51"/>
  <c r="R221" i="51"/>
  <c r="R57" i="34"/>
  <c r="H123" i="10"/>
  <c r="H5" i="46"/>
  <c r="R52" i="45"/>
  <c r="R175" i="51"/>
  <c r="R313" i="51"/>
  <c r="R14" i="51"/>
  <c r="R129" i="51"/>
  <c r="R359" i="51"/>
  <c r="S32" i="33"/>
  <c r="U32" i="33" s="1"/>
  <c r="V32" i="33" s="1"/>
  <c r="L71" i="34" s="1"/>
  <c r="M71" i="34" s="1"/>
  <c r="U98" i="33"/>
  <c r="V98" i="33" s="1"/>
  <c r="S44" i="33"/>
  <c r="U44" i="33" s="1"/>
  <c r="V44" i="33" s="1"/>
  <c r="L28" i="45" s="1"/>
  <c r="Q88" i="33"/>
  <c r="U88" i="33" s="1"/>
  <c r="V88" i="33" s="1"/>
  <c r="L17" i="46" s="1"/>
  <c r="Q91" i="33"/>
  <c r="U91" i="33" s="1"/>
  <c r="V91" i="33" s="1"/>
  <c r="L255" i="35" s="1"/>
  <c r="M255" i="35" s="1"/>
  <c r="Q98" i="33"/>
  <c r="S84" i="33"/>
  <c r="U84" i="33" s="1"/>
  <c r="V84" i="33" s="1"/>
  <c r="L50" i="34" s="1"/>
  <c r="M50" i="34" s="1"/>
  <c r="S100" i="33"/>
  <c r="S42" i="33"/>
  <c r="U42" i="33" s="1"/>
  <c r="V42" i="33" s="1"/>
  <c r="S43" i="33"/>
  <c r="U43" i="33" s="1"/>
  <c r="V43" i="33" s="1"/>
  <c r="S77" i="33"/>
  <c r="U77" i="33" s="1"/>
  <c r="V77" i="33" s="1"/>
  <c r="L29" i="29" s="1"/>
  <c r="M29" i="29" s="1"/>
  <c r="S31" i="33"/>
  <c r="U31" i="33" s="1"/>
  <c r="V31" i="33" s="1"/>
  <c r="L6" i="13" s="1"/>
  <c r="M6" i="13" s="1"/>
  <c r="H403" i="35"/>
  <c r="H414" i="35" s="1"/>
  <c r="H416" i="35" s="1"/>
  <c r="H478" i="35"/>
  <c r="H489" i="35" s="1"/>
  <c r="H491" i="35" s="1"/>
  <c r="E42" i="8"/>
  <c r="F42" i="8" s="1"/>
  <c r="J42" i="8" s="1"/>
  <c r="R514" i="35"/>
  <c r="R414" i="35"/>
  <c r="S38" i="33"/>
  <c r="U38" i="33" s="1"/>
  <c r="V38" i="33" s="1"/>
  <c r="R814" i="35"/>
  <c r="R889" i="35"/>
  <c r="R172" i="35"/>
  <c r="R238" i="35"/>
  <c r="R664" i="35"/>
  <c r="R714" i="35"/>
  <c r="E44" i="8"/>
  <c r="F44" i="8" s="1"/>
  <c r="J44" i="8" s="1"/>
  <c r="H181" i="7"/>
  <c r="U99" i="33"/>
  <c r="V99" i="33" s="1"/>
  <c r="S89" i="33"/>
  <c r="U89" i="33" s="1"/>
  <c r="V89" i="33" s="1"/>
  <c r="L72" i="34" s="1"/>
  <c r="M72" i="34" s="1"/>
  <c r="H80" i="34"/>
  <c r="Q74" i="33"/>
  <c r="U74" i="33" s="1"/>
  <c r="V74" i="33" s="1"/>
  <c r="L8" i="27" s="1"/>
  <c r="M8" i="27" s="1"/>
  <c r="Q71" i="33"/>
  <c r="U71" i="33" s="1"/>
  <c r="V71" i="33" s="1"/>
  <c r="L5" i="27" s="1"/>
  <c r="M5" i="27" s="1"/>
  <c r="Q62" i="33"/>
  <c r="U62" i="33" s="1"/>
  <c r="V62" i="33" s="1"/>
  <c r="L423" i="12" s="1"/>
  <c r="M423" i="12" s="1"/>
  <c r="S82" i="33"/>
  <c r="U82" i="33" s="1"/>
  <c r="V82" i="33" s="1"/>
  <c r="L137" i="9" s="1"/>
  <c r="M137" i="9" s="1"/>
  <c r="S94" i="33"/>
  <c r="U94" i="33" s="1"/>
  <c r="V94" i="33" s="1"/>
  <c r="Q63" i="33"/>
  <c r="U63" i="33" s="1"/>
  <c r="V63" i="33" s="1"/>
  <c r="L32" i="45" s="1"/>
  <c r="G82" i="45"/>
  <c r="H82" i="45" s="1"/>
  <c r="Q60" i="33"/>
  <c r="U60" i="33" s="1"/>
  <c r="V60" i="33" s="1"/>
  <c r="H12" i="34"/>
  <c r="H864" i="35"/>
  <c r="H866" i="35" s="1"/>
  <c r="H263" i="35"/>
  <c r="H265" i="35" s="1"/>
  <c r="H51" i="45"/>
  <c r="G76" i="45"/>
  <c r="H76" i="45" s="1"/>
  <c r="R34" i="37"/>
  <c r="Y34" i="37" s="1"/>
  <c r="R19" i="37"/>
  <c r="Y19" i="37" s="1"/>
  <c r="X19" i="37" s="1"/>
  <c r="X20" i="37" s="1"/>
  <c r="R639" i="35"/>
  <c r="Q58" i="33"/>
  <c r="U58" i="33" s="1"/>
  <c r="V58" i="33" s="1"/>
  <c r="Q99" i="33"/>
  <c r="Q50" i="33"/>
  <c r="U50" i="33" s="1"/>
  <c r="V50" i="33" s="1"/>
  <c r="Q72" i="33"/>
  <c r="U72" i="33" s="1"/>
  <c r="V72" i="33" s="1"/>
  <c r="H35" i="9"/>
  <c r="H97" i="7"/>
  <c r="S29" i="33"/>
  <c r="M36" i="18"/>
  <c r="R80" i="34"/>
  <c r="R489" i="35"/>
  <c r="R389" i="35"/>
  <c r="R339" i="35"/>
  <c r="R140" i="35"/>
  <c r="H603" i="35"/>
  <c r="H614" i="35" s="1"/>
  <c r="H616" i="35" s="1"/>
  <c r="H503" i="35"/>
  <c r="H514" i="35" s="1"/>
  <c r="H516" i="35" s="1"/>
  <c r="H578" i="35"/>
  <c r="H589" i="35" s="1"/>
  <c r="H591" i="35" s="1"/>
  <c r="S46" i="33"/>
  <c r="U46" i="33" s="1"/>
  <c r="V46" i="33" s="1"/>
  <c r="L26" i="27" s="1"/>
  <c r="M26" i="27" s="1"/>
  <c r="Q53" i="33"/>
  <c r="U53" i="33" s="1"/>
  <c r="V53" i="33" s="1"/>
  <c r="Q52" i="33"/>
  <c r="U52" i="33" s="1"/>
  <c r="V52" i="33" s="1"/>
  <c r="L254" i="35" s="1"/>
  <c r="M254" i="35" s="1"/>
  <c r="Q66" i="33"/>
  <c r="U66" i="33" s="1"/>
  <c r="V66" i="33" s="1"/>
  <c r="L5" i="28" s="1"/>
  <c r="M5" i="28" s="1"/>
  <c r="S64" i="33"/>
  <c r="U64" i="33" s="1"/>
  <c r="V64" i="33" s="1"/>
  <c r="L11" i="35" s="1"/>
  <c r="M11" i="35" s="1"/>
  <c r="Q37" i="33"/>
  <c r="U37" i="33" s="1"/>
  <c r="V37" i="33" s="1"/>
  <c r="Q33" i="33"/>
  <c r="U33" i="33" s="1"/>
  <c r="V33" i="33" s="1"/>
  <c r="S68" i="33"/>
  <c r="U68" i="33" s="1"/>
  <c r="V68" i="33" s="1"/>
  <c r="L47" i="28" s="1"/>
  <c r="M47" i="28" s="1"/>
  <c r="Q83" i="33"/>
  <c r="U83" i="33" s="1"/>
  <c r="V83" i="33" s="1"/>
  <c r="L6" i="35" s="1"/>
  <c r="M6" i="35" s="1"/>
  <c r="H40" i="45"/>
  <c r="H764" i="35"/>
  <c r="H766" i="35" s="1"/>
  <c r="H653" i="35"/>
  <c r="H664" i="35" s="1"/>
  <c r="H666" i="35" s="1"/>
  <c r="H140" i="35"/>
  <c r="Q70" i="33"/>
  <c r="U70" i="33" s="1"/>
  <c r="V70" i="33" s="1"/>
  <c r="L48" i="28" s="1"/>
  <c r="M48" i="28" s="1"/>
  <c r="L167" i="34"/>
  <c r="M167" i="34" s="1"/>
  <c r="M50" i="17"/>
  <c r="S56" i="33"/>
  <c r="Q56" i="33"/>
  <c r="M95" i="17"/>
  <c r="L5" i="36"/>
  <c r="M5" i="36" s="1"/>
  <c r="M8" i="36" s="1"/>
  <c r="H9" i="36" s="1"/>
  <c r="H11" i="36" s="1"/>
  <c r="H12" i="36" s="1"/>
  <c r="H13" i="36" s="1"/>
  <c r="H14" i="36" s="1"/>
  <c r="E307" i="8" s="1"/>
  <c r="L5" i="21"/>
  <c r="M5" i="21" s="1"/>
  <c r="M12" i="21" s="1"/>
  <c r="H13" i="21" s="1"/>
  <c r="H15" i="21" s="1"/>
  <c r="H16" i="21" s="1"/>
  <c r="H17" i="21" s="1"/>
  <c r="H18" i="21" s="1"/>
  <c r="H19" i="21" s="1"/>
  <c r="L148" i="10"/>
  <c r="M148" i="10" s="1"/>
  <c r="M152" i="10" s="1"/>
  <c r="H153" i="10" s="1"/>
  <c r="H155" i="10" s="1"/>
  <c r="H156" i="10" s="1"/>
  <c r="H157" i="10" s="1"/>
  <c r="H158" i="10" s="1"/>
  <c r="E55" i="8" s="1"/>
  <c r="M72" i="17"/>
  <c r="M29" i="17"/>
  <c r="M6" i="17"/>
  <c r="M161" i="17"/>
  <c r="S39" i="33"/>
  <c r="Q39" i="33"/>
  <c r="H208" i="35"/>
  <c r="H238" i="35"/>
  <c r="H814" i="35"/>
  <c r="H816" i="35" s="1"/>
  <c r="H17" i="45"/>
  <c r="H564" i="35"/>
  <c r="H566" i="35" s="1"/>
  <c r="H539" i="35"/>
  <c r="H541" i="35" s="1"/>
  <c r="H932" i="35"/>
  <c r="H939" i="35" s="1"/>
  <c r="H941" i="35" s="1"/>
  <c r="H215" i="34"/>
  <c r="H216" i="34" s="1"/>
  <c r="M10" i="18"/>
  <c r="M111" i="18"/>
  <c r="M60" i="18"/>
  <c r="L89" i="21"/>
  <c r="M89" i="21" s="1"/>
  <c r="M85" i="18"/>
  <c r="M86" i="18"/>
  <c r="L47" i="21"/>
  <c r="M47" i="21" s="1"/>
  <c r="Q36" i="33"/>
  <c r="U36" i="33" s="1"/>
  <c r="V36" i="33" s="1"/>
  <c r="L68" i="21"/>
  <c r="M68" i="21" s="1"/>
  <c r="M75" i="21" s="1"/>
  <c r="H76" i="21" s="1"/>
  <c r="H78" i="21" s="1"/>
  <c r="H79" i="21" s="1"/>
  <c r="H80" i="21" s="1"/>
  <c r="H81" i="21" s="1"/>
  <c r="M110" i="18"/>
  <c r="M61" i="18"/>
  <c r="L26" i="21"/>
  <c r="M26" i="21" s="1"/>
  <c r="M33" i="21" s="1"/>
  <c r="H34" i="21" s="1"/>
  <c r="H36" i="21" s="1"/>
  <c r="H37" i="21" s="1"/>
  <c r="H38" i="21" s="1"/>
  <c r="H39" i="21" s="1"/>
  <c r="L129" i="34"/>
  <c r="M129" i="34" s="1"/>
  <c r="M132" i="34" s="1"/>
  <c r="H133" i="34" s="1"/>
  <c r="H135" i="34" s="1"/>
  <c r="H136" i="34" s="1"/>
  <c r="H137" i="34" s="1"/>
  <c r="H138" i="34" s="1"/>
  <c r="M5" i="17"/>
  <c r="M11" i="18"/>
  <c r="M28" i="17"/>
  <c r="M183" i="17"/>
  <c r="L112" i="34"/>
  <c r="M112" i="34" s="1"/>
  <c r="M115" i="34" s="1"/>
  <c r="H116" i="34" s="1"/>
  <c r="H118" i="34" s="1"/>
  <c r="H119" i="34" s="1"/>
  <c r="H120" i="34" s="1"/>
  <c r="H121" i="34" s="1"/>
  <c r="E287" i="8" s="1"/>
  <c r="M51" i="17"/>
  <c r="M73" i="17"/>
  <c r="M94" i="17"/>
  <c r="M35" i="18"/>
  <c r="S95" i="33"/>
  <c r="Q95" i="33"/>
  <c r="Q61" i="33"/>
  <c r="S61" i="33"/>
  <c r="S47" i="33"/>
  <c r="Q47" i="33"/>
  <c r="Q87" i="33"/>
  <c r="S87" i="33"/>
  <c r="Q78" i="33"/>
  <c r="S78" i="33"/>
  <c r="Q67" i="33"/>
  <c r="S67" i="33"/>
  <c r="U100" i="33"/>
  <c r="V100" i="33" s="1"/>
  <c r="S96" i="33"/>
  <c r="Q96" i="33"/>
  <c r="Q90" i="33"/>
  <c r="S90" i="33"/>
  <c r="Q80" i="33"/>
  <c r="S80" i="33"/>
  <c r="S85" i="33"/>
  <c r="Q85" i="33"/>
  <c r="S79" i="33"/>
  <c r="Q79" i="33"/>
  <c r="S75" i="33"/>
  <c r="Q75" i="33"/>
  <c r="Q41" i="33"/>
  <c r="S41" i="33"/>
  <c r="Q34" i="33"/>
  <c r="S34" i="33"/>
  <c r="S55" i="33"/>
  <c r="Q55" i="33"/>
  <c r="T19" i="37"/>
  <c r="R32" i="45"/>
  <c r="R9" i="45"/>
  <c r="Q55" i="45"/>
  <c r="S57" i="33"/>
  <c r="Q57" i="33"/>
  <c r="R27" i="45"/>
  <c r="Q50" i="45"/>
  <c r="R4" i="45"/>
  <c r="B194" i="8"/>
  <c r="A67" i="21"/>
  <c r="R30" i="45"/>
  <c r="R7" i="45"/>
  <c r="Q53" i="45"/>
  <c r="K336" i="35"/>
  <c r="Q86" i="33"/>
  <c r="S86" i="33"/>
  <c r="S76" i="33"/>
  <c r="Q76" i="33"/>
  <c r="S73" i="33"/>
  <c r="Q73" i="33"/>
  <c r="S69" i="33"/>
  <c r="Q69" i="33"/>
  <c r="Q35" i="33"/>
  <c r="S35" i="33"/>
  <c r="H30" i="46"/>
  <c r="H17" i="46"/>
  <c r="R171" i="34"/>
  <c r="Q51" i="45"/>
  <c r="R5" i="45"/>
  <c r="R28" i="45"/>
  <c r="A72" i="29"/>
  <c r="B215" i="8" s="1"/>
  <c r="B214" i="8"/>
  <c r="S51" i="33"/>
  <c r="Q51" i="33"/>
  <c r="B76" i="8"/>
  <c r="A150" i="11"/>
  <c r="H8" i="46"/>
  <c r="G75" i="45"/>
  <c r="H75" i="45" s="1"/>
  <c r="H50" i="45"/>
  <c r="A79" i="18"/>
  <c r="B184" i="8"/>
  <c r="H266" i="9"/>
  <c r="H33" i="8" s="1"/>
  <c r="G33" i="8" s="1"/>
  <c r="H130" i="9"/>
  <c r="E26" i="8"/>
  <c r="E12" i="8"/>
  <c r="H139" i="7"/>
  <c r="H19" i="7"/>
  <c r="U25" i="33"/>
  <c r="V25" i="33" s="1"/>
  <c r="U24" i="33"/>
  <c r="V24" i="33" s="1"/>
  <c r="B285" i="8"/>
  <c r="A93" i="34"/>
  <c r="D47" i="40"/>
  <c r="E47" i="40"/>
  <c r="H46" i="40"/>
  <c r="J46" i="40" s="1"/>
  <c r="M46" i="40" s="1"/>
  <c r="T12" i="40"/>
  <c r="I14" i="8"/>
  <c r="F14" i="8"/>
  <c r="J14" i="8" s="1"/>
  <c r="F10" i="8"/>
  <c r="J10" i="8" s="1"/>
  <c r="I10" i="8"/>
  <c r="I17" i="8"/>
  <c r="C3" i="56" s="1"/>
  <c r="T52" i="37"/>
  <c r="U52" i="37" s="1"/>
  <c r="U53" i="37" s="1"/>
  <c r="H172" i="35"/>
  <c r="H53" i="45"/>
  <c r="G78" i="45"/>
  <c r="H78" i="45" s="1"/>
  <c r="R764" i="35"/>
  <c r="R839" i="35"/>
  <c r="R914" i="35"/>
  <c r="R50" i="35"/>
  <c r="R208" i="35"/>
  <c r="R364" i="35"/>
  <c r="R589" i="35"/>
  <c r="R689" i="35"/>
  <c r="R739" i="35"/>
  <c r="R237" i="34"/>
  <c r="S93" i="33"/>
  <c r="Q93" i="33"/>
  <c r="S30" i="33"/>
  <c r="Q30" i="33"/>
  <c r="V19" i="33"/>
  <c r="R864" i="35"/>
  <c r="R326" i="34"/>
  <c r="R314" i="35"/>
  <c r="R464" i="35"/>
  <c r="R35" i="46"/>
  <c r="Y12" i="40"/>
  <c r="R16" i="49"/>
  <c r="H639" i="35"/>
  <c r="H641" i="35" s="1"/>
  <c r="A92" i="10"/>
  <c r="B51" i="8"/>
  <c r="R11" i="38"/>
  <c r="H11" i="38"/>
  <c r="H13" i="38" s="1"/>
  <c r="B156" i="8"/>
  <c r="A109" i="14"/>
  <c r="B157" i="8" s="1"/>
  <c r="H247" i="9"/>
  <c r="H32" i="8" s="1"/>
  <c r="G32" i="8" s="1"/>
  <c r="H220" i="7"/>
  <c r="E16" i="8"/>
  <c r="F8" i="8"/>
  <c r="J8" i="8" s="1"/>
  <c r="I8" i="8"/>
  <c r="A82" i="7"/>
  <c r="B9" i="8"/>
  <c r="U23" i="33"/>
  <c r="V23" i="33" s="1"/>
  <c r="L779" i="35" s="1"/>
  <c r="A136" i="9"/>
  <c r="B26" i="8"/>
  <c r="A113" i="17"/>
  <c r="B174" i="8"/>
  <c r="G157" i="9"/>
  <c r="H157" i="9" s="1"/>
  <c r="H161" i="9" s="1"/>
  <c r="G138" i="9"/>
  <c r="H138" i="9" s="1"/>
  <c r="H142" i="9" s="1"/>
  <c r="G50" i="34"/>
  <c r="H50" i="34" s="1"/>
  <c r="H57" i="34" s="1"/>
  <c r="G9" i="35"/>
  <c r="H9" i="35" s="1"/>
  <c r="H20" i="35" s="1"/>
  <c r="H22" i="35" s="1"/>
  <c r="G39" i="35"/>
  <c r="H39" i="35" s="1"/>
  <c r="H50" i="35" s="1"/>
  <c r="H52" i="35" s="1"/>
  <c r="T35" i="37"/>
  <c r="U11" i="40"/>
  <c r="U12" i="40" s="1"/>
  <c r="F21" i="8"/>
  <c r="J21" i="8" s="1"/>
  <c r="I21" i="8"/>
  <c r="F53" i="8"/>
  <c r="J53" i="8" s="1"/>
  <c r="I53" i="8"/>
  <c r="F25" i="8"/>
  <c r="J25" i="8" s="1"/>
  <c r="I25" i="8"/>
  <c r="F43" i="8"/>
  <c r="J43" i="8" s="1"/>
  <c r="I43" i="8"/>
  <c r="A144" i="8" l="1"/>
  <c r="A147" i="8" s="1"/>
  <c r="A148" i="8" s="1"/>
  <c r="A149" i="8" s="1"/>
  <c r="A152" i="8" s="1"/>
  <c r="A153" i="8" s="1"/>
  <c r="A154" i="8" s="1"/>
  <c r="A155" i="8" s="1"/>
  <c r="A156" i="8" s="1"/>
  <c r="A157" i="8" s="1"/>
  <c r="A160" i="8" s="1"/>
  <c r="A161" i="8" s="1"/>
  <c r="A162" i="8" s="1"/>
  <c r="A163" i="8" s="1"/>
  <c r="A164" i="8" s="1"/>
  <c r="A165" i="8" s="1"/>
  <c r="A166" i="8" s="1"/>
  <c r="A167" i="8" s="1"/>
  <c r="A170" i="8" s="1"/>
  <c r="A171" i="8" s="1"/>
  <c r="A172" i="8" s="1"/>
  <c r="A173" i="8" s="1"/>
  <c r="A174" i="8" s="1"/>
  <c r="A175" i="8" s="1"/>
  <c r="A176" i="8" s="1"/>
  <c r="A177" i="8" s="1"/>
  <c r="A178" i="8" s="1"/>
  <c r="A179" i="8" s="1"/>
  <c r="A182" i="8" s="1"/>
  <c r="A183" i="8" s="1"/>
  <c r="A184" i="8" s="1"/>
  <c r="A185" i="8" s="1"/>
  <c r="A186" i="8" s="1"/>
  <c r="I15" i="8"/>
  <c r="L780" i="35"/>
  <c r="M780" i="35" s="1"/>
  <c r="L30" i="12"/>
  <c r="M30" i="12" s="1"/>
  <c r="L121" i="12"/>
  <c r="L420" i="12"/>
  <c r="M420" i="12" s="1"/>
  <c r="L782" i="35"/>
  <c r="M782" i="35" s="1"/>
  <c r="L77" i="12"/>
  <c r="M77" i="12" s="1"/>
  <c r="L32" i="12"/>
  <c r="M32" i="12" s="1"/>
  <c r="L419" i="12"/>
  <c r="M419" i="12" s="1"/>
  <c r="L781" i="35"/>
  <c r="M781" i="35" s="1"/>
  <c r="L122" i="12"/>
  <c r="L31" i="12"/>
  <c r="M31" i="12" s="1"/>
  <c r="L408" i="35"/>
  <c r="M408" i="35" s="1"/>
  <c r="L483" i="35"/>
  <c r="M483" i="35" s="1"/>
  <c r="L458" i="35"/>
  <c r="M458" i="35" s="1"/>
  <c r="L418" i="12"/>
  <c r="M418" i="12" s="1"/>
  <c r="L76" i="12"/>
  <c r="M76" i="12" s="1"/>
  <c r="L425" i="12"/>
  <c r="M425" i="12" s="1"/>
  <c r="L75" i="12"/>
  <c r="M75" i="12" s="1"/>
  <c r="F7" i="8"/>
  <c r="J7" i="8" s="1"/>
  <c r="K7" i="8"/>
  <c r="L424" i="12"/>
  <c r="M424" i="12" s="1"/>
  <c r="L42" i="9"/>
  <c r="M42" i="9" s="1"/>
  <c r="L62" i="9"/>
  <c r="M62" i="9" s="1"/>
  <c r="L80" i="9"/>
  <c r="M80" i="9" s="1"/>
  <c r="L61" i="9"/>
  <c r="M61" i="9" s="1"/>
  <c r="L81" i="9"/>
  <c r="M81" i="9" s="1"/>
  <c r="L43" i="9"/>
  <c r="M43" i="9" s="1"/>
  <c r="A104" i="16"/>
  <c r="B164" i="8"/>
  <c r="A223" i="35"/>
  <c r="B233" i="8"/>
  <c r="U45" i="33"/>
  <c r="V45" i="33" s="1"/>
  <c r="L35" i="45" s="1"/>
  <c r="I9" i="8"/>
  <c r="R54" i="45"/>
  <c r="L110" i="55"/>
  <c r="M110" i="55" s="1"/>
  <c r="L89" i="55"/>
  <c r="M89" i="55" s="1"/>
  <c r="L68" i="55"/>
  <c r="M68" i="55" s="1"/>
  <c r="L27" i="55"/>
  <c r="M27" i="55" s="1"/>
  <c r="L48" i="55"/>
  <c r="M48" i="55" s="1"/>
  <c r="L6" i="55"/>
  <c r="M6" i="55" s="1"/>
  <c r="L49" i="55"/>
  <c r="M49" i="55" s="1"/>
  <c r="L28" i="55"/>
  <c r="M28" i="55" s="1"/>
  <c r="L7" i="55"/>
  <c r="M7" i="55" s="1"/>
  <c r="L48" i="53"/>
  <c r="M48" i="53" s="1"/>
  <c r="L6" i="53"/>
  <c r="M6" i="53" s="1"/>
  <c r="L69" i="53"/>
  <c r="M69" i="53" s="1"/>
  <c r="L27" i="53"/>
  <c r="M27" i="53" s="1"/>
  <c r="L46" i="52"/>
  <c r="M46" i="52" s="1"/>
  <c r="M50" i="52" s="1"/>
  <c r="H51" i="52" s="1"/>
  <c r="L5" i="11"/>
  <c r="M5" i="11" s="1"/>
  <c r="L300" i="54"/>
  <c r="M300" i="54" s="1"/>
  <c r="L132" i="11"/>
  <c r="M132" i="11" s="1"/>
  <c r="L323" i="54"/>
  <c r="M323" i="54" s="1"/>
  <c r="L302" i="54"/>
  <c r="M302" i="54" s="1"/>
  <c r="L260" i="54"/>
  <c r="M260" i="54" s="1"/>
  <c r="L239" i="54"/>
  <c r="M239" i="54" s="1"/>
  <c r="L218" i="54"/>
  <c r="M218" i="54" s="1"/>
  <c r="L176" i="54"/>
  <c r="M176" i="54" s="1"/>
  <c r="L155" i="54"/>
  <c r="M155" i="54" s="1"/>
  <c r="L134" i="54"/>
  <c r="M134" i="54" s="1"/>
  <c r="L92" i="54"/>
  <c r="M92" i="54" s="1"/>
  <c r="L71" i="54"/>
  <c r="M71" i="54" s="1"/>
  <c r="L50" i="54"/>
  <c r="M50" i="54" s="1"/>
  <c r="L8" i="54"/>
  <c r="M8" i="54" s="1"/>
  <c r="H39" i="52"/>
  <c r="H33" i="52"/>
  <c r="H34" i="52" s="1"/>
  <c r="H35" i="52" s="1"/>
  <c r="H36" i="52" s="1"/>
  <c r="H37" i="52" s="1"/>
  <c r="H38" i="52" s="1"/>
  <c r="L216" i="51"/>
  <c r="M216" i="51" s="1"/>
  <c r="L6" i="52"/>
  <c r="M6" i="52" s="1"/>
  <c r="M10" i="52" s="1"/>
  <c r="H11" i="52" s="1"/>
  <c r="L217" i="54"/>
  <c r="M217" i="54" s="1"/>
  <c r="L175" i="54"/>
  <c r="M175" i="54" s="1"/>
  <c r="L154" i="54"/>
  <c r="M154" i="54" s="1"/>
  <c r="L133" i="54"/>
  <c r="M133" i="54" s="1"/>
  <c r="L91" i="54"/>
  <c r="M91" i="54" s="1"/>
  <c r="L70" i="54"/>
  <c r="M70" i="54" s="1"/>
  <c r="L49" i="54"/>
  <c r="M49" i="54" s="1"/>
  <c r="L7" i="54"/>
  <c r="M7" i="54" s="1"/>
  <c r="L322" i="54"/>
  <c r="M322" i="54" s="1"/>
  <c r="L301" i="54"/>
  <c r="M301" i="54" s="1"/>
  <c r="L259" i="54"/>
  <c r="M259" i="54" s="1"/>
  <c r="L238" i="54"/>
  <c r="M238" i="54" s="1"/>
  <c r="I7" i="8"/>
  <c r="I42" i="8"/>
  <c r="L187" i="34"/>
  <c r="M187" i="34" s="1"/>
  <c r="L21" i="38"/>
  <c r="M21" i="38" s="1"/>
  <c r="L5" i="38"/>
  <c r="M5" i="38" s="1"/>
  <c r="L32" i="46"/>
  <c r="M32" i="46" s="1"/>
  <c r="L808" i="35"/>
  <c r="M808" i="35" s="1"/>
  <c r="L46" i="37"/>
  <c r="L28" i="37"/>
  <c r="L20" i="46"/>
  <c r="L33" i="46"/>
  <c r="H9" i="46"/>
  <c r="U55" i="33"/>
  <c r="V55" i="33" s="1"/>
  <c r="U34" i="33"/>
  <c r="V34" i="33" s="1"/>
  <c r="L30" i="18" s="1"/>
  <c r="M30" i="18" s="1"/>
  <c r="U56" i="33"/>
  <c r="V56" i="33" s="1"/>
  <c r="L262" i="51"/>
  <c r="M262" i="51" s="1"/>
  <c r="U41" i="33"/>
  <c r="V41" i="33" s="1"/>
  <c r="L31" i="29" s="1"/>
  <c r="M31" i="29" s="1"/>
  <c r="U85" i="33"/>
  <c r="V85" i="33" s="1"/>
  <c r="L175" i="9" s="1"/>
  <c r="M175" i="9" s="1"/>
  <c r="M180" i="9" s="1"/>
  <c r="H181" i="9" s="1"/>
  <c r="U93" i="33"/>
  <c r="V93" i="33" s="1"/>
  <c r="U35" i="33"/>
  <c r="V35" i="33" s="1"/>
  <c r="L8" i="18" s="1"/>
  <c r="M8" i="18" s="1"/>
  <c r="U69" i="33"/>
  <c r="V69" i="33" s="1"/>
  <c r="M28" i="27" s="1"/>
  <c r="U86" i="33"/>
  <c r="V86" i="33" s="1"/>
  <c r="L186" i="34" s="1"/>
  <c r="M186" i="34" s="1"/>
  <c r="U96" i="33"/>
  <c r="V96" i="33" s="1"/>
  <c r="L356" i="35" s="1"/>
  <c r="M356" i="35" s="1"/>
  <c r="U87" i="33"/>
  <c r="V87" i="33" s="1"/>
  <c r="L355" i="35" s="1"/>
  <c r="M355" i="35" s="1"/>
  <c r="U95" i="33"/>
  <c r="V95" i="33" s="1"/>
  <c r="L306" i="35" s="1"/>
  <c r="M306" i="35" s="1"/>
  <c r="H16" i="9"/>
  <c r="E20" i="8"/>
  <c r="C5" i="56" s="1"/>
  <c r="H118" i="7"/>
  <c r="E11" i="8"/>
  <c r="E13" i="8"/>
  <c r="H160" i="7"/>
  <c r="U90" i="33"/>
  <c r="V90" i="33" s="1"/>
  <c r="L14" i="35" s="1"/>
  <c r="M14" i="35" s="1"/>
  <c r="R137" i="9"/>
  <c r="R142" i="9" s="1"/>
  <c r="U29" i="33"/>
  <c r="V29" i="33" s="1"/>
  <c r="L159" i="35" s="1"/>
  <c r="E54" i="8"/>
  <c r="I54" i="8" s="1"/>
  <c r="H141" i="10"/>
  <c r="A56" i="32"/>
  <c r="G55" i="32"/>
  <c r="A23" i="33" s="1"/>
  <c r="U51" i="33"/>
  <c r="V51" i="33" s="1"/>
  <c r="L5" i="22" s="1"/>
  <c r="M5" i="22" s="1"/>
  <c r="M10" i="22" s="1"/>
  <c r="H11" i="22" s="1"/>
  <c r="H13" i="22" s="1"/>
  <c r="H14" i="22" s="1"/>
  <c r="H15" i="22" s="1"/>
  <c r="H16" i="22" s="1"/>
  <c r="L181" i="17"/>
  <c r="M181" i="17" s="1"/>
  <c r="L159" i="17"/>
  <c r="M159" i="17" s="1"/>
  <c r="L27" i="11"/>
  <c r="M27" i="11" s="1"/>
  <c r="L363" i="11"/>
  <c r="M363" i="11" s="1"/>
  <c r="L384" i="11"/>
  <c r="M384" i="11" s="1"/>
  <c r="L237" i="11"/>
  <c r="M237" i="11" s="1"/>
  <c r="L48" i="11"/>
  <c r="M48" i="11" s="1"/>
  <c r="L6" i="47"/>
  <c r="M6" i="47" s="1"/>
  <c r="L9" i="35"/>
  <c r="M9" i="35" s="1"/>
  <c r="L26" i="13"/>
  <c r="M26" i="13" s="1"/>
  <c r="L39" i="35"/>
  <c r="M39" i="35" s="1"/>
  <c r="L111" i="11"/>
  <c r="M111" i="11" s="1"/>
  <c r="L300" i="11"/>
  <c r="M300" i="11" s="1"/>
  <c r="L69" i="11"/>
  <c r="M69" i="11" s="1"/>
  <c r="L214" i="9"/>
  <c r="M214" i="9" s="1"/>
  <c r="L7" i="11"/>
  <c r="M7" i="11" s="1"/>
  <c r="L195" i="11"/>
  <c r="M195" i="11" s="1"/>
  <c r="L40" i="38"/>
  <c r="M40" i="38" s="1"/>
  <c r="L7" i="29"/>
  <c r="M7" i="29" s="1"/>
  <c r="L321" i="11"/>
  <c r="M321" i="11" s="1"/>
  <c r="L153" i="11"/>
  <c r="M153" i="11" s="1"/>
  <c r="L279" i="11"/>
  <c r="M279" i="11" s="1"/>
  <c r="L216" i="11"/>
  <c r="M216" i="11" s="1"/>
  <c r="L26" i="47"/>
  <c r="M26" i="47" s="1"/>
  <c r="L139" i="9"/>
  <c r="M139" i="9" s="1"/>
  <c r="L134" i="35"/>
  <c r="M134" i="35" s="1"/>
  <c r="L46" i="13"/>
  <c r="M46" i="13" s="1"/>
  <c r="L46" i="47"/>
  <c r="M46" i="47" s="1"/>
  <c r="L158" i="9"/>
  <c r="M158" i="9" s="1"/>
  <c r="I44" i="8"/>
  <c r="L51" i="34"/>
  <c r="M51" i="34" s="1"/>
  <c r="L262" i="12"/>
  <c r="M262" i="12" s="1"/>
  <c r="L43" i="35"/>
  <c r="M43" i="35" s="1"/>
  <c r="L13" i="35"/>
  <c r="M13" i="35" s="1"/>
  <c r="L164" i="35"/>
  <c r="M164" i="35" s="1"/>
  <c r="L6" i="34"/>
  <c r="M6" i="34" s="1"/>
  <c r="L199" i="35"/>
  <c r="M199" i="35" s="1"/>
  <c r="L259" i="35"/>
  <c r="M259" i="35" s="1"/>
  <c r="L9" i="45"/>
  <c r="L55" i="45" s="1"/>
  <c r="M55" i="45" s="1"/>
  <c r="L229" i="35"/>
  <c r="M229" i="35" s="1"/>
  <c r="L216" i="12"/>
  <c r="M216" i="12" s="1"/>
  <c r="L47" i="27"/>
  <c r="M47" i="27" s="1"/>
  <c r="L5" i="35"/>
  <c r="M5" i="35" s="1"/>
  <c r="L9" i="51"/>
  <c r="M9" i="51" s="1"/>
  <c r="L48" i="21"/>
  <c r="M48" i="21" s="1"/>
  <c r="M54" i="21" s="1"/>
  <c r="H55" i="21" s="1"/>
  <c r="H62" i="21" s="1"/>
  <c r="H194" i="8" s="1"/>
  <c r="G194" i="8" s="1"/>
  <c r="L858" i="35"/>
  <c r="M858" i="35" s="1"/>
  <c r="L308" i="51"/>
  <c r="M308" i="51" s="1"/>
  <c r="M80" i="34"/>
  <c r="H81" i="34" s="1"/>
  <c r="H88" i="34" s="1"/>
  <c r="H285" i="8" s="1"/>
  <c r="G285" i="8" s="1"/>
  <c r="L124" i="12"/>
  <c r="M124" i="12" s="1"/>
  <c r="L932" i="35"/>
  <c r="M932" i="35" s="1"/>
  <c r="L758" i="35"/>
  <c r="M758" i="35" s="1"/>
  <c r="L78" i="12"/>
  <c r="M78" i="12" s="1"/>
  <c r="L832" i="35"/>
  <c r="M832" i="35" s="1"/>
  <c r="L78" i="51"/>
  <c r="M78" i="51" s="1"/>
  <c r="L124" i="51"/>
  <c r="M124" i="51" s="1"/>
  <c r="L883" i="35"/>
  <c r="M883" i="35" s="1"/>
  <c r="L783" i="35"/>
  <c r="M783" i="35" s="1"/>
  <c r="L170" i="12"/>
  <c r="M170" i="12" s="1"/>
  <c r="L33" i="12"/>
  <c r="M33" i="12" s="1"/>
  <c r="L9" i="12"/>
  <c r="M9" i="12" s="1"/>
  <c r="L308" i="12"/>
  <c r="M308" i="12" s="1"/>
  <c r="L354" i="12"/>
  <c r="M354" i="12" s="1"/>
  <c r="L807" i="35"/>
  <c r="M807" i="35" s="1"/>
  <c r="L907" i="35"/>
  <c r="M907" i="35" s="1"/>
  <c r="L361" i="11"/>
  <c r="M361" i="11" s="1"/>
  <c r="L33" i="51"/>
  <c r="M33" i="51" s="1"/>
  <c r="L170" i="51"/>
  <c r="M170" i="51" s="1"/>
  <c r="L354" i="51"/>
  <c r="M354" i="51" s="1"/>
  <c r="L258" i="35"/>
  <c r="M258" i="35" s="1"/>
  <c r="L28" i="34"/>
  <c r="M28" i="34" s="1"/>
  <c r="L132" i="35"/>
  <c r="M132" i="35" s="1"/>
  <c r="L10" i="35"/>
  <c r="M10" i="35" s="1"/>
  <c r="L53" i="34"/>
  <c r="M53" i="34" s="1"/>
  <c r="L169" i="34"/>
  <c r="M169" i="34" s="1"/>
  <c r="Q189" i="34"/>
  <c r="R189" i="34" s="1"/>
  <c r="R193" i="34" s="1"/>
  <c r="L40" i="35"/>
  <c r="M40" i="35" s="1"/>
  <c r="U30" i="33"/>
  <c r="V30" i="33" s="1"/>
  <c r="L4" i="40" s="1"/>
  <c r="L5" i="40" s="1"/>
  <c r="U75" i="33"/>
  <c r="V75" i="33" s="1"/>
  <c r="L6" i="29" s="1"/>
  <c r="M6" i="29" s="1"/>
  <c r="U79" i="33"/>
  <c r="V79" i="33" s="1"/>
  <c r="L50" i="29" s="1"/>
  <c r="M50" i="29" s="1"/>
  <c r="U80" i="33"/>
  <c r="V80" i="33" s="1"/>
  <c r="L6" i="28" s="1"/>
  <c r="M6" i="28" s="1"/>
  <c r="M11" i="28" s="1"/>
  <c r="H12" i="28" s="1"/>
  <c r="H14" i="28" s="1"/>
  <c r="H15" i="28" s="1"/>
  <c r="H16" i="28" s="1"/>
  <c r="H17" i="28" s="1"/>
  <c r="H18" i="28" s="1"/>
  <c r="E207" i="8" s="1"/>
  <c r="L35" i="35"/>
  <c r="M35" i="35" s="1"/>
  <c r="X34" i="37"/>
  <c r="X35" i="37" s="1"/>
  <c r="L37" i="38"/>
  <c r="M37" i="38" s="1"/>
  <c r="U67" i="33"/>
  <c r="V67" i="33" s="1"/>
  <c r="L26" i="28" s="1"/>
  <c r="M26" i="28" s="1"/>
  <c r="M32" i="28" s="1"/>
  <c r="H33" i="28" s="1"/>
  <c r="H35" i="28" s="1"/>
  <c r="H36" i="28" s="1"/>
  <c r="H37" i="28" s="1"/>
  <c r="H38" i="28" s="1"/>
  <c r="H39" i="28" s="1"/>
  <c r="E208" i="8" s="1"/>
  <c r="U47" i="33"/>
  <c r="V47" i="33" s="1"/>
  <c r="L283" i="51"/>
  <c r="M283" i="51" s="1"/>
  <c r="L260" i="51"/>
  <c r="M260" i="51" s="1"/>
  <c r="L237" i="51"/>
  <c r="M237" i="51" s="1"/>
  <c r="L214" i="51"/>
  <c r="M214" i="51" s="1"/>
  <c r="L191" i="51"/>
  <c r="M191" i="51" s="1"/>
  <c r="L122" i="51"/>
  <c r="M122" i="51" s="1"/>
  <c r="L99" i="51"/>
  <c r="M99" i="51" s="1"/>
  <c r="L54" i="51"/>
  <c r="M54" i="51" s="1"/>
  <c r="L30" i="45"/>
  <c r="L375" i="51"/>
  <c r="M375" i="51" s="1"/>
  <c r="L352" i="51"/>
  <c r="M352" i="51" s="1"/>
  <c r="L329" i="51"/>
  <c r="M329" i="51" s="1"/>
  <c r="L306" i="51"/>
  <c r="M306" i="51" s="1"/>
  <c r="L145" i="51"/>
  <c r="M145" i="51" s="1"/>
  <c r="L31" i="51"/>
  <c r="M31" i="51" s="1"/>
  <c r="L163" i="35"/>
  <c r="M163" i="35" s="1"/>
  <c r="L355" i="51"/>
  <c r="M355" i="51" s="1"/>
  <c r="L309" i="51"/>
  <c r="M309" i="51" s="1"/>
  <c r="L125" i="51"/>
  <c r="M125" i="51" s="1"/>
  <c r="L263" i="51"/>
  <c r="M263" i="51" s="1"/>
  <c r="L217" i="51"/>
  <c r="M217" i="51" s="1"/>
  <c r="L171" i="51"/>
  <c r="M171" i="51" s="1"/>
  <c r="L79" i="51"/>
  <c r="M79" i="51" s="1"/>
  <c r="L34" i="51"/>
  <c r="M34" i="51" s="1"/>
  <c r="L10" i="51"/>
  <c r="M10" i="51" s="1"/>
  <c r="L31" i="45"/>
  <c r="L167" i="51"/>
  <c r="M167" i="51" s="1"/>
  <c r="L75" i="51"/>
  <c r="M75" i="51" s="1"/>
  <c r="L52" i="51"/>
  <c r="M52" i="51" s="1"/>
  <c r="L29" i="51"/>
  <c r="M29" i="51" s="1"/>
  <c r="L6" i="51"/>
  <c r="M6" i="51" s="1"/>
  <c r="L353" i="51"/>
  <c r="M353" i="51" s="1"/>
  <c r="L307" i="51"/>
  <c r="M307" i="51" s="1"/>
  <c r="L284" i="51"/>
  <c r="M284" i="51" s="1"/>
  <c r="L238" i="51"/>
  <c r="M238" i="51" s="1"/>
  <c r="L146" i="51"/>
  <c r="M146" i="51" s="1"/>
  <c r="L123" i="51"/>
  <c r="M123" i="51" s="1"/>
  <c r="L376" i="51"/>
  <c r="M376" i="51" s="1"/>
  <c r="L330" i="51"/>
  <c r="M330" i="51" s="1"/>
  <c r="L261" i="51"/>
  <c r="M261" i="51" s="1"/>
  <c r="L215" i="51"/>
  <c r="M215" i="51" s="1"/>
  <c r="L192" i="51"/>
  <c r="M192" i="51" s="1"/>
  <c r="L169" i="51"/>
  <c r="M169" i="51" s="1"/>
  <c r="L100" i="51"/>
  <c r="M100" i="51" s="1"/>
  <c r="L77" i="51"/>
  <c r="M77" i="51" s="1"/>
  <c r="L55" i="51"/>
  <c r="M55" i="51" s="1"/>
  <c r="L32" i="51"/>
  <c r="M32" i="51" s="1"/>
  <c r="L8" i="51"/>
  <c r="M8" i="51" s="1"/>
  <c r="L29" i="45"/>
  <c r="L282" i="51"/>
  <c r="M282" i="51" s="1"/>
  <c r="L236" i="51"/>
  <c r="M236" i="51" s="1"/>
  <c r="L213" i="51"/>
  <c r="M213" i="51" s="1"/>
  <c r="L190" i="51"/>
  <c r="M190" i="51" s="1"/>
  <c r="L121" i="51"/>
  <c r="M121" i="51" s="1"/>
  <c r="L98" i="51"/>
  <c r="M98" i="51" s="1"/>
  <c r="L374" i="51"/>
  <c r="M374" i="51" s="1"/>
  <c r="L351" i="51"/>
  <c r="M351" i="51" s="1"/>
  <c r="L328" i="51"/>
  <c r="M328" i="51" s="1"/>
  <c r="L305" i="51"/>
  <c r="M305" i="51" s="1"/>
  <c r="L259" i="51"/>
  <c r="M259" i="51" s="1"/>
  <c r="L168" i="51"/>
  <c r="M168" i="51" s="1"/>
  <c r="L144" i="51"/>
  <c r="M144" i="51" s="1"/>
  <c r="L76" i="51"/>
  <c r="M76" i="51" s="1"/>
  <c r="L53" i="51"/>
  <c r="M53" i="51" s="1"/>
  <c r="L30" i="51"/>
  <c r="M30" i="51" s="1"/>
  <c r="L7" i="51"/>
  <c r="M7" i="51" s="1"/>
  <c r="L200" i="35"/>
  <c r="M200" i="35" s="1"/>
  <c r="L34" i="45"/>
  <c r="L48" i="34"/>
  <c r="M48" i="34" s="1"/>
  <c r="R40" i="45"/>
  <c r="L320" i="11"/>
  <c r="M320" i="11" s="1"/>
  <c r="L383" i="11"/>
  <c r="M383" i="11" s="1"/>
  <c r="U73" i="33"/>
  <c r="V73" i="33" s="1"/>
  <c r="L7" i="27" s="1"/>
  <c r="M7" i="27" s="1"/>
  <c r="U57" i="33"/>
  <c r="V57" i="33" s="1"/>
  <c r="L213" i="9"/>
  <c r="M213" i="9" s="1"/>
  <c r="U39" i="33"/>
  <c r="V39" i="33" s="1"/>
  <c r="M53" i="28"/>
  <c r="H54" i="28" s="1"/>
  <c r="H62" i="28" s="1"/>
  <c r="H209" i="8" s="1"/>
  <c r="U78" i="33"/>
  <c r="V78" i="33" s="1"/>
  <c r="L77" i="29" s="1"/>
  <c r="M77" i="29" s="1"/>
  <c r="U61" i="33"/>
  <c r="V61" i="33" s="1"/>
  <c r="L156" i="9"/>
  <c r="M156" i="9" s="1"/>
  <c r="L231" i="35"/>
  <c r="M231" i="35" s="1"/>
  <c r="E286" i="8"/>
  <c r="F286" i="8" s="1"/>
  <c r="J286" i="8" s="1"/>
  <c r="L133" i="35"/>
  <c r="M133" i="35" s="1"/>
  <c r="L10" i="45"/>
  <c r="M10" i="45" s="1"/>
  <c r="L166" i="35"/>
  <c r="M166" i="35" s="1"/>
  <c r="L39" i="38"/>
  <c r="M39" i="38" s="1"/>
  <c r="L299" i="11"/>
  <c r="M299" i="11" s="1"/>
  <c r="L73" i="29"/>
  <c r="M73" i="29" s="1"/>
  <c r="L236" i="11"/>
  <c r="M236" i="11" s="1"/>
  <c r="L110" i="11"/>
  <c r="M110" i="11" s="1"/>
  <c r="L5" i="29"/>
  <c r="M5" i="29" s="1"/>
  <c r="L68" i="11"/>
  <c r="M68" i="11" s="1"/>
  <c r="L6" i="11"/>
  <c r="M6" i="11" s="1"/>
  <c r="L131" i="11"/>
  <c r="M131" i="11" s="1"/>
  <c r="L215" i="11"/>
  <c r="M215" i="11" s="1"/>
  <c r="L25" i="29"/>
  <c r="M25" i="29" s="1"/>
  <c r="L49" i="29"/>
  <c r="M49" i="29" s="1"/>
  <c r="L194" i="11"/>
  <c r="M194" i="11" s="1"/>
  <c r="L152" i="11"/>
  <c r="M152" i="11" s="1"/>
  <c r="L47" i="11"/>
  <c r="M47" i="11" s="1"/>
  <c r="L278" i="11"/>
  <c r="M278" i="11" s="1"/>
  <c r="L362" i="11"/>
  <c r="M362" i="11" s="1"/>
  <c r="L26" i="11"/>
  <c r="M26" i="11" s="1"/>
  <c r="I118" i="34"/>
  <c r="H159" i="10"/>
  <c r="E192" i="8"/>
  <c r="F192" i="8" s="1"/>
  <c r="J192" i="8" s="1"/>
  <c r="L228" i="35"/>
  <c r="M228" i="35" s="1"/>
  <c r="M12" i="17"/>
  <c r="H13" i="17" s="1"/>
  <c r="H15" i="17" s="1"/>
  <c r="H16" i="17" s="1"/>
  <c r="H17" i="17" s="1"/>
  <c r="H18" i="17" s="1"/>
  <c r="H19" i="17" s="1"/>
  <c r="L908" i="35"/>
  <c r="M908" i="35" s="1"/>
  <c r="U76" i="33"/>
  <c r="V76" i="33" s="1"/>
  <c r="L75" i="29" s="1"/>
  <c r="M75" i="29" s="1"/>
  <c r="H15" i="36"/>
  <c r="L503" i="35"/>
  <c r="M503" i="35" s="1"/>
  <c r="L27" i="34"/>
  <c r="M27" i="34" s="1"/>
  <c r="L171" i="12"/>
  <c r="M171" i="12" s="1"/>
  <c r="L10" i="12"/>
  <c r="M10" i="12" s="1"/>
  <c r="L56" i="10"/>
  <c r="M56" i="10" s="1"/>
  <c r="M59" i="10" s="1"/>
  <c r="H60" i="10" s="1"/>
  <c r="H62" i="10" s="1"/>
  <c r="H63" i="10" s="1"/>
  <c r="H64" i="10" s="1"/>
  <c r="H65" i="10" s="1"/>
  <c r="L90" i="21"/>
  <c r="M90" i="21" s="1"/>
  <c r="M96" i="21" s="1"/>
  <c r="H97" i="21" s="1"/>
  <c r="L321" i="34"/>
  <c r="M321" i="34" s="1"/>
  <c r="L553" i="35"/>
  <c r="M553" i="35" s="1"/>
  <c r="L217" i="12"/>
  <c r="M217" i="12" s="1"/>
  <c r="L5" i="10"/>
  <c r="M5" i="10" s="1"/>
  <c r="M8" i="10" s="1"/>
  <c r="H9" i="10" s="1"/>
  <c r="H11" i="10" s="1"/>
  <c r="H12" i="10" s="1"/>
  <c r="H13" i="10" s="1"/>
  <c r="H14" i="10" s="1"/>
  <c r="L198" i="35"/>
  <c r="M198" i="35" s="1"/>
  <c r="L428" i="35"/>
  <c r="M428" i="35" s="1"/>
  <c r="L8" i="45"/>
  <c r="L140" i="17"/>
  <c r="M140" i="17" s="1"/>
  <c r="L36" i="35"/>
  <c r="M36" i="35" s="1"/>
  <c r="L41" i="35"/>
  <c r="M41" i="35" s="1"/>
  <c r="L74" i="10"/>
  <c r="M74" i="10" s="1"/>
  <c r="L378" i="35"/>
  <c r="M378" i="35" s="1"/>
  <c r="L22" i="10"/>
  <c r="M22" i="10" s="1"/>
  <c r="M25" i="10" s="1"/>
  <c r="H26" i="10" s="1"/>
  <c r="H28" i="10" s="1"/>
  <c r="H29" i="10" s="1"/>
  <c r="H30" i="10" s="1"/>
  <c r="H31" i="10" s="1"/>
  <c r="L528" i="35"/>
  <c r="M528" i="35" s="1"/>
  <c r="L8" i="14"/>
  <c r="M8" i="14" s="1"/>
  <c r="L42" i="35"/>
  <c r="M42" i="35" s="1"/>
  <c r="L13" i="37"/>
  <c r="M13" i="37" s="1"/>
  <c r="M19" i="37" s="1"/>
  <c r="L759" i="35"/>
  <c r="M759" i="35" s="1"/>
  <c r="L859" i="35"/>
  <c r="M859" i="35" s="1"/>
  <c r="L628" i="35"/>
  <c r="M628" i="35" s="1"/>
  <c r="L328" i="35"/>
  <c r="M328" i="35" s="1"/>
  <c r="L678" i="35"/>
  <c r="M678" i="35" s="1"/>
  <c r="L30" i="17"/>
  <c r="M30" i="17" s="1"/>
  <c r="L403" i="35"/>
  <c r="M403" i="35" s="1"/>
  <c r="L168" i="34"/>
  <c r="M168" i="34" s="1"/>
  <c r="L12" i="35"/>
  <c r="M12" i="35" s="1"/>
  <c r="L157" i="9"/>
  <c r="M157" i="9" s="1"/>
  <c r="I119" i="34"/>
  <c r="H223" i="34"/>
  <c r="H291" i="8" s="1"/>
  <c r="G291" i="8" s="1"/>
  <c r="H218" i="34"/>
  <c r="H219" i="34" s="1"/>
  <c r="H220" i="34" s="1"/>
  <c r="H221" i="34" s="1"/>
  <c r="H222" i="34" s="1"/>
  <c r="L138" i="9"/>
  <c r="M138" i="9" s="1"/>
  <c r="L49" i="34"/>
  <c r="M49" i="34" s="1"/>
  <c r="L5" i="19"/>
  <c r="M5" i="19" s="1"/>
  <c r="L309" i="12"/>
  <c r="M309" i="12" s="1"/>
  <c r="L125" i="12"/>
  <c r="M125" i="12" s="1"/>
  <c r="L353" i="35"/>
  <c r="M353" i="35" s="1"/>
  <c r="L603" i="35"/>
  <c r="M603" i="35" s="1"/>
  <c r="L728" i="35"/>
  <c r="M728" i="35" s="1"/>
  <c r="L52" i="17"/>
  <c r="M52" i="17" s="1"/>
  <c r="L52" i="34"/>
  <c r="M52" i="34" s="1"/>
  <c r="L933" i="35"/>
  <c r="M933" i="35" s="1"/>
  <c r="L453" i="35"/>
  <c r="M453" i="35" s="1"/>
  <c r="L131" i="35"/>
  <c r="M131" i="35" s="1"/>
  <c r="L94" i="10"/>
  <c r="M94" i="10" s="1"/>
  <c r="L355" i="12"/>
  <c r="M355" i="12" s="1"/>
  <c r="L118" i="17"/>
  <c r="M118" i="17" s="1"/>
  <c r="L653" i="35"/>
  <c r="M653" i="35" s="1"/>
  <c r="L478" i="35"/>
  <c r="M478" i="35" s="1"/>
  <c r="L79" i="12"/>
  <c r="M79" i="12" s="1"/>
  <c r="L50" i="14"/>
  <c r="M50" i="14" s="1"/>
  <c r="L263" i="12"/>
  <c r="M263" i="12" s="1"/>
  <c r="L34" i="12"/>
  <c r="M34" i="12" s="1"/>
  <c r="L703" i="35"/>
  <c r="M703" i="35" s="1"/>
  <c r="L7" i="46"/>
  <c r="L278" i="35"/>
  <c r="M278" i="35" s="1"/>
  <c r="L5" i="34"/>
  <c r="M5" i="34" s="1"/>
  <c r="L39" i="10"/>
  <c r="M39" i="10" s="1"/>
  <c r="M42" i="10" s="1"/>
  <c r="H43" i="10" s="1"/>
  <c r="H45" i="10" s="1"/>
  <c r="H46" i="10" s="1"/>
  <c r="H47" i="10" s="1"/>
  <c r="H48" i="10" s="1"/>
  <c r="L303" i="35"/>
  <c r="M303" i="35" s="1"/>
  <c r="L29" i="14"/>
  <c r="M29" i="14" s="1"/>
  <c r="L884" i="35"/>
  <c r="M884" i="35" s="1"/>
  <c r="L578" i="35"/>
  <c r="M578" i="35" s="1"/>
  <c r="L5" i="49"/>
  <c r="M5" i="49" s="1"/>
  <c r="L833" i="35"/>
  <c r="M833" i="35" s="1"/>
  <c r="L784" i="35"/>
  <c r="M784" i="35" s="1"/>
  <c r="L260" i="35"/>
  <c r="M260" i="35" s="1"/>
  <c r="H122" i="34"/>
  <c r="E193" i="8"/>
  <c r="H40" i="21"/>
  <c r="E288" i="8"/>
  <c r="H139" i="34"/>
  <c r="H82" i="21"/>
  <c r="E195" i="8"/>
  <c r="L683" i="35"/>
  <c r="M683" i="35" s="1"/>
  <c r="L533" i="35"/>
  <c r="M533" i="35" s="1"/>
  <c r="L608" i="35"/>
  <c r="M608" i="35" s="1"/>
  <c r="L308" i="35"/>
  <c r="M308" i="35" s="1"/>
  <c r="L383" i="35"/>
  <c r="M383" i="35" s="1"/>
  <c r="L733" i="35"/>
  <c r="M733" i="35" s="1"/>
  <c r="L508" i="35"/>
  <c r="M508" i="35" s="1"/>
  <c r="L333" i="35"/>
  <c r="M333" i="35" s="1"/>
  <c r="L10" i="49"/>
  <c r="M10" i="49" s="1"/>
  <c r="L433" i="35"/>
  <c r="M433" i="35" s="1"/>
  <c r="L583" i="35"/>
  <c r="M583" i="35" s="1"/>
  <c r="L708" i="35"/>
  <c r="M708" i="35" s="1"/>
  <c r="L283" i="35"/>
  <c r="M283" i="35" s="1"/>
  <c r="L658" i="35"/>
  <c r="M658" i="35" s="1"/>
  <c r="L558" i="35"/>
  <c r="M558" i="35" s="1"/>
  <c r="L358" i="35"/>
  <c r="M358" i="35" s="1"/>
  <c r="L633" i="35"/>
  <c r="M633" i="35" s="1"/>
  <c r="L330" i="12"/>
  <c r="M330" i="12" s="1"/>
  <c r="L831" i="35"/>
  <c r="M831" i="35" s="1"/>
  <c r="L857" i="35"/>
  <c r="M857" i="35" s="1"/>
  <c r="L906" i="35"/>
  <c r="M906" i="35" s="1"/>
  <c r="L311" i="35"/>
  <c r="M311" i="35" s="1"/>
  <c r="L93" i="17"/>
  <c r="M93" i="17" s="1"/>
  <c r="L70" i="14"/>
  <c r="M70" i="14" s="1"/>
  <c r="L6" i="16"/>
  <c r="M6" i="16" s="1"/>
  <c r="L66" i="16"/>
  <c r="M66" i="16" s="1"/>
  <c r="L736" i="35"/>
  <c r="M736" i="35" s="1"/>
  <c r="L7" i="14"/>
  <c r="M7" i="14" s="1"/>
  <c r="L6" i="31"/>
  <c r="M6" i="31" s="1"/>
  <c r="L146" i="16"/>
  <c r="M146" i="16" s="1"/>
  <c r="L71" i="17"/>
  <c r="M71" i="17" s="1"/>
  <c r="L361" i="35"/>
  <c r="M361" i="35" s="1"/>
  <c r="L411" i="35"/>
  <c r="M411" i="35" s="1"/>
  <c r="L169" i="12"/>
  <c r="M169" i="12" s="1"/>
  <c r="L931" i="35"/>
  <c r="M931" i="35" s="1"/>
  <c r="L161" i="35"/>
  <c r="M161" i="35" s="1"/>
  <c r="L137" i="17"/>
  <c r="M137" i="17" s="1"/>
  <c r="L386" i="35"/>
  <c r="M386" i="35" s="1"/>
  <c r="L806" i="35"/>
  <c r="M806" i="35" s="1"/>
  <c r="L28" i="14"/>
  <c r="M28" i="14" s="1"/>
  <c r="L215" i="12"/>
  <c r="M215" i="12" s="1"/>
  <c r="L336" i="35"/>
  <c r="M336" i="35" s="1"/>
  <c r="L536" i="35"/>
  <c r="M536" i="35" s="1"/>
  <c r="L49" i="17"/>
  <c r="M49" i="17" s="1"/>
  <c r="L461" i="35"/>
  <c r="M461" i="35" s="1"/>
  <c r="L284" i="12"/>
  <c r="M284" i="12" s="1"/>
  <c r="L112" i="14"/>
  <c r="M112" i="14" s="1"/>
  <c r="L100" i="12"/>
  <c r="M100" i="12" s="1"/>
  <c r="L561" i="35"/>
  <c r="M561" i="35" s="1"/>
  <c r="L286" i="35"/>
  <c r="M286" i="35" s="1"/>
  <c r="L6" i="45"/>
  <c r="L486" i="35"/>
  <c r="M486" i="35" s="1"/>
  <c r="L106" i="16"/>
  <c r="M106" i="16" s="1"/>
  <c r="L115" i="17"/>
  <c r="M115" i="17" s="1"/>
  <c r="L126" i="16"/>
  <c r="M126" i="16" s="1"/>
  <c r="L882" i="35"/>
  <c r="M882" i="35" s="1"/>
  <c r="L511" i="35"/>
  <c r="M511" i="35" s="1"/>
  <c r="L146" i="12"/>
  <c r="M146" i="12" s="1"/>
  <c r="L49" i="14"/>
  <c r="M49" i="14" s="1"/>
  <c r="L8" i="12"/>
  <c r="M8" i="12" s="1"/>
  <c r="L586" i="35"/>
  <c r="M586" i="35" s="1"/>
  <c r="L230" i="34"/>
  <c r="M230" i="34" s="1"/>
  <c r="L129" i="35"/>
  <c r="M129" i="35" s="1"/>
  <c r="L353" i="12"/>
  <c r="M353" i="12" s="1"/>
  <c r="L91" i="14"/>
  <c r="M91" i="14" s="1"/>
  <c r="L376" i="12"/>
  <c r="L196" i="35"/>
  <c r="M196" i="35" s="1"/>
  <c r="L686" i="35"/>
  <c r="M686" i="35" s="1"/>
  <c r="L27" i="17"/>
  <c r="M27" i="17" s="1"/>
  <c r="L164" i="34"/>
  <c r="M164" i="34" s="1"/>
  <c r="L307" i="12"/>
  <c r="M307" i="12" s="1"/>
  <c r="L203" i="17"/>
  <c r="M203" i="17" s="1"/>
  <c r="L13" i="49"/>
  <c r="M13" i="49" s="1"/>
  <c r="L55" i="12"/>
  <c r="M55" i="12" s="1"/>
  <c r="L192" i="12"/>
  <c r="M192" i="12" s="1"/>
  <c r="L31" i="46"/>
  <c r="M31" i="46" s="1"/>
  <c r="L261" i="12"/>
  <c r="M261" i="12" s="1"/>
  <c r="L26" i="16"/>
  <c r="M26" i="16" s="1"/>
  <c r="L46" i="16"/>
  <c r="M46" i="16" s="1"/>
  <c r="L226" i="35"/>
  <c r="M226" i="35" s="1"/>
  <c r="L86" i="16"/>
  <c r="M86" i="16" s="1"/>
  <c r="L238" i="12"/>
  <c r="M238" i="12" s="1"/>
  <c r="L661" i="35"/>
  <c r="M661" i="35" s="1"/>
  <c r="L611" i="35"/>
  <c r="M611" i="35" s="1"/>
  <c r="L711" i="35"/>
  <c r="M711" i="35" s="1"/>
  <c r="L123" i="12"/>
  <c r="M123" i="12" s="1"/>
  <c r="L436" i="35"/>
  <c r="M436" i="35" s="1"/>
  <c r="L636" i="35"/>
  <c r="M636" i="35" s="1"/>
  <c r="L757" i="35"/>
  <c r="M757" i="35" s="1"/>
  <c r="L166" i="34"/>
  <c r="M166" i="34" s="1"/>
  <c r="L7" i="31"/>
  <c r="M7" i="31" s="1"/>
  <c r="L329" i="12"/>
  <c r="M329" i="12" s="1"/>
  <c r="L352" i="12"/>
  <c r="M352" i="12" s="1"/>
  <c r="L237" i="12"/>
  <c r="M237" i="12" s="1"/>
  <c r="L191" i="12"/>
  <c r="M191" i="12" s="1"/>
  <c r="L306" i="12"/>
  <c r="M306" i="12" s="1"/>
  <c r="L905" i="35"/>
  <c r="M905" i="35" s="1"/>
  <c r="L881" i="35"/>
  <c r="M881" i="35" s="1"/>
  <c r="L805" i="35"/>
  <c r="M805" i="35" s="1"/>
  <c r="L756" i="35"/>
  <c r="M756" i="35" s="1"/>
  <c r="L197" i="35"/>
  <c r="M197" i="35" s="1"/>
  <c r="L54" i="12"/>
  <c r="M54" i="12" s="1"/>
  <c r="L99" i="12"/>
  <c r="M99" i="12" s="1"/>
  <c r="L214" i="12"/>
  <c r="M214" i="12" s="1"/>
  <c r="L260" i="12"/>
  <c r="M260" i="12" s="1"/>
  <c r="M122" i="12"/>
  <c r="L283" i="12"/>
  <c r="M283" i="12" s="1"/>
  <c r="L375" i="12"/>
  <c r="M375" i="12" s="1"/>
  <c r="L830" i="35"/>
  <c r="M830" i="35" s="1"/>
  <c r="L145" i="12"/>
  <c r="M145" i="12" s="1"/>
  <c r="L162" i="35"/>
  <c r="M162" i="35" s="1"/>
  <c r="L227" i="35"/>
  <c r="M227" i="35" s="1"/>
  <c r="L856" i="35"/>
  <c r="M856" i="35" s="1"/>
  <c r="L7" i="45"/>
  <c r="L130" i="35"/>
  <c r="M130" i="35" s="1"/>
  <c r="L930" i="35"/>
  <c r="M930" i="35" s="1"/>
  <c r="A135" i="17"/>
  <c r="B175" i="8"/>
  <c r="B27" i="8"/>
  <c r="A155" i="9"/>
  <c r="L854" i="35"/>
  <c r="M854" i="35" s="1"/>
  <c r="L167" i="12"/>
  <c r="M167" i="12" s="1"/>
  <c r="M779" i="35"/>
  <c r="L754" i="35"/>
  <c r="M754" i="35" s="1"/>
  <c r="L52" i="12"/>
  <c r="M52" i="12" s="1"/>
  <c r="L29" i="12"/>
  <c r="M29" i="12" s="1"/>
  <c r="L6" i="12"/>
  <c r="M6" i="12" s="1"/>
  <c r="L879" i="35"/>
  <c r="M879" i="35" s="1"/>
  <c r="L76" i="29"/>
  <c r="M76" i="29" s="1"/>
  <c r="L52" i="29"/>
  <c r="M52" i="29" s="1"/>
  <c r="L28" i="29"/>
  <c r="M28" i="29" s="1"/>
  <c r="L6" i="27"/>
  <c r="M6" i="27" s="1"/>
  <c r="L27" i="29"/>
  <c r="M27" i="29" s="1"/>
  <c r="L27" i="27"/>
  <c r="M27" i="27" s="1"/>
  <c r="I16" i="8"/>
  <c r="F16" i="8"/>
  <c r="J16" i="8" s="1"/>
  <c r="Y11" i="38"/>
  <c r="B52" i="8"/>
  <c r="A111" i="10"/>
  <c r="L47" i="14"/>
  <c r="M47" i="14" s="1"/>
  <c r="L89" i="14"/>
  <c r="M89" i="14" s="1"/>
  <c r="L5" i="14"/>
  <c r="M5" i="14" s="1"/>
  <c r="L110" i="14"/>
  <c r="M110" i="14" s="1"/>
  <c r="L26" i="14"/>
  <c r="M26" i="14" s="1"/>
  <c r="L68" i="14"/>
  <c r="M68" i="14" s="1"/>
  <c r="L7" i="35"/>
  <c r="M7" i="35" s="1"/>
  <c r="L4" i="46"/>
  <c r="L37" i="35"/>
  <c r="M37" i="35" s="1"/>
  <c r="I55" i="8"/>
  <c r="F55" i="8"/>
  <c r="J55" i="8" s="1"/>
  <c r="B286" i="8"/>
  <c r="A111" i="34"/>
  <c r="M121" i="12"/>
  <c r="L282" i="12"/>
  <c r="M282" i="12" s="1"/>
  <c r="L929" i="35"/>
  <c r="M929" i="35" s="1"/>
  <c r="L7" i="12"/>
  <c r="M7" i="12" s="1"/>
  <c r="L144" i="12"/>
  <c r="M144" i="12" s="1"/>
  <c r="L305" i="12"/>
  <c r="M305" i="12" s="1"/>
  <c r="L168" i="12"/>
  <c r="M168" i="12" s="1"/>
  <c r="L53" i="12"/>
  <c r="M53" i="12" s="1"/>
  <c r="L190" i="12"/>
  <c r="M190" i="12" s="1"/>
  <c r="L236" i="12"/>
  <c r="M236" i="12" s="1"/>
  <c r="L374" i="12"/>
  <c r="M374" i="12" s="1"/>
  <c r="L98" i="12"/>
  <c r="M98" i="12" s="1"/>
  <c r="L880" i="35"/>
  <c r="M880" i="35" s="1"/>
  <c r="L904" i="35"/>
  <c r="M904" i="35" s="1"/>
  <c r="L351" i="12"/>
  <c r="M351" i="12" s="1"/>
  <c r="L804" i="35"/>
  <c r="M804" i="35" s="1"/>
  <c r="L855" i="35"/>
  <c r="M855" i="35" s="1"/>
  <c r="L213" i="12"/>
  <c r="M213" i="12" s="1"/>
  <c r="L755" i="35"/>
  <c r="M755" i="35" s="1"/>
  <c r="L328" i="12"/>
  <c r="M328" i="12" s="1"/>
  <c r="L829" i="35"/>
  <c r="M829" i="35" s="1"/>
  <c r="L165" i="34"/>
  <c r="M165" i="34" s="1"/>
  <c r="L259" i="12"/>
  <c r="M259" i="12" s="1"/>
  <c r="I26" i="8"/>
  <c r="F26" i="8"/>
  <c r="J26" i="8" s="1"/>
  <c r="H89" i="45"/>
  <c r="A171" i="11"/>
  <c r="B77" i="8"/>
  <c r="L581" i="35"/>
  <c r="M581" i="35" s="1"/>
  <c r="L631" i="35"/>
  <c r="M631" i="35" s="1"/>
  <c r="L556" i="35"/>
  <c r="M556" i="35" s="1"/>
  <c r="L656" i="35"/>
  <c r="M656" i="35" s="1"/>
  <c r="L681" i="35"/>
  <c r="M681" i="35" s="1"/>
  <c r="L606" i="35"/>
  <c r="M606" i="35" s="1"/>
  <c r="L706" i="35"/>
  <c r="M706" i="35" s="1"/>
  <c r="L731" i="35"/>
  <c r="M731" i="35" s="1"/>
  <c r="A88" i="21"/>
  <c r="B196" i="8" s="1"/>
  <c r="B195" i="8"/>
  <c r="R17" i="45"/>
  <c r="I287" i="8"/>
  <c r="F287" i="8"/>
  <c r="J287" i="8" s="1"/>
  <c r="T20" i="37"/>
  <c r="L225" i="35"/>
  <c r="M225" i="35" s="1"/>
  <c r="L128" i="35"/>
  <c r="M128" i="35" s="1"/>
  <c r="L160" i="35"/>
  <c r="M160" i="35" s="1"/>
  <c r="L195" i="35"/>
  <c r="M195" i="35" s="1"/>
  <c r="L5" i="45"/>
  <c r="L5" i="48"/>
  <c r="M5" i="48" s="1"/>
  <c r="M8" i="48" s="1"/>
  <c r="L146" i="34"/>
  <c r="M146" i="34" s="1"/>
  <c r="M149" i="34" s="1"/>
  <c r="B10" i="8"/>
  <c r="A103" i="7"/>
  <c r="T11" i="38"/>
  <c r="U11" i="38" s="1"/>
  <c r="U12" i="38" s="1"/>
  <c r="L106" i="18"/>
  <c r="M106" i="18" s="1"/>
  <c r="L6" i="18"/>
  <c r="M6" i="18" s="1"/>
  <c r="L81" i="18"/>
  <c r="M81" i="18" s="1"/>
  <c r="L31" i="18"/>
  <c r="M31" i="18" s="1"/>
  <c r="L56" i="18"/>
  <c r="M56" i="18" s="1"/>
  <c r="Y52" i="37"/>
  <c r="T53" i="37"/>
  <c r="I307" i="8"/>
  <c r="F307" i="8"/>
  <c r="J307" i="8" s="1"/>
  <c r="K46" i="40"/>
  <c r="J6" i="8"/>
  <c r="I12" i="8"/>
  <c r="F12" i="8"/>
  <c r="J12" i="8" s="1"/>
  <c r="A104" i="18"/>
  <c r="B186" i="8" s="1"/>
  <c r="B185" i="8"/>
  <c r="Y20" i="37"/>
  <c r="H64" i="45"/>
  <c r="H34" i="46"/>
  <c r="H35" i="46" s="1"/>
  <c r="H21" i="46"/>
  <c r="H22" i="46" s="1"/>
  <c r="Q76" i="45"/>
  <c r="R76" i="45" s="1"/>
  <c r="R51" i="45"/>
  <c r="L46" i="40"/>
  <c r="R53" i="45"/>
  <c r="Q78" i="45"/>
  <c r="R78" i="45" s="1"/>
  <c r="Y35" i="37"/>
  <c r="AA35" i="37" s="1"/>
  <c r="AA34" i="37"/>
  <c r="R50" i="45"/>
  <c r="Q75" i="45"/>
  <c r="R75" i="45" s="1"/>
  <c r="R55" i="45"/>
  <c r="Q80" i="45"/>
  <c r="R80" i="45" s="1"/>
  <c r="U19" i="37"/>
  <c r="U20" i="37" s="1"/>
  <c r="L934" i="35" l="1"/>
  <c r="M934" i="35" s="1"/>
  <c r="L909" i="35"/>
  <c r="M909" i="35" s="1"/>
  <c r="A189" i="8"/>
  <c r="A192" i="8"/>
  <c r="A193" i="8" s="1"/>
  <c r="A194" i="8" s="1"/>
  <c r="A195" i="8" s="1"/>
  <c r="A196" i="8" s="1"/>
  <c r="A199" i="8" s="1"/>
  <c r="A202" i="8" s="1"/>
  <c r="A203" i="8" s="1"/>
  <c r="A204" i="8" s="1"/>
  <c r="A207" i="8" s="1"/>
  <c r="A208" i="8" s="1"/>
  <c r="A209" i="8" s="1"/>
  <c r="A212" i="8" s="1"/>
  <c r="A213" i="8" s="1"/>
  <c r="A214" i="8" s="1"/>
  <c r="A215" i="8" s="1"/>
  <c r="A218" i="8" s="1"/>
  <c r="A219" i="8" s="1"/>
  <c r="A222" i="8" s="1"/>
  <c r="A223" i="8" s="1"/>
  <c r="A224" i="8" s="1"/>
  <c r="A225" i="8" s="1"/>
  <c r="A226" i="8" s="1"/>
  <c r="A229"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2" i="8" s="1"/>
  <c r="A283" i="8" s="1"/>
  <c r="A284" i="8" s="1"/>
  <c r="A285" i="8" s="1"/>
  <c r="A286" i="8" s="1"/>
  <c r="A287" i="8" s="1"/>
  <c r="A288" i="8" s="1"/>
  <c r="A289" i="8" s="1"/>
  <c r="A290" i="8" s="1"/>
  <c r="A291" i="8" s="1"/>
  <c r="A292" i="8" s="1"/>
  <c r="A293" i="8" s="1"/>
  <c r="A294" i="8" s="1"/>
  <c r="A297" i="8" s="1"/>
  <c r="A298" i="8" s="1"/>
  <c r="A299" i="8" s="1"/>
  <c r="A300" i="8" s="1"/>
  <c r="A301" i="8" s="1"/>
  <c r="A302" i="8" s="1"/>
  <c r="A303" i="8" s="1"/>
  <c r="A304" i="8" s="1"/>
  <c r="A307" i="8" s="1"/>
  <c r="K54" i="8"/>
  <c r="F193" i="8"/>
  <c r="J193" i="8" s="1"/>
  <c r="K193" i="8"/>
  <c r="L11" i="45"/>
  <c r="M11" i="45" s="1"/>
  <c r="L201" i="35"/>
  <c r="M201" i="35" s="1"/>
  <c r="L232" i="35"/>
  <c r="M232" i="35" s="1"/>
  <c r="L885" i="35"/>
  <c r="M885" i="35" s="1"/>
  <c r="L167" i="35"/>
  <c r="M167" i="35" s="1"/>
  <c r="L834" i="35"/>
  <c r="M834" i="35" s="1"/>
  <c r="L809" i="35"/>
  <c r="M809" i="35" s="1"/>
  <c r="L785" i="35"/>
  <c r="M785" i="35" s="1"/>
  <c r="M66" i="9"/>
  <c r="H67" i="9" s="1"/>
  <c r="H69" i="9" s="1"/>
  <c r="H70" i="9" s="1"/>
  <c r="H71" i="9" s="1"/>
  <c r="H72" i="9" s="1"/>
  <c r="M85" i="9"/>
  <c r="H86" i="9" s="1"/>
  <c r="H88" i="9" s="1"/>
  <c r="H89" i="9" s="1"/>
  <c r="H90" i="9" s="1"/>
  <c r="H91" i="9" s="1"/>
  <c r="M47" i="9"/>
  <c r="H48" i="9" s="1"/>
  <c r="H50" i="9" s="1"/>
  <c r="H51" i="9" s="1"/>
  <c r="H52" i="9" s="1"/>
  <c r="H53" i="9" s="1"/>
  <c r="A253" i="35"/>
  <c r="B234" i="8"/>
  <c r="A124" i="16"/>
  <c r="B165" i="8"/>
  <c r="W29" i="33"/>
  <c r="L417" i="12"/>
  <c r="M417" i="12" s="1"/>
  <c r="M427" i="12" s="1"/>
  <c r="H428" i="12" s="1"/>
  <c r="M376" i="12"/>
  <c r="L395" i="12"/>
  <c r="M395" i="12" s="1"/>
  <c r="M405" i="12" s="1"/>
  <c r="H406" i="12" s="1"/>
  <c r="H407" i="12" s="1"/>
  <c r="H408" i="12" s="1"/>
  <c r="H409" i="12" s="1"/>
  <c r="L25" i="38"/>
  <c r="M25" i="38" s="1"/>
  <c r="L112" i="55"/>
  <c r="M112" i="55" s="1"/>
  <c r="L91" i="55"/>
  <c r="M91" i="55" s="1"/>
  <c r="L70" i="55"/>
  <c r="M70" i="55" s="1"/>
  <c r="L69" i="55"/>
  <c r="M69" i="55" s="1"/>
  <c r="L111" i="55"/>
  <c r="M111" i="55" s="1"/>
  <c r="L90" i="55"/>
  <c r="M90" i="55" s="1"/>
  <c r="L47" i="55"/>
  <c r="M47" i="55" s="1"/>
  <c r="M53" i="55" s="1"/>
  <c r="H54" i="55" s="1"/>
  <c r="H56" i="55" s="1"/>
  <c r="H57" i="55" s="1"/>
  <c r="H58" i="55" s="1"/>
  <c r="H59" i="55" s="1"/>
  <c r="H60" i="55" s="1"/>
  <c r="L26" i="55"/>
  <c r="M26" i="55" s="1"/>
  <c r="M32" i="55" s="1"/>
  <c r="H33" i="55" s="1"/>
  <c r="H35" i="55" s="1"/>
  <c r="H36" i="55" s="1"/>
  <c r="H37" i="55" s="1"/>
  <c r="L5" i="55"/>
  <c r="M5" i="55" s="1"/>
  <c r="M11" i="55" s="1"/>
  <c r="H12" i="55" s="1"/>
  <c r="H14" i="55" s="1"/>
  <c r="H15" i="55" s="1"/>
  <c r="H16" i="55" s="1"/>
  <c r="H17" i="55" s="1"/>
  <c r="H18" i="55" s="1"/>
  <c r="L71" i="55"/>
  <c r="M71" i="55" s="1"/>
  <c r="L113" i="55"/>
  <c r="M113" i="55" s="1"/>
  <c r="L92" i="55"/>
  <c r="M92" i="55" s="1"/>
  <c r="M306" i="54"/>
  <c r="H307" i="54" s="1"/>
  <c r="H315" i="54" s="1"/>
  <c r="H53" i="52"/>
  <c r="H54" i="52" s="1"/>
  <c r="H55" i="52" s="1"/>
  <c r="H56" i="52" s="1"/>
  <c r="H57" i="52" s="1"/>
  <c r="H58" i="52" s="1"/>
  <c r="H59" i="52"/>
  <c r="H19" i="52"/>
  <c r="H13" i="52"/>
  <c r="H14" i="52" s="1"/>
  <c r="H15" i="52" s="1"/>
  <c r="H16" i="52" s="1"/>
  <c r="H17" i="52" s="1"/>
  <c r="H18" i="52" s="1"/>
  <c r="L46" i="11"/>
  <c r="M46" i="11" s="1"/>
  <c r="M52" i="11" s="1"/>
  <c r="H53" i="11" s="1"/>
  <c r="H61" i="11" s="1"/>
  <c r="H60" i="8" s="1"/>
  <c r="G60" i="8" s="1"/>
  <c r="L321" i="54"/>
  <c r="M321" i="54" s="1"/>
  <c r="M327" i="54" s="1"/>
  <c r="H328" i="54" s="1"/>
  <c r="L258" i="54"/>
  <c r="M258" i="54" s="1"/>
  <c r="M264" i="54" s="1"/>
  <c r="H265" i="54" s="1"/>
  <c r="L237" i="54"/>
  <c r="M237" i="54" s="1"/>
  <c r="M243" i="54" s="1"/>
  <c r="H244" i="54" s="1"/>
  <c r="L216" i="54"/>
  <c r="M216" i="54" s="1"/>
  <c r="M222" i="54" s="1"/>
  <c r="H223" i="54" s="1"/>
  <c r="L174" i="54"/>
  <c r="M174" i="54" s="1"/>
  <c r="M180" i="54" s="1"/>
  <c r="H181" i="54" s="1"/>
  <c r="L153" i="54"/>
  <c r="M153" i="54" s="1"/>
  <c r="M159" i="54" s="1"/>
  <c r="H160" i="54" s="1"/>
  <c r="L132" i="54"/>
  <c r="M132" i="54" s="1"/>
  <c r="M138" i="54" s="1"/>
  <c r="H139" i="54" s="1"/>
  <c r="L90" i="54"/>
  <c r="M90" i="54" s="1"/>
  <c r="M96" i="54" s="1"/>
  <c r="H97" i="54" s="1"/>
  <c r="L69" i="54"/>
  <c r="M69" i="54" s="1"/>
  <c r="M75" i="54" s="1"/>
  <c r="H76" i="54" s="1"/>
  <c r="L48" i="54"/>
  <c r="M48" i="54" s="1"/>
  <c r="M54" i="54" s="1"/>
  <c r="H55" i="54" s="1"/>
  <c r="L6" i="54"/>
  <c r="M6" i="54" s="1"/>
  <c r="M12" i="54" s="1"/>
  <c r="H13" i="54" s="1"/>
  <c r="L605" i="35"/>
  <c r="M605" i="35" s="1"/>
  <c r="L68" i="53"/>
  <c r="M68" i="53" s="1"/>
  <c r="M74" i="53" s="1"/>
  <c r="H75" i="53" s="1"/>
  <c r="L26" i="53"/>
  <c r="M26" i="53" s="1"/>
  <c r="M32" i="53" s="1"/>
  <c r="H33" i="53" s="1"/>
  <c r="L47" i="53"/>
  <c r="M47" i="53" s="1"/>
  <c r="M53" i="53" s="1"/>
  <c r="H54" i="53" s="1"/>
  <c r="L5" i="53"/>
  <c r="M5" i="53" s="1"/>
  <c r="M11" i="53" s="1"/>
  <c r="H12" i="53" s="1"/>
  <c r="L6" i="40"/>
  <c r="M6" i="40" s="1"/>
  <c r="L23" i="38"/>
  <c r="M23" i="38" s="1"/>
  <c r="L7" i="38"/>
  <c r="M7" i="38" s="1"/>
  <c r="M11" i="38" s="1"/>
  <c r="L24" i="38"/>
  <c r="M24" i="38" s="1"/>
  <c r="M10" i="11"/>
  <c r="H11" i="11" s="1"/>
  <c r="H19" i="11" s="1"/>
  <c r="H58" i="8" s="1"/>
  <c r="G58" i="8" s="1"/>
  <c r="L33" i="18"/>
  <c r="M33" i="18" s="1"/>
  <c r="M40" i="18" s="1"/>
  <c r="H41" i="18" s="1"/>
  <c r="L194" i="9"/>
  <c r="M194" i="9" s="1"/>
  <c r="M199" i="9" s="1"/>
  <c r="H200" i="9" s="1"/>
  <c r="H202" i="9" s="1"/>
  <c r="H203" i="9" s="1"/>
  <c r="H204" i="9" s="1"/>
  <c r="H205" i="9" s="1"/>
  <c r="L434" i="35"/>
  <c r="M434" i="35" s="1"/>
  <c r="L27" i="14"/>
  <c r="M27" i="14" s="1"/>
  <c r="M33" i="14" s="1"/>
  <c r="H34" i="14" s="1"/>
  <c r="H36" i="14" s="1"/>
  <c r="H37" i="14" s="1"/>
  <c r="H38" i="14" s="1"/>
  <c r="H39" i="14" s="1"/>
  <c r="L509" i="35"/>
  <c r="M509" i="35" s="1"/>
  <c r="L51" i="51"/>
  <c r="M51" i="51" s="1"/>
  <c r="M60" i="51" s="1"/>
  <c r="H61" i="51" s="1"/>
  <c r="L928" i="35"/>
  <c r="M928" i="35" s="1"/>
  <c r="M939" i="35" s="1"/>
  <c r="H940" i="35" s="1"/>
  <c r="H942" i="35" s="1"/>
  <c r="H943" i="35" s="1"/>
  <c r="H944" i="35" s="1"/>
  <c r="H945" i="35" s="1"/>
  <c r="H946" i="35" s="1"/>
  <c r="L54" i="29"/>
  <c r="M54" i="29" s="1"/>
  <c r="L55" i="18"/>
  <c r="M55" i="18" s="1"/>
  <c r="L828" i="35"/>
  <c r="M828" i="35" s="1"/>
  <c r="L26" i="17"/>
  <c r="M26" i="17" s="1"/>
  <c r="M34" i="17" s="1"/>
  <c r="H35" i="17" s="1"/>
  <c r="H37" i="17" s="1"/>
  <c r="H38" i="17" s="1"/>
  <c r="H39" i="17" s="1"/>
  <c r="H40" i="17" s="1"/>
  <c r="L853" i="35"/>
  <c r="M853" i="35" s="1"/>
  <c r="M864" i="35" s="1"/>
  <c r="H865" i="35" s="1"/>
  <c r="H867" i="35" s="1"/>
  <c r="H868" i="35" s="1"/>
  <c r="H869" i="35" s="1"/>
  <c r="H870" i="35" s="1"/>
  <c r="H871" i="35" s="1"/>
  <c r="L258" i="51"/>
  <c r="M258" i="51" s="1"/>
  <c r="M267" i="51" s="1"/>
  <c r="H268" i="51" s="1"/>
  <c r="H270" i="51" s="1"/>
  <c r="H271" i="51" s="1"/>
  <c r="H272" i="51" s="1"/>
  <c r="H273" i="51" s="1"/>
  <c r="L281" i="12"/>
  <c r="M281" i="12" s="1"/>
  <c r="M290" i="12" s="1"/>
  <c r="H291" i="12" s="1"/>
  <c r="H293" i="12" s="1"/>
  <c r="H294" i="12" s="1"/>
  <c r="H295" i="12" s="1"/>
  <c r="H296" i="12" s="1"/>
  <c r="L484" i="35"/>
  <c r="M484" i="35" s="1"/>
  <c r="L127" i="35"/>
  <c r="M127" i="35" s="1"/>
  <c r="M140" i="35" s="1"/>
  <c r="H141" i="35" s="1"/>
  <c r="H153" i="35" s="1"/>
  <c r="L257" i="35"/>
  <c r="M257" i="35" s="1"/>
  <c r="L5" i="18"/>
  <c r="M5" i="18" s="1"/>
  <c r="M15" i="18" s="1"/>
  <c r="H16" i="18" s="1"/>
  <c r="L430" i="35"/>
  <c r="M430" i="35" s="1"/>
  <c r="L11" i="49"/>
  <c r="M11" i="49" s="1"/>
  <c r="L105" i="16"/>
  <c r="M105" i="16" s="1"/>
  <c r="M110" i="16" s="1"/>
  <c r="H111" i="16" s="1"/>
  <c r="H119" i="16" s="1"/>
  <c r="H165" i="8" s="1"/>
  <c r="G165" i="8" s="1"/>
  <c r="L803" i="35"/>
  <c r="M803" i="35" s="1"/>
  <c r="L111" i="14"/>
  <c r="M111" i="14" s="1"/>
  <c r="M117" i="14" s="1"/>
  <c r="H118" i="14" s="1"/>
  <c r="H120" i="14" s="1"/>
  <c r="H121" i="14" s="1"/>
  <c r="H122" i="14" s="1"/>
  <c r="H123" i="14" s="1"/>
  <c r="L189" i="12"/>
  <c r="M189" i="12" s="1"/>
  <c r="M198" i="12" s="1"/>
  <c r="H199" i="12" s="1"/>
  <c r="H206" i="12" s="1"/>
  <c r="H135" i="8" s="1"/>
  <c r="G135" i="8" s="1"/>
  <c r="L143" i="51"/>
  <c r="M143" i="51" s="1"/>
  <c r="M152" i="51" s="1"/>
  <c r="H153" i="51" s="1"/>
  <c r="H155" i="51" s="1"/>
  <c r="H156" i="51" s="1"/>
  <c r="H157" i="51" s="1"/>
  <c r="H158" i="51" s="1"/>
  <c r="H159" i="51" s="1"/>
  <c r="L281" i="51"/>
  <c r="M281" i="51" s="1"/>
  <c r="M290" i="51" s="1"/>
  <c r="H291" i="51" s="1"/>
  <c r="H298" i="51" s="1"/>
  <c r="L28" i="12"/>
  <c r="M28" i="12" s="1"/>
  <c r="M37" i="12" s="1"/>
  <c r="H38" i="12" s="1"/>
  <c r="H45" i="12" s="1"/>
  <c r="H128" i="8" s="1"/>
  <c r="G128" i="8" s="1"/>
  <c r="L65" i="16"/>
  <c r="M65" i="16" s="1"/>
  <c r="M70" i="16" s="1"/>
  <c r="H71" i="16" s="1"/>
  <c r="H79" i="16" s="1"/>
  <c r="H163" i="8" s="1"/>
  <c r="G163" i="8" s="1"/>
  <c r="L163" i="34"/>
  <c r="M163" i="34" s="1"/>
  <c r="M171" i="34" s="1"/>
  <c r="H172" i="34" s="1"/>
  <c r="H179" i="34" s="1"/>
  <c r="H289" i="8" s="1"/>
  <c r="G289" i="8" s="1"/>
  <c r="L459" i="35"/>
  <c r="M459" i="35" s="1"/>
  <c r="L584" i="35"/>
  <c r="M584" i="35" s="1"/>
  <c r="L80" i="18"/>
  <c r="M80" i="18" s="1"/>
  <c r="L105" i="18"/>
  <c r="M105" i="18" s="1"/>
  <c r="L555" i="35"/>
  <c r="M555" i="35" s="1"/>
  <c r="L256" i="35"/>
  <c r="M256" i="35" s="1"/>
  <c r="L143" i="12"/>
  <c r="M143" i="12" s="1"/>
  <c r="M152" i="12" s="1"/>
  <c r="H153" i="12" s="1"/>
  <c r="H155" i="12" s="1"/>
  <c r="H156" i="12" s="1"/>
  <c r="H157" i="12" s="1"/>
  <c r="H158" i="12" s="1"/>
  <c r="L334" i="35"/>
  <c r="M334" i="35" s="1"/>
  <c r="L48" i="14"/>
  <c r="M48" i="14" s="1"/>
  <c r="M54" i="14" s="1"/>
  <c r="H55" i="14" s="1"/>
  <c r="H57" i="14" s="1"/>
  <c r="H59" i="14" s="1"/>
  <c r="H60" i="14" s="1"/>
  <c r="L120" i="12"/>
  <c r="M120" i="12" s="1"/>
  <c r="M129" i="12" s="1"/>
  <c r="H130" i="12" s="1"/>
  <c r="H132" i="12" s="1"/>
  <c r="H133" i="12" s="1"/>
  <c r="H134" i="12" s="1"/>
  <c r="H135" i="12" s="1"/>
  <c r="L778" i="35"/>
  <c r="M778" i="35" s="1"/>
  <c r="L6" i="19"/>
  <c r="M6" i="19" s="1"/>
  <c r="M10" i="19" s="1"/>
  <c r="H11" i="19" s="1"/>
  <c r="H13" i="19" s="1"/>
  <c r="H14" i="19" s="1"/>
  <c r="H15" i="19" s="1"/>
  <c r="H16" i="19" s="1"/>
  <c r="H17" i="19" s="1"/>
  <c r="E189" i="8" s="1"/>
  <c r="K189" i="8" s="1"/>
  <c r="L384" i="35"/>
  <c r="M384" i="35" s="1"/>
  <c r="L304" i="12"/>
  <c r="M304" i="12" s="1"/>
  <c r="M313" i="12" s="1"/>
  <c r="H314" i="12" s="1"/>
  <c r="H316" i="12" s="1"/>
  <c r="H317" i="12" s="1"/>
  <c r="H318" i="12" s="1"/>
  <c r="H319" i="12" s="1"/>
  <c r="L180" i="17"/>
  <c r="M180" i="17" s="1"/>
  <c r="M188" i="17" s="1"/>
  <c r="H189" i="17" s="1"/>
  <c r="H196" i="17" s="1"/>
  <c r="H178" i="8" s="1"/>
  <c r="G178" i="8" s="1"/>
  <c r="L145" i="16"/>
  <c r="M145" i="16" s="1"/>
  <c r="M150" i="16" s="1"/>
  <c r="H151" i="16" s="1"/>
  <c r="H159" i="16" s="1"/>
  <c r="H167" i="8" s="1"/>
  <c r="G167" i="8" s="1"/>
  <c r="L212" i="51"/>
  <c r="M212" i="51" s="1"/>
  <c r="M221" i="51" s="1"/>
  <c r="H222" i="51" s="1"/>
  <c r="H224" i="51" s="1"/>
  <c r="H225" i="51" s="1"/>
  <c r="H226" i="51" s="1"/>
  <c r="H227" i="51" s="1"/>
  <c r="H228" i="51" s="1"/>
  <c r="L373" i="51"/>
  <c r="M373" i="51" s="1"/>
  <c r="M382" i="51" s="1"/>
  <c r="H383" i="51" s="1"/>
  <c r="H385" i="51" s="1"/>
  <c r="H386" i="51" s="1"/>
  <c r="H387" i="51" s="1"/>
  <c r="H388" i="51" s="1"/>
  <c r="H389" i="51" s="1"/>
  <c r="L5" i="51"/>
  <c r="M5" i="51" s="1"/>
  <c r="M14" i="51" s="1"/>
  <c r="H15" i="51" s="1"/>
  <c r="H17" i="51" s="1"/>
  <c r="H18" i="51" s="1"/>
  <c r="H19" i="51" s="1"/>
  <c r="H20" i="51" s="1"/>
  <c r="H21" i="51" s="1"/>
  <c r="L120" i="51"/>
  <c r="M120" i="51" s="1"/>
  <c r="M129" i="51" s="1"/>
  <c r="H130" i="51" s="1"/>
  <c r="L327" i="51"/>
  <c r="M327" i="51" s="1"/>
  <c r="M336" i="51" s="1"/>
  <c r="H337" i="51" s="1"/>
  <c r="H339" i="51" s="1"/>
  <c r="H340" i="51" s="1"/>
  <c r="H341" i="51" s="1"/>
  <c r="H342" i="51" s="1"/>
  <c r="H343" i="51" s="1"/>
  <c r="L30" i="46"/>
  <c r="M30" i="46" s="1"/>
  <c r="L359" i="35"/>
  <c r="M359" i="35" s="1"/>
  <c r="M364" i="35" s="1"/>
  <c r="H365" i="35" s="1"/>
  <c r="H367" i="35" s="1"/>
  <c r="H368" i="35" s="1"/>
  <c r="H369" i="35" s="1"/>
  <c r="H370" i="35" s="1"/>
  <c r="L114" i="17"/>
  <c r="M114" i="17" s="1"/>
  <c r="M122" i="17" s="1"/>
  <c r="H123" i="17" s="1"/>
  <c r="H125" i="17" s="1"/>
  <c r="H126" i="17" s="1"/>
  <c r="H127" i="17" s="1"/>
  <c r="H128" i="17" s="1"/>
  <c r="L6" i="14"/>
  <c r="M6" i="14" s="1"/>
  <c r="M12" i="14" s="1"/>
  <c r="H13" i="14" s="1"/>
  <c r="H15" i="14" s="1"/>
  <c r="H16" i="14" s="1"/>
  <c r="H17" i="14" s="1"/>
  <c r="H18" i="14" s="1"/>
  <c r="L5" i="31"/>
  <c r="M5" i="31" s="1"/>
  <c r="M10" i="31" s="1"/>
  <c r="H11" i="31" s="1"/>
  <c r="H13" i="31" s="1"/>
  <c r="H14" i="31" s="1"/>
  <c r="H15" i="31" s="1"/>
  <c r="H16" i="31" s="1"/>
  <c r="H17" i="31" s="1"/>
  <c r="L92" i="17"/>
  <c r="M92" i="17" s="1"/>
  <c r="M100" i="17" s="1"/>
  <c r="H101" i="17" s="1"/>
  <c r="H108" i="17" s="1"/>
  <c r="H174" i="8" s="1"/>
  <c r="G174" i="8" s="1"/>
  <c r="L309" i="35"/>
  <c r="M309" i="35" s="1"/>
  <c r="M159" i="35"/>
  <c r="M172" i="35" s="1"/>
  <c r="H173" i="35" s="1"/>
  <c r="H174" i="35" s="1"/>
  <c r="L45" i="16"/>
  <c r="M45" i="16" s="1"/>
  <c r="M50" i="16" s="1"/>
  <c r="H51" i="16" s="1"/>
  <c r="H53" i="16" s="1"/>
  <c r="H54" i="16" s="1"/>
  <c r="H55" i="16" s="1"/>
  <c r="H56" i="16" s="1"/>
  <c r="H57" i="16" s="1"/>
  <c r="E162" i="8" s="1"/>
  <c r="C19" i="56" s="1"/>
  <c r="L166" i="12"/>
  <c r="M166" i="12" s="1"/>
  <c r="M175" i="12" s="1"/>
  <c r="H176" i="12" s="1"/>
  <c r="H183" i="12" s="1"/>
  <c r="H134" i="8" s="1"/>
  <c r="G134" i="8" s="1"/>
  <c r="L406" i="35"/>
  <c r="M406" i="35" s="1"/>
  <c r="L381" i="35"/>
  <c r="M381" i="35" s="1"/>
  <c r="M48" i="27"/>
  <c r="M53" i="27" s="1"/>
  <c r="H54" i="27" s="1"/>
  <c r="H62" i="27" s="1"/>
  <c r="H204" i="8" s="1"/>
  <c r="L78" i="29"/>
  <c r="M78" i="29" s="1"/>
  <c r="M82" i="29" s="1"/>
  <c r="H83" i="29" s="1"/>
  <c r="H85" i="29" s="1"/>
  <c r="H86" i="29" s="1"/>
  <c r="H87" i="29" s="1"/>
  <c r="H88" i="29" s="1"/>
  <c r="H89" i="29" s="1"/>
  <c r="L331" i="35"/>
  <c r="M331" i="35" s="1"/>
  <c r="L481" i="35"/>
  <c r="M481" i="35" s="1"/>
  <c r="L431" i="35"/>
  <c r="M431" i="35" s="1"/>
  <c r="L8" i="35"/>
  <c r="M8" i="35" s="1"/>
  <c r="M20" i="35" s="1"/>
  <c r="L58" i="18"/>
  <c r="M58" i="18" s="1"/>
  <c r="L505" i="35"/>
  <c r="M505" i="35" s="1"/>
  <c r="L730" i="35"/>
  <c r="M730" i="35" s="1"/>
  <c r="L655" i="35"/>
  <c r="M655" i="35" s="1"/>
  <c r="L185" i="34"/>
  <c r="M185" i="34" s="1"/>
  <c r="M193" i="34" s="1"/>
  <c r="H194" i="34" s="1"/>
  <c r="H196" i="34" s="1"/>
  <c r="H197" i="34" s="1"/>
  <c r="H198" i="34" s="1"/>
  <c r="H199" i="34" s="1"/>
  <c r="L330" i="35"/>
  <c r="M330" i="35" s="1"/>
  <c r="L705" i="35"/>
  <c r="M705" i="35" s="1"/>
  <c r="L85" i="16"/>
  <c r="M85" i="16" s="1"/>
  <c r="M90" i="16" s="1"/>
  <c r="H91" i="16" s="1"/>
  <c r="H93" i="16" s="1"/>
  <c r="H94" i="16" s="1"/>
  <c r="H95" i="16" s="1"/>
  <c r="H96" i="16" s="1"/>
  <c r="H97" i="16" s="1"/>
  <c r="L753" i="35"/>
  <c r="M753" i="35" s="1"/>
  <c r="M764" i="35" s="1"/>
  <c r="H765" i="35" s="1"/>
  <c r="H772" i="35" s="1"/>
  <c r="H255" i="8" s="1"/>
  <c r="G255" i="8" s="1"/>
  <c r="L284" i="35"/>
  <c r="M284" i="35" s="1"/>
  <c r="L734" i="35"/>
  <c r="M734" i="35" s="1"/>
  <c r="L634" i="35"/>
  <c r="M634" i="35" s="1"/>
  <c r="L194" i="35"/>
  <c r="M194" i="35" s="1"/>
  <c r="L25" i="16"/>
  <c r="M25" i="16" s="1"/>
  <c r="M30" i="16" s="1"/>
  <c r="H31" i="16" s="1"/>
  <c r="L903" i="35"/>
  <c r="M903" i="35" s="1"/>
  <c r="M914" i="35" s="1"/>
  <c r="H915" i="35" s="1"/>
  <c r="H917" i="35" s="1"/>
  <c r="H918" i="35" s="1"/>
  <c r="H919" i="35" s="1"/>
  <c r="H920" i="35" s="1"/>
  <c r="H921" i="35" s="1"/>
  <c r="L90" i="14"/>
  <c r="M90" i="14" s="1"/>
  <c r="M96" i="14" s="1"/>
  <c r="H97" i="14" s="1"/>
  <c r="L373" i="12"/>
  <c r="M373" i="12" s="1"/>
  <c r="L350" i="12"/>
  <c r="M350" i="12" s="1"/>
  <c r="M359" i="12" s="1"/>
  <c r="H360" i="12" s="1"/>
  <c r="H362" i="12" s="1"/>
  <c r="H363" i="12" s="1"/>
  <c r="H364" i="12" s="1"/>
  <c r="H365" i="12" s="1"/>
  <c r="L409" i="35"/>
  <c r="M409" i="35" s="1"/>
  <c r="L559" i="35"/>
  <c r="M559" i="35" s="1"/>
  <c r="L97" i="12"/>
  <c r="M97" i="12" s="1"/>
  <c r="M106" i="12" s="1"/>
  <c r="H107" i="12" s="1"/>
  <c r="H114" i="12" s="1"/>
  <c r="H131" i="8" s="1"/>
  <c r="G131" i="8" s="1"/>
  <c r="L212" i="12"/>
  <c r="M212" i="12" s="1"/>
  <c r="M221" i="12" s="1"/>
  <c r="H222" i="12" s="1"/>
  <c r="H224" i="12" s="1"/>
  <c r="H225" i="12" s="1"/>
  <c r="H226" i="12" s="1"/>
  <c r="H227" i="12" s="1"/>
  <c r="L5" i="12"/>
  <c r="M5" i="12" s="1"/>
  <c r="M14" i="12" s="1"/>
  <c r="H15" i="12" s="1"/>
  <c r="H22" i="12" s="1"/>
  <c r="H127" i="8" s="1"/>
  <c r="G127" i="8" s="1"/>
  <c r="L534" i="35"/>
  <c r="M534" i="35" s="1"/>
  <c r="L224" i="35"/>
  <c r="M224" i="35" s="1"/>
  <c r="L70" i="17"/>
  <c r="M70" i="17" s="1"/>
  <c r="M78" i="17" s="1"/>
  <c r="H79" i="17" s="1"/>
  <c r="H86" i="17" s="1"/>
  <c r="H173" i="8" s="1"/>
  <c r="G173" i="8" s="1"/>
  <c r="L235" i="12"/>
  <c r="M235" i="12" s="1"/>
  <c r="M244" i="12" s="1"/>
  <c r="L97" i="51"/>
  <c r="M97" i="51" s="1"/>
  <c r="M106" i="51" s="1"/>
  <c r="H107" i="51" s="1"/>
  <c r="H114" i="51" s="1"/>
  <c r="L189" i="51"/>
  <c r="M189" i="51" s="1"/>
  <c r="M198" i="51" s="1"/>
  <c r="H199" i="51" s="1"/>
  <c r="H201" i="51" s="1"/>
  <c r="H202" i="51" s="1"/>
  <c r="H203" i="51" s="1"/>
  <c r="H204" i="51" s="1"/>
  <c r="H205" i="51" s="1"/>
  <c r="L235" i="51"/>
  <c r="M235" i="51" s="1"/>
  <c r="M244" i="51" s="1"/>
  <c r="H245" i="51" s="1"/>
  <c r="H247" i="51" s="1"/>
  <c r="H248" i="51" s="1"/>
  <c r="H249" i="51" s="1"/>
  <c r="H250" i="51" s="1"/>
  <c r="H251" i="51" s="1"/>
  <c r="L350" i="51"/>
  <c r="M350" i="51" s="1"/>
  <c r="M359" i="51" s="1"/>
  <c r="H360" i="51" s="1"/>
  <c r="H362" i="51" s="1"/>
  <c r="H363" i="51" s="1"/>
  <c r="H364" i="51" s="1"/>
  <c r="H365" i="51" s="1"/>
  <c r="H366" i="51" s="1"/>
  <c r="L27" i="45"/>
  <c r="L75" i="45" s="1"/>
  <c r="M75" i="45" s="1"/>
  <c r="L28" i="51"/>
  <c r="M28" i="51" s="1"/>
  <c r="M37" i="51" s="1"/>
  <c r="H38" i="51" s="1"/>
  <c r="L74" i="51"/>
  <c r="M74" i="51" s="1"/>
  <c r="M83" i="51" s="1"/>
  <c r="H84" i="51" s="1"/>
  <c r="L166" i="51"/>
  <c r="M166" i="51" s="1"/>
  <c r="M175" i="51" s="1"/>
  <c r="H176" i="51" s="1"/>
  <c r="L304" i="51"/>
  <c r="M304" i="51" s="1"/>
  <c r="M313" i="51" s="1"/>
  <c r="H314" i="51" s="1"/>
  <c r="H316" i="51" s="1"/>
  <c r="H317" i="51" s="1"/>
  <c r="H318" i="51" s="1"/>
  <c r="H319" i="51" s="1"/>
  <c r="H320" i="51" s="1"/>
  <c r="L202" i="17"/>
  <c r="M202" i="17" s="1"/>
  <c r="M207" i="17" s="1"/>
  <c r="H208" i="17" s="1"/>
  <c r="H210" i="17" s="1"/>
  <c r="H211" i="17" s="1"/>
  <c r="H212" i="17" s="1"/>
  <c r="H213" i="17" s="1"/>
  <c r="H214" i="17" s="1"/>
  <c r="L74" i="12"/>
  <c r="M74" i="12" s="1"/>
  <c r="M83" i="12" s="1"/>
  <c r="H84" i="12" s="1"/>
  <c r="H86" i="12" s="1"/>
  <c r="H87" i="12" s="1"/>
  <c r="H88" i="12" s="1"/>
  <c r="H89" i="12" s="1"/>
  <c r="L158" i="17"/>
  <c r="M158" i="17" s="1"/>
  <c r="M166" i="17" s="1"/>
  <c r="H167" i="17" s="1"/>
  <c r="H169" i="17" s="1"/>
  <c r="H170" i="17" s="1"/>
  <c r="H171" i="17" s="1"/>
  <c r="H172" i="17" s="1"/>
  <c r="H173" i="17" s="1"/>
  <c r="L69" i="14"/>
  <c r="M69" i="14" s="1"/>
  <c r="M75" i="14" s="1"/>
  <c r="H76" i="14" s="1"/>
  <c r="H83" i="14" s="1"/>
  <c r="H155" i="8" s="1"/>
  <c r="G155" i="8" s="1"/>
  <c r="L609" i="35"/>
  <c r="M609" i="35" s="1"/>
  <c r="L51" i="12"/>
  <c r="M51" i="12" s="1"/>
  <c r="M60" i="12" s="1"/>
  <c r="H61" i="12" s="1"/>
  <c r="H68" i="12" s="1"/>
  <c r="H129" i="8" s="1"/>
  <c r="G129" i="8" s="1"/>
  <c r="L125" i="16"/>
  <c r="M125" i="16" s="1"/>
  <c r="M130" i="16" s="1"/>
  <c r="H131" i="16" s="1"/>
  <c r="H139" i="16" s="1"/>
  <c r="H166" i="8" s="1"/>
  <c r="G166" i="8" s="1"/>
  <c r="L878" i="35"/>
  <c r="M878" i="35" s="1"/>
  <c r="L684" i="35"/>
  <c r="M684" i="35" s="1"/>
  <c r="L4" i="45"/>
  <c r="L50" i="45" s="1"/>
  <c r="M50" i="45" s="1"/>
  <c r="L5" i="16"/>
  <c r="M5" i="16" s="1"/>
  <c r="M10" i="16" s="1"/>
  <c r="H11" i="16" s="1"/>
  <c r="H19" i="16" s="1"/>
  <c r="H160" i="8" s="1"/>
  <c r="G160" i="8" s="1"/>
  <c r="L327" i="12"/>
  <c r="M327" i="12" s="1"/>
  <c r="M336" i="12" s="1"/>
  <c r="H337" i="12" s="1"/>
  <c r="H344" i="12" s="1"/>
  <c r="H141" i="8" s="1"/>
  <c r="G141" i="8" s="1"/>
  <c r="L25" i="31"/>
  <c r="M25" i="31" s="1"/>
  <c r="M30" i="31" s="1"/>
  <c r="H31" i="31" s="1"/>
  <c r="H33" i="31" s="1"/>
  <c r="H34" i="31" s="1"/>
  <c r="H35" i="31" s="1"/>
  <c r="H36" i="31" s="1"/>
  <c r="H37" i="31" s="1"/>
  <c r="E219" i="8" s="1"/>
  <c r="L659" i="35"/>
  <c r="M659" i="35" s="1"/>
  <c r="L136" i="17"/>
  <c r="M136" i="17" s="1"/>
  <c r="M144" i="17" s="1"/>
  <c r="H145" i="17" s="1"/>
  <c r="H147" i="17" s="1"/>
  <c r="H148" i="17" s="1"/>
  <c r="H149" i="17" s="1"/>
  <c r="H150" i="17" s="1"/>
  <c r="L258" i="12"/>
  <c r="M258" i="12" s="1"/>
  <c r="M267" i="12" s="1"/>
  <c r="H268" i="12" s="1"/>
  <c r="H270" i="12" s="1"/>
  <c r="H271" i="12" s="1"/>
  <c r="H272" i="12" s="1"/>
  <c r="H273" i="12" s="1"/>
  <c r="L48" i="17"/>
  <c r="M48" i="17" s="1"/>
  <c r="M56" i="17" s="1"/>
  <c r="H57" i="17" s="1"/>
  <c r="H64" i="17" s="1"/>
  <c r="H172" i="8" s="1"/>
  <c r="G172" i="8" s="1"/>
  <c r="L709" i="35"/>
  <c r="M709" i="35" s="1"/>
  <c r="L322" i="34"/>
  <c r="M322" i="34" s="1"/>
  <c r="M326" i="34" s="1"/>
  <c r="H327" i="34" s="1"/>
  <c r="H329" i="34" s="1"/>
  <c r="H330" i="34" s="1"/>
  <c r="H331" i="34" s="1"/>
  <c r="H332" i="34" s="1"/>
  <c r="H333" i="34" s="1"/>
  <c r="L229" i="34"/>
  <c r="M229" i="34" s="1"/>
  <c r="M237" i="34" s="1"/>
  <c r="H238" i="34" s="1"/>
  <c r="H261" i="34" s="1"/>
  <c r="L281" i="35"/>
  <c r="M281" i="35" s="1"/>
  <c r="L506" i="35"/>
  <c r="M506" i="35" s="1"/>
  <c r="L531" i="35"/>
  <c r="M531" i="35" s="1"/>
  <c r="L456" i="35"/>
  <c r="M456" i="35" s="1"/>
  <c r="L8" i="49"/>
  <c r="M8" i="49" s="1"/>
  <c r="F54" i="8"/>
  <c r="J54" i="8" s="1"/>
  <c r="L38" i="35"/>
  <c r="M38" i="35" s="1"/>
  <c r="L83" i="18"/>
  <c r="M83" i="18" s="1"/>
  <c r="L108" i="18"/>
  <c r="M108" i="18" s="1"/>
  <c r="L7" i="49"/>
  <c r="M7" i="49" s="1"/>
  <c r="L480" i="35"/>
  <c r="M480" i="35" s="1"/>
  <c r="L680" i="35"/>
  <c r="M680" i="35" s="1"/>
  <c r="L280" i="35"/>
  <c r="M280" i="35" s="1"/>
  <c r="L405" i="35"/>
  <c r="M405" i="35" s="1"/>
  <c r="L380" i="35"/>
  <c r="M380" i="35" s="1"/>
  <c r="L455" i="35"/>
  <c r="M455" i="35" s="1"/>
  <c r="L580" i="35"/>
  <c r="M580" i="35" s="1"/>
  <c r="L44" i="35"/>
  <c r="M44" i="35" s="1"/>
  <c r="L630" i="35"/>
  <c r="M630" i="35" s="1"/>
  <c r="L305" i="35"/>
  <c r="M305" i="35" s="1"/>
  <c r="L530" i="35"/>
  <c r="M530" i="35" s="1"/>
  <c r="F11" i="8"/>
  <c r="J11" i="8" s="1"/>
  <c r="I11" i="8"/>
  <c r="F20" i="8"/>
  <c r="J20" i="8" s="1"/>
  <c r="I20" i="8"/>
  <c r="I13" i="8"/>
  <c r="F13" i="8"/>
  <c r="J13" i="8" s="1"/>
  <c r="H18" i="22"/>
  <c r="H199" i="8" s="1"/>
  <c r="G199" i="8" s="1"/>
  <c r="M142" i="9"/>
  <c r="H143" i="9" s="1"/>
  <c r="H150" i="9" s="1"/>
  <c r="H27" i="8" s="1"/>
  <c r="G27" i="8" s="1"/>
  <c r="A57" i="32"/>
  <c r="G56" i="32"/>
  <c r="A24" i="33" s="1"/>
  <c r="M9" i="45"/>
  <c r="M220" i="9"/>
  <c r="M12" i="34"/>
  <c r="M11" i="27"/>
  <c r="H12" i="27" s="1"/>
  <c r="H14" i="27" s="1"/>
  <c r="H15" i="27" s="1"/>
  <c r="H16" i="27" s="1"/>
  <c r="H17" i="27" s="1"/>
  <c r="H18" i="27" s="1"/>
  <c r="M367" i="11"/>
  <c r="H368" i="11" s="1"/>
  <c r="H370" i="11" s="1"/>
  <c r="H371" i="11" s="1"/>
  <c r="H372" i="11" s="1"/>
  <c r="H373" i="11" s="1"/>
  <c r="H374" i="11" s="1"/>
  <c r="E123" i="8" s="1"/>
  <c r="L45" i="13"/>
  <c r="M45" i="13" s="1"/>
  <c r="M51" i="13" s="1"/>
  <c r="H52" i="13" s="1"/>
  <c r="H54" i="13" s="1"/>
  <c r="H55" i="13" s="1"/>
  <c r="H56" i="13" s="1"/>
  <c r="H57" i="13" s="1"/>
  <c r="K149" i="8" s="1"/>
  <c r="L25" i="47"/>
  <c r="M25" i="47" s="1"/>
  <c r="M31" i="47" s="1"/>
  <c r="H32" i="47" s="1"/>
  <c r="H34" i="47" s="1"/>
  <c r="H35" i="47" s="1"/>
  <c r="H36" i="47" s="1"/>
  <c r="H37" i="47" s="1"/>
  <c r="L5" i="47"/>
  <c r="M5" i="47" s="1"/>
  <c r="M11" i="47" s="1"/>
  <c r="H12" i="47" s="1"/>
  <c r="H14" i="47" s="1"/>
  <c r="H15" i="47" s="1"/>
  <c r="H16" i="47" s="1"/>
  <c r="H17" i="47" s="1"/>
  <c r="M34" i="34"/>
  <c r="H35" i="34" s="1"/>
  <c r="H37" i="34" s="1"/>
  <c r="H38" i="34" s="1"/>
  <c r="H39" i="34" s="1"/>
  <c r="H40" i="34" s="1"/>
  <c r="H83" i="34"/>
  <c r="H84" i="34" s="1"/>
  <c r="H85" i="34" s="1"/>
  <c r="H86" i="34" s="1"/>
  <c r="H87" i="34" s="1"/>
  <c r="H41" i="28"/>
  <c r="H208" i="8" s="1"/>
  <c r="G208" i="8" s="1"/>
  <c r="I208" i="8" s="1"/>
  <c r="H56" i="28"/>
  <c r="L45" i="47"/>
  <c r="M45" i="47" s="1"/>
  <c r="M51" i="47" s="1"/>
  <c r="H52" i="47" s="1"/>
  <c r="H54" i="47" s="1"/>
  <c r="H55" i="47" s="1"/>
  <c r="H56" i="47" s="1"/>
  <c r="H57" i="47" s="1"/>
  <c r="L25" i="13"/>
  <c r="M25" i="13" s="1"/>
  <c r="M31" i="13" s="1"/>
  <c r="H32" i="13" s="1"/>
  <c r="H34" i="13" s="1"/>
  <c r="H35" i="13" s="1"/>
  <c r="H36" i="13" s="1"/>
  <c r="H37" i="13" s="1"/>
  <c r="L5" i="13"/>
  <c r="M5" i="13" s="1"/>
  <c r="M11" i="13" s="1"/>
  <c r="H12" i="13" s="1"/>
  <c r="H14" i="13" s="1"/>
  <c r="H15" i="13" s="1"/>
  <c r="H16" i="13" s="1"/>
  <c r="H17" i="13" s="1"/>
  <c r="L382" i="11"/>
  <c r="M382" i="11" s="1"/>
  <c r="M388" i="11" s="1"/>
  <c r="H389" i="11" s="1"/>
  <c r="H397" i="11" s="1"/>
  <c r="H124" i="8" s="1"/>
  <c r="G124" i="8" s="1"/>
  <c r="L25" i="11"/>
  <c r="M25" i="11" s="1"/>
  <c r="M31" i="11" s="1"/>
  <c r="H32" i="11" s="1"/>
  <c r="H40" i="11" s="1"/>
  <c r="H59" i="8" s="1"/>
  <c r="M43" i="38"/>
  <c r="H44" i="38" s="1"/>
  <c r="M10" i="29"/>
  <c r="H11" i="29" s="1"/>
  <c r="H19" i="29" s="1"/>
  <c r="H212" i="8" s="1"/>
  <c r="G212" i="8" s="1"/>
  <c r="I286" i="8"/>
  <c r="L30" i="29"/>
  <c r="M30" i="29" s="1"/>
  <c r="L109" i="11"/>
  <c r="M109" i="11" s="1"/>
  <c r="M115" i="11" s="1"/>
  <c r="H116" i="11" s="1"/>
  <c r="H124" i="11" s="1"/>
  <c r="H75" i="8" s="1"/>
  <c r="L151" i="11"/>
  <c r="M151" i="11" s="1"/>
  <c r="M157" i="11" s="1"/>
  <c r="H158" i="11" s="1"/>
  <c r="H160" i="11" s="1"/>
  <c r="H161" i="11" s="1"/>
  <c r="H162" i="11" s="1"/>
  <c r="H163" i="11" s="1"/>
  <c r="H164" i="11" s="1"/>
  <c r="E77" i="8" s="1"/>
  <c r="L298" i="11"/>
  <c r="M298" i="11" s="1"/>
  <c r="M304" i="11" s="1"/>
  <c r="H305" i="11" s="1"/>
  <c r="H313" i="11" s="1"/>
  <c r="H108" i="8" s="1"/>
  <c r="G108" i="8" s="1"/>
  <c r="L214" i="11"/>
  <c r="M214" i="11" s="1"/>
  <c r="M220" i="11" s="1"/>
  <c r="H221" i="11" s="1"/>
  <c r="H229" i="11" s="1"/>
  <c r="H92" i="8" s="1"/>
  <c r="G92" i="8" s="1"/>
  <c r="L193" i="11"/>
  <c r="M193" i="11" s="1"/>
  <c r="M199" i="11" s="1"/>
  <c r="H200" i="11" s="1"/>
  <c r="H208" i="11" s="1"/>
  <c r="H91" i="8" s="1"/>
  <c r="G91" i="8" s="1"/>
  <c r="E291" i="8"/>
  <c r="F291" i="8" s="1"/>
  <c r="J291" i="8" s="1"/>
  <c r="L67" i="11"/>
  <c r="M67" i="11" s="1"/>
  <c r="M73" i="11" s="1"/>
  <c r="H74" i="11" s="1"/>
  <c r="H82" i="11" s="1"/>
  <c r="L277" i="11"/>
  <c r="M277" i="11" s="1"/>
  <c r="M283" i="11" s="1"/>
  <c r="H284" i="11" s="1"/>
  <c r="H292" i="11" s="1"/>
  <c r="H107" i="8" s="1"/>
  <c r="G107" i="8" s="1"/>
  <c r="L319" i="11"/>
  <c r="M319" i="11" s="1"/>
  <c r="M325" i="11" s="1"/>
  <c r="H326" i="11" s="1"/>
  <c r="H334" i="11" s="1"/>
  <c r="H109" i="8" s="1"/>
  <c r="G109" i="8" s="1"/>
  <c r="L130" i="11"/>
  <c r="M130" i="11" s="1"/>
  <c r="M136" i="11" s="1"/>
  <c r="H137" i="11" s="1"/>
  <c r="H145" i="11" s="1"/>
  <c r="H76" i="8" s="1"/>
  <c r="G76" i="8" s="1"/>
  <c r="L235" i="11"/>
  <c r="M235" i="11" s="1"/>
  <c r="M241" i="11" s="1"/>
  <c r="H242" i="11" s="1"/>
  <c r="H250" i="11" s="1"/>
  <c r="H93" i="8" s="1"/>
  <c r="G93" i="8" s="1"/>
  <c r="M161" i="9"/>
  <c r="L53" i="29"/>
  <c r="M53" i="29" s="1"/>
  <c r="L56" i="45"/>
  <c r="M56" i="45" s="1"/>
  <c r="L82" i="45"/>
  <c r="M82" i="45" s="1"/>
  <c r="I192" i="8"/>
  <c r="H57" i="21"/>
  <c r="H59" i="21" s="1"/>
  <c r="H60" i="21" s="1"/>
  <c r="H61" i="21" s="1"/>
  <c r="H40" i="28"/>
  <c r="H67" i="10"/>
  <c r="H50" i="8" s="1"/>
  <c r="G50" i="8" s="1"/>
  <c r="E170" i="8"/>
  <c r="I170" i="8" s="1"/>
  <c r="L51" i="29"/>
  <c r="M51" i="29" s="1"/>
  <c r="H19" i="28"/>
  <c r="L26" i="29"/>
  <c r="M26" i="29" s="1"/>
  <c r="H104" i="21"/>
  <c r="H196" i="8" s="1"/>
  <c r="G196" i="8" s="1"/>
  <c r="H16" i="10"/>
  <c r="H47" i="8" s="1"/>
  <c r="G47" i="8" s="1"/>
  <c r="H33" i="10"/>
  <c r="H48" i="8" s="1"/>
  <c r="G48" i="8" s="1"/>
  <c r="M57" i="34"/>
  <c r="M32" i="27"/>
  <c r="H33" i="27" s="1"/>
  <c r="H41" i="27" s="1"/>
  <c r="H203" i="8" s="1"/>
  <c r="G203" i="8" s="1"/>
  <c r="H20" i="28"/>
  <c r="H207" i="8" s="1"/>
  <c r="G207" i="8" s="1"/>
  <c r="I207" i="8" s="1"/>
  <c r="L54" i="45"/>
  <c r="M54" i="45" s="1"/>
  <c r="H50" i="10"/>
  <c r="H49" i="8" s="1"/>
  <c r="G49" i="8" s="1"/>
  <c r="M8" i="45"/>
  <c r="M46" i="37"/>
  <c r="M52" i="37" s="1"/>
  <c r="H99" i="21"/>
  <c r="H100" i="21" s="1"/>
  <c r="H101" i="21" s="1"/>
  <c r="H102" i="21" s="1"/>
  <c r="H103" i="21" s="1"/>
  <c r="I193" i="8"/>
  <c r="M7" i="46"/>
  <c r="AA19" i="37"/>
  <c r="F195" i="8"/>
  <c r="J195" i="8" s="1"/>
  <c r="I195" i="8"/>
  <c r="I288" i="8"/>
  <c r="F288" i="8"/>
  <c r="J288" i="8" s="1"/>
  <c r="L79" i="45"/>
  <c r="M79" i="45" s="1"/>
  <c r="M31" i="45"/>
  <c r="E47" i="8"/>
  <c r="H15" i="10"/>
  <c r="H20" i="37"/>
  <c r="V19" i="37"/>
  <c r="H32" i="10"/>
  <c r="E48" i="8"/>
  <c r="M32" i="45"/>
  <c r="L80" i="45"/>
  <c r="M80" i="45" s="1"/>
  <c r="R64" i="45"/>
  <c r="M35" i="45"/>
  <c r="L83" i="45"/>
  <c r="M83" i="45" s="1"/>
  <c r="Y53" i="37"/>
  <c r="AA53" i="37" s="1"/>
  <c r="AA52" i="37"/>
  <c r="A124" i="7"/>
  <c r="B11" i="8"/>
  <c r="H150" i="34"/>
  <c r="H152" i="34" s="1"/>
  <c r="H153" i="34" s="1"/>
  <c r="H154" i="34" s="1"/>
  <c r="H155" i="34" s="1"/>
  <c r="L51" i="45"/>
  <c r="M51" i="45" s="1"/>
  <c r="M5" i="45"/>
  <c r="M33" i="46"/>
  <c r="M20" i="46"/>
  <c r="B78" i="8"/>
  <c r="A192" i="11"/>
  <c r="A129" i="10"/>
  <c r="B53" i="8"/>
  <c r="Y12" i="38"/>
  <c r="A157" i="17"/>
  <c r="B176" i="8"/>
  <c r="L53" i="45"/>
  <c r="M53" i="45" s="1"/>
  <c r="M7" i="45"/>
  <c r="H66" i="10"/>
  <c r="E50" i="8"/>
  <c r="L93" i="10"/>
  <c r="M93" i="10" s="1"/>
  <c r="M98" i="10" s="1"/>
  <c r="H99" i="10" s="1"/>
  <c r="M34" i="45"/>
  <c r="F207" i="8"/>
  <c r="R89" i="45"/>
  <c r="AA20" i="37"/>
  <c r="X52" i="37"/>
  <c r="X53" i="37" s="1"/>
  <c r="T12" i="38"/>
  <c r="H9" i="48"/>
  <c r="H11" i="48" s="1"/>
  <c r="H12" i="48" s="1"/>
  <c r="H13" i="48" s="1"/>
  <c r="H14" i="48" s="1"/>
  <c r="F208" i="8"/>
  <c r="G209" i="8"/>
  <c r="H17" i="22"/>
  <c r="E199" i="8"/>
  <c r="A128" i="34"/>
  <c r="B287" i="8"/>
  <c r="M4" i="46"/>
  <c r="M17" i="46"/>
  <c r="X11" i="38"/>
  <c r="X12" i="38" s="1"/>
  <c r="B28" i="8"/>
  <c r="A174" i="9"/>
  <c r="H49" i="10"/>
  <c r="M73" i="10"/>
  <c r="M79" i="10" s="1"/>
  <c r="H80" i="10" s="1"/>
  <c r="E49" i="8"/>
  <c r="L52" i="45"/>
  <c r="M52" i="45" s="1"/>
  <c r="M6" i="45"/>
  <c r="H183" i="9"/>
  <c r="H184" i="9" s="1"/>
  <c r="H185" i="9" s="1"/>
  <c r="H186" i="9" s="1"/>
  <c r="H188" i="9"/>
  <c r="H29" i="8" s="1"/>
  <c r="G29" i="8" s="1"/>
  <c r="M4" i="40"/>
  <c r="M5" i="40"/>
  <c r="M889" i="35" l="1"/>
  <c r="H890" i="35" s="1"/>
  <c r="H892" i="35" s="1"/>
  <c r="H893" i="35" s="1"/>
  <c r="H894" i="35" s="1"/>
  <c r="H895" i="35" s="1"/>
  <c r="H896" i="35" s="1"/>
  <c r="M238" i="35"/>
  <c r="H239" i="35" s="1"/>
  <c r="H248" i="35" s="1"/>
  <c r="H234" i="8" s="1"/>
  <c r="G234" i="8" s="1"/>
  <c r="L57" i="45"/>
  <c r="M57" i="45" s="1"/>
  <c r="M64" i="45" s="1"/>
  <c r="H65" i="45" s="1"/>
  <c r="H66" i="45" s="1"/>
  <c r="H67" i="45" s="1"/>
  <c r="M814" i="35"/>
  <c r="H815" i="35" s="1"/>
  <c r="H817" i="35" s="1"/>
  <c r="H818" i="35" s="1"/>
  <c r="H819" i="35" s="1"/>
  <c r="H820" i="35" s="1"/>
  <c r="H821" i="35" s="1"/>
  <c r="M839" i="35"/>
  <c r="H840" i="35" s="1"/>
  <c r="H842" i="35" s="1"/>
  <c r="H843" i="35" s="1"/>
  <c r="H844" i="35" s="1"/>
  <c r="H845" i="35" s="1"/>
  <c r="E260" i="8" s="1"/>
  <c r="M208" i="35"/>
  <c r="H209" i="35" s="1"/>
  <c r="H218" i="35" s="1"/>
  <c r="H233" i="8" s="1"/>
  <c r="G233" i="8" s="1"/>
  <c r="M789" i="35"/>
  <c r="H790" i="35" s="1"/>
  <c r="H792" i="35" s="1"/>
  <c r="H793" i="35" s="1"/>
  <c r="H794" i="35" s="1"/>
  <c r="H795" i="35" s="1"/>
  <c r="E256" i="8" s="1"/>
  <c r="H54" i="9"/>
  <c r="F22" i="8" s="1"/>
  <c r="J22" i="8" s="1"/>
  <c r="E22" i="8"/>
  <c r="H92" i="9"/>
  <c r="F24" i="8" s="1"/>
  <c r="J24" i="8" s="1"/>
  <c r="E24" i="8"/>
  <c r="C23" i="56"/>
  <c r="K199" i="8"/>
  <c r="H73" i="9"/>
  <c r="F23" i="8" s="1"/>
  <c r="J23" i="8" s="1"/>
  <c r="E23" i="8"/>
  <c r="H274" i="51"/>
  <c r="A144" i="16"/>
  <c r="B167" i="8" s="1"/>
  <c r="B166" i="8"/>
  <c r="B235" i="8"/>
  <c r="A277" i="35"/>
  <c r="M65" i="18"/>
  <c r="H66" i="18" s="1"/>
  <c r="H68" i="18" s="1"/>
  <c r="H69" i="18" s="1"/>
  <c r="H70" i="18" s="1"/>
  <c r="H71" i="18" s="1"/>
  <c r="H72" i="18" s="1"/>
  <c r="H73" i="18" s="1"/>
  <c r="M90" i="18"/>
  <c r="H91" i="18" s="1"/>
  <c r="H99" i="18" s="1"/>
  <c r="H185" i="8" s="1"/>
  <c r="G185" i="8" s="1"/>
  <c r="M115" i="18"/>
  <c r="H116" i="18" s="1"/>
  <c r="H124" i="18" s="1"/>
  <c r="H186" i="8" s="1"/>
  <c r="G186" i="8" s="1"/>
  <c r="H20" i="55"/>
  <c r="H272" i="8" s="1"/>
  <c r="G272" i="8" s="1"/>
  <c r="M439" i="35"/>
  <c r="H440" i="35" s="1"/>
  <c r="H447" i="35" s="1"/>
  <c r="H242" i="8" s="1"/>
  <c r="G242" i="8" s="1"/>
  <c r="M382" i="12"/>
  <c r="H383" i="12" s="1"/>
  <c r="H390" i="12" s="1"/>
  <c r="H143" i="8" s="1"/>
  <c r="G143" i="8" s="1"/>
  <c r="M74" i="55"/>
  <c r="H75" i="55" s="1"/>
  <c r="H77" i="55" s="1"/>
  <c r="H78" i="55" s="1"/>
  <c r="H79" i="55" s="1"/>
  <c r="H80" i="55" s="1"/>
  <c r="H81" i="55" s="1"/>
  <c r="M464" i="35"/>
  <c r="H465" i="35" s="1"/>
  <c r="H467" i="35" s="1"/>
  <c r="H468" i="35" s="1"/>
  <c r="H469" i="35" s="1"/>
  <c r="H470" i="35" s="1"/>
  <c r="E243" i="8" s="1"/>
  <c r="K243" i="8" s="1"/>
  <c r="M589" i="35"/>
  <c r="H590" i="35" s="1"/>
  <c r="H592" i="35" s="1"/>
  <c r="H593" i="35" s="1"/>
  <c r="H594" i="35" s="1"/>
  <c r="H595" i="35" s="1"/>
  <c r="E248" i="8" s="1"/>
  <c r="H309" i="54"/>
  <c r="H310" i="54" s="1"/>
  <c r="H311" i="54" s="1"/>
  <c r="H312" i="54" s="1"/>
  <c r="H313" i="54" s="1"/>
  <c r="H314" i="54" s="1"/>
  <c r="M95" i="55"/>
  <c r="H96" i="55" s="1"/>
  <c r="H98" i="55" s="1"/>
  <c r="H99" i="55" s="1"/>
  <c r="H100" i="55" s="1"/>
  <c r="H101" i="55" s="1"/>
  <c r="H102" i="55" s="1"/>
  <c r="E276" i="8" s="1"/>
  <c r="M116" i="55"/>
  <c r="H117" i="55" s="1"/>
  <c r="H119" i="55" s="1"/>
  <c r="H120" i="55" s="1"/>
  <c r="H121" i="55" s="1"/>
  <c r="H122" i="55" s="1"/>
  <c r="H123" i="55" s="1"/>
  <c r="H124" i="55" s="1"/>
  <c r="H435" i="12"/>
  <c r="H430" i="12"/>
  <c r="H431" i="12" s="1"/>
  <c r="H432" i="12" s="1"/>
  <c r="H433" i="12" s="1"/>
  <c r="N409" i="12"/>
  <c r="R409" i="12" s="1"/>
  <c r="H38" i="31"/>
  <c r="H62" i="55"/>
  <c r="H274" i="8" s="1"/>
  <c r="G274" i="8" s="1"/>
  <c r="H19" i="55"/>
  <c r="E272" i="8"/>
  <c r="H61" i="55"/>
  <c r="E274" i="8"/>
  <c r="H41" i="55"/>
  <c r="H273" i="8" s="1"/>
  <c r="G273" i="8" s="1"/>
  <c r="H38" i="55"/>
  <c r="H39" i="55" s="1"/>
  <c r="A311" i="8"/>
  <c r="A315" i="8" s="1"/>
  <c r="H13" i="11"/>
  <c r="H14" i="11" s="1"/>
  <c r="H15" i="11" s="1"/>
  <c r="H16" i="11" s="1"/>
  <c r="H17" i="11" s="1"/>
  <c r="M614" i="35"/>
  <c r="H615" i="35" s="1"/>
  <c r="H617" i="35" s="1"/>
  <c r="H618" i="35" s="1"/>
  <c r="H619" i="35" s="1"/>
  <c r="H620" i="35" s="1"/>
  <c r="H621" i="35" s="1"/>
  <c r="P46" i="38"/>
  <c r="H271" i="8" s="1"/>
  <c r="G271" i="8" s="1"/>
  <c r="H46" i="38"/>
  <c r="H47" i="38" s="1"/>
  <c r="H56" i="53"/>
  <c r="H57" i="53" s="1"/>
  <c r="H58" i="53" s="1"/>
  <c r="H59" i="53" s="1"/>
  <c r="H60" i="53" s="1"/>
  <c r="H62" i="53"/>
  <c r="H328" i="8" s="1"/>
  <c r="G328" i="8" s="1"/>
  <c r="H39" i="31"/>
  <c r="H219" i="8" s="1"/>
  <c r="G219" i="8" s="1"/>
  <c r="I219" i="8" s="1"/>
  <c r="M314" i="35"/>
  <c r="H315" i="35" s="1"/>
  <c r="H317" i="35" s="1"/>
  <c r="H318" i="35" s="1"/>
  <c r="H319" i="35" s="1"/>
  <c r="H320" i="35" s="1"/>
  <c r="H321" i="35" s="1"/>
  <c r="M414" i="35"/>
  <c r="H415" i="35" s="1"/>
  <c r="H417" i="35" s="1"/>
  <c r="M689" i="35"/>
  <c r="H690" i="35" s="1"/>
  <c r="H697" i="35" s="1"/>
  <c r="H252" i="8" s="1"/>
  <c r="G252" i="8" s="1"/>
  <c r="H20" i="53"/>
  <c r="H322" i="8" s="1"/>
  <c r="G322" i="8" s="1"/>
  <c r="H14" i="53"/>
  <c r="H15" i="53" s="1"/>
  <c r="H16" i="53" s="1"/>
  <c r="H17" i="53" s="1"/>
  <c r="H18" i="53" s="1"/>
  <c r="H35" i="53"/>
  <c r="H36" i="53" s="1"/>
  <c r="H37" i="53" s="1"/>
  <c r="H38" i="53" s="1"/>
  <c r="H39" i="53" s="1"/>
  <c r="H41" i="53"/>
  <c r="H325" i="8" s="1"/>
  <c r="G325" i="8" s="1"/>
  <c r="H99" i="54"/>
  <c r="H100" i="54" s="1"/>
  <c r="H101" i="54" s="1"/>
  <c r="H102" i="54" s="1"/>
  <c r="H103" i="54" s="1"/>
  <c r="H104" i="54" s="1"/>
  <c r="H105" i="54"/>
  <c r="H168" i="54"/>
  <c r="H162" i="54"/>
  <c r="H163" i="54" s="1"/>
  <c r="H164" i="54" s="1"/>
  <c r="H165" i="54" s="1"/>
  <c r="H166" i="54" s="1"/>
  <c r="H167" i="54" s="1"/>
  <c r="H231" i="54"/>
  <c r="H225" i="54"/>
  <c r="H226" i="54" s="1"/>
  <c r="H227" i="54" s="1"/>
  <c r="H228" i="54" s="1"/>
  <c r="H229" i="54" s="1"/>
  <c r="H230" i="54" s="1"/>
  <c r="H273" i="54"/>
  <c r="H267" i="54"/>
  <c r="H268" i="54" s="1"/>
  <c r="H269" i="54" s="1"/>
  <c r="H270" i="54" s="1"/>
  <c r="H271" i="54" s="1"/>
  <c r="H272" i="54" s="1"/>
  <c r="H77" i="53"/>
  <c r="H78" i="53" s="1"/>
  <c r="H79" i="53" s="1"/>
  <c r="H80" i="53" s="1"/>
  <c r="H81" i="53" s="1"/>
  <c r="H83" i="53"/>
  <c r="H331" i="8" s="1"/>
  <c r="G331" i="8" s="1"/>
  <c r="H21" i="54"/>
  <c r="H15" i="54"/>
  <c r="H16" i="54" s="1"/>
  <c r="H17" i="54" s="1"/>
  <c r="H18" i="54" s="1"/>
  <c r="H19" i="54" s="1"/>
  <c r="H20" i="54" s="1"/>
  <c r="H84" i="54"/>
  <c r="H78" i="54"/>
  <c r="H79" i="54" s="1"/>
  <c r="H80" i="54" s="1"/>
  <c r="H81" i="54" s="1"/>
  <c r="H82" i="54" s="1"/>
  <c r="H83" i="54" s="1"/>
  <c r="H147" i="54"/>
  <c r="H141" i="54"/>
  <c r="H142" i="54" s="1"/>
  <c r="H143" i="54" s="1"/>
  <c r="H144" i="54" s="1"/>
  <c r="H145" i="54" s="1"/>
  <c r="H146" i="54" s="1"/>
  <c r="H189" i="54"/>
  <c r="H183" i="54"/>
  <c r="H184" i="54" s="1"/>
  <c r="H185" i="54" s="1"/>
  <c r="H186" i="54" s="1"/>
  <c r="H187" i="54" s="1"/>
  <c r="H188" i="54" s="1"/>
  <c r="H252" i="54"/>
  <c r="H246" i="54"/>
  <c r="H247" i="54" s="1"/>
  <c r="H248" i="54" s="1"/>
  <c r="H249" i="54" s="1"/>
  <c r="H250" i="54" s="1"/>
  <c r="H251" i="54" s="1"/>
  <c r="H336" i="54"/>
  <c r="H330" i="54"/>
  <c r="H331" i="54" s="1"/>
  <c r="H332" i="54" s="1"/>
  <c r="H333" i="54" s="1"/>
  <c r="H334" i="54" s="1"/>
  <c r="H335" i="54" s="1"/>
  <c r="H63" i="54"/>
  <c r="H57" i="54"/>
  <c r="H58" i="54" s="1"/>
  <c r="H59" i="54" s="1"/>
  <c r="H60" i="54" s="1"/>
  <c r="H61" i="54" s="1"/>
  <c r="H62" i="54" s="1"/>
  <c r="M539" i="35"/>
  <c r="H540" i="35" s="1"/>
  <c r="H547" i="35" s="1"/>
  <c r="H246" i="8" s="1"/>
  <c r="G246" i="8" s="1"/>
  <c r="M639" i="35"/>
  <c r="H640" i="35" s="1"/>
  <c r="H647" i="35" s="1"/>
  <c r="H250" i="8" s="1"/>
  <c r="G250" i="8" s="1"/>
  <c r="M289" i="35"/>
  <c r="H290" i="35" s="1"/>
  <c r="H297" i="35" s="1"/>
  <c r="H236" i="8" s="1"/>
  <c r="G236" i="8" s="1"/>
  <c r="H21" i="35"/>
  <c r="H23" i="35" s="1"/>
  <c r="M27" i="38"/>
  <c r="H28" i="38" s="1"/>
  <c r="P30" i="38" s="1"/>
  <c r="H270" i="8" s="1"/>
  <c r="G270" i="8" s="1"/>
  <c r="H207" i="9"/>
  <c r="H30" i="8" s="1"/>
  <c r="G30" i="8" s="1"/>
  <c r="M389" i="35"/>
  <c r="H390" i="35" s="1"/>
  <c r="H392" i="35" s="1"/>
  <c r="H393" i="35" s="1"/>
  <c r="H394" i="35" s="1"/>
  <c r="H395" i="35" s="1"/>
  <c r="E240" i="8" s="1"/>
  <c r="M35" i="46"/>
  <c r="H36" i="46" s="1"/>
  <c r="H37" i="46" s="1"/>
  <c r="H390" i="51"/>
  <c r="M489" i="35"/>
  <c r="H490" i="35" s="1"/>
  <c r="H492" i="35" s="1"/>
  <c r="H493" i="35" s="1"/>
  <c r="H494" i="35" s="1"/>
  <c r="H495" i="35" s="1"/>
  <c r="E244" i="8" s="1"/>
  <c r="K244" i="8" s="1"/>
  <c r="E177" i="8"/>
  <c r="F177" i="8" s="1"/>
  <c r="H191" i="17"/>
  <c r="H192" i="17" s="1"/>
  <c r="H193" i="17" s="1"/>
  <c r="H194" i="17" s="1"/>
  <c r="E178" i="8" s="1"/>
  <c r="I178" i="8" s="1"/>
  <c r="H160" i="51"/>
  <c r="M564" i="35"/>
  <c r="H565" i="35" s="1"/>
  <c r="H567" i="35" s="1"/>
  <c r="H568" i="35" s="1"/>
  <c r="H569" i="35" s="1"/>
  <c r="H570" i="35" s="1"/>
  <c r="H571" i="35" s="1"/>
  <c r="M263" i="35"/>
  <c r="H264" i="35" s="1"/>
  <c r="H266" i="35" s="1"/>
  <c r="H267" i="35" s="1"/>
  <c r="H268" i="35" s="1"/>
  <c r="H269" i="35" s="1"/>
  <c r="H270" i="35" s="1"/>
  <c r="M27" i="45"/>
  <c r="M4" i="45"/>
  <c r="M17" i="45" s="1"/>
  <c r="H18" i="45" s="1"/>
  <c r="O20" i="45" s="1"/>
  <c r="M514" i="35"/>
  <c r="H515" i="35" s="1"/>
  <c r="H517" i="35" s="1"/>
  <c r="H518" i="35" s="1"/>
  <c r="H519" i="35" s="1"/>
  <c r="H520" i="35" s="1"/>
  <c r="E245" i="8" s="1"/>
  <c r="H321" i="51"/>
  <c r="M664" i="35"/>
  <c r="H665" i="35" s="1"/>
  <c r="H667" i="35" s="1"/>
  <c r="H668" i="35" s="1"/>
  <c r="H669" i="35" s="1"/>
  <c r="H670" i="35" s="1"/>
  <c r="H671" i="35" s="1"/>
  <c r="M339" i="35"/>
  <c r="H340" i="35" s="1"/>
  <c r="H342" i="35" s="1"/>
  <c r="H343" i="35" s="1"/>
  <c r="H344" i="35" s="1"/>
  <c r="H345" i="35" s="1"/>
  <c r="E238" i="8" s="1"/>
  <c r="H174" i="17"/>
  <c r="H177" i="8" s="1"/>
  <c r="G177" i="8" s="1"/>
  <c r="H33" i="16"/>
  <c r="H34" i="16" s="1"/>
  <c r="H35" i="16" s="1"/>
  <c r="H36" i="16" s="1"/>
  <c r="H37" i="16" s="1"/>
  <c r="H38" i="16" s="1"/>
  <c r="H39" i="16"/>
  <c r="H161" i="8" s="1"/>
  <c r="G161" i="8" s="1"/>
  <c r="M714" i="35"/>
  <c r="H715" i="35" s="1"/>
  <c r="H717" i="35" s="1"/>
  <c r="H718" i="35" s="1"/>
  <c r="H719" i="35" s="1"/>
  <c r="H720" i="35" s="1"/>
  <c r="H721" i="35" s="1"/>
  <c r="M739" i="35"/>
  <c r="H740" i="35" s="1"/>
  <c r="H742" i="35" s="1"/>
  <c r="H743" i="35" s="1"/>
  <c r="H744" i="35" s="1"/>
  <c r="H745" i="35" s="1"/>
  <c r="E254" i="8" s="1"/>
  <c r="H145" i="9"/>
  <c r="H146" i="9" s="1"/>
  <c r="H147" i="9" s="1"/>
  <c r="H148" i="9" s="1"/>
  <c r="E27" i="8" s="1"/>
  <c r="I27" i="8" s="1"/>
  <c r="M50" i="35"/>
  <c r="H51" i="35" s="1"/>
  <c r="H53" i="35" s="1"/>
  <c r="H54" i="35" s="1"/>
  <c r="M16" i="49"/>
  <c r="H17" i="49" s="1"/>
  <c r="H19" i="49" s="1"/>
  <c r="H20" i="49" s="1"/>
  <c r="H21" i="49" s="1"/>
  <c r="H103" i="17"/>
  <c r="H104" i="17" s="1"/>
  <c r="H105" i="17" s="1"/>
  <c r="H106" i="17" s="1"/>
  <c r="H107" i="17" s="1"/>
  <c r="W11" i="38"/>
  <c r="W12" i="38" s="1"/>
  <c r="AA12" i="38" s="1"/>
  <c r="H12" i="38"/>
  <c r="H13" i="34"/>
  <c r="H21" i="34" s="1"/>
  <c r="H282" i="8" s="1"/>
  <c r="G282" i="8" s="1"/>
  <c r="H245" i="12"/>
  <c r="H252" i="12" s="1"/>
  <c r="H137" i="8" s="1"/>
  <c r="G137" i="8" s="1"/>
  <c r="H58" i="34"/>
  <c r="H60" i="34" s="1"/>
  <c r="H61" i="34" s="1"/>
  <c r="H62" i="34" s="1"/>
  <c r="H63" i="34" s="1"/>
  <c r="H57" i="28"/>
  <c r="H58" i="28" s="1"/>
  <c r="H59" i="28" s="1"/>
  <c r="H60" i="28" s="1"/>
  <c r="H162" i="9"/>
  <c r="H169" i="9" s="1"/>
  <c r="H28" i="8" s="1"/>
  <c r="G28" i="8" s="1"/>
  <c r="H221" i="9"/>
  <c r="H223" i="9" s="1"/>
  <c r="H225" i="9" s="1"/>
  <c r="H226" i="9" s="1"/>
  <c r="A58" i="32"/>
  <c r="A59" i="32" s="1"/>
  <c r="G57" i="32"/>
  <c r="A25" i="33" s="1"/>
  <c r="H20" i="27"/>
  <c r="H202" i="8" s="1"/>
  <c r="G202" i="8" s="1"/>
  <c r="H81" i="17"/>
  <c r="H82" i="17" s="1"/>
  <c r="H83" i="17" s="1"/>
  <c r="H84" i="17" s="1"/>
  <c r="H85" i="17" s="1"/>
  <c r="H335" i="34"/>
  <c r="H265" i="8" s="1"/>
  <c r="G265" i="8" s="1"/>
  <c r="H216" i="17"/>
  <c r="H179" i="8" s="1"/>
  <c r="G179" i="8" s="1"/>
  <c r="H59" i="47"/>
  <c r="H59" i="17"/>
  <c r="H60" i="17" s="1"/>
  <c r="H61" i="17" s="1"/>
  <c r="H62" i="17" s="1"/>
  <c r="H63" i="17" s="1"/>
  <c r="E285" i="8"/>
  <c r="I285" i="8" s="1"/>
  <c r="H153" i="16"/>
  <c r="H154" i="16" s="1"/>
  <c r="H155" i="16" s="1"/>
  <c r="H156" i="16" s="1"/>
  <c r="H157" i="16" s="1"/>
  <c r="E167" i="8" s="1"/>
  <c r="H73" i="16"/>
  <c r="H74" i="16" s="1"/>
  <c r="H75" i="16" s="1"/>
  <c r="H76" i="16" s="1"/>
  <c r="H77" i="16" s="1"/>
  <c r="H78" i="16" s="1"/>
  <c r="H13" i="16"/>
  <c r="H14" i="16" s="1"/>
  <c r="H15" i="16" s="1"/>
  <c r="H16" i="16" s="1"/>
  <c r="H17" i="16" s="1"/>
  <c r="H18" i="16" s="1"/>
  <c r="H19" i="47"/>
  <c r="H278" i="8" s="1"/>
  <c r="G278" i="8" s="1"/>
  <c r="H59" i="13"/>
  <c r="H149" i="8" s="1"/>
  <c r="G149" i="8" s="1"/>
  <c r="I149" i="8" s="1"/>
  <c r="H13" i="29"/>
  <c r="H14" i="29" s="1"/>
  <c r="H15" i="29" s="1"/>
  <c r="H16" i="29" s="1"/>
  <c r="H17" i="29" s="1"/>
  <c r="E212" i="8" s="1"/>
  <c r="H202" i="11"/>
  <c r="H203" i="11" s="1"/>
  <c r="H204" i="11" s="1"/>
  <c r="H205" i="11" s="1"/>
  <c r="H206" i="11" s="1"/>
  <c r="E91" i="8" s="1"/>
  <c r="F91" i="8" s="1"/>
  <c r="J91" i="8" s="1"/>
  <c r="H328" i="11"/>
  <c r="H329" i="11" s="1"/>
  <c r="H330" i="11" s="1"/>
  <c r="H331" i="11" s="1"/>
  <c r="H332" i="11" s="1"/>
  <c r="E109" i="8" s="1"/>
  <c r="F109" i="8" s="1"/>
  <c r="J109" i="8" s="1"/>
  <c r="H133" i="16"/>
  <c r="H134" i="16" s="1"/>
  <c r="H135" i="16" s="1"/>
  <c r="H136" i="16" s="1"/>
  <c r="H137" i="16" s="1"/>
  <c r="E166" i="8" s="1"/>
  <c r="H22" i="51"/>
  <c r="H206" i="51"/>
  <c r="H56" i="27"/>
  <c r="H240" i="34"/>
  <c r="H241" i="34" s="1"/>
  <c r="H242" i="34" s="1"/>
  <c r="H243" i="34" s="1"/>
  <c r="H244" i="34" s="1"/>
  <c r="H245" i="34" s="1"/>
  <c r="H39" i="47"/>
  <c r="H279" i="8" s="1"/>
  <c r="G279" i="8" s="1"/>
  <c r="H375" i="11"/>
  <c r="H59" i="16"/>
  <c r="H162" i="8" s="1"/>
  <c r="G162" i="8" s="1"/>
  <c r="I162" i="8" s="1"/>
  <c r="H376" i="11"/>
  <c r="H123" i="8" s="1"/>
  <c r="G123" i="8" s="1"/>
  <c r="I123" i="8" s="1"/>
  <c r="J208" i="8"/>
  <c r="H19" i="13"/>
  <c r="H147" i="8" s="1"/>
  <c r="G147" i="8" s="1"/>
  <c r="H18" i="19"/>
  <c r="H99" i="16"/>
  <c r="H164" i="8" s="1"/>
  <c r="G164" i="8" s="1"/>
  <c r="H42" i="34"/>
  <c r="H283" i="8" s="1"/>
  <c r="G283" i="8" s="1"/>
  <c r="H19" i="19"/>
  <c r="H189" i="8" s="1"/>
  <c r="G189" i="8" s="1"/>
  <c r="I189" i="8" s="1"/>
  <c r="H39" i="13"/>
  <c r="H148" i="8" s="1"/>
  <c r="G148" i="8" s="1"/>
  <c r="M34" i="29"/>
  <c r="H35" i="29" s="1"/>
  <c r="H37" i="29" s="1"/>
  <c r="H38" i="29" s="1"/>
  <c r="H39" i="29" s="1"/>
  <c r="H40" i="29" s="1"/>
  <c r="H41" i="29" s="1"/>
  <c r="E213" i="8" s="1"/>
  <c r="H367" i="51"/>
  <c r="H229" i="51"/>
  <c r="H63" i="8"/>
  <c r="G63" i="8" s="1"/>
  <c r="H55" i="11"/>
  <c r="H56" i="11" s="1"/>
  <c r="H57" i="11" s="1"/>
  <c r="H58" i="11" s="1"/>
  <c r="H59" i="11" s="1"/>
  <c r="H252" i="51"/>
  <c r="H284" i="34"/>
  <c r="H286" i="34" s="1"/>
  <c r="H287" i="34" s="1"/>
  <c r="H288" i="34" s="1"/>
  <c r="H289" i="34" s="1"/>
  <c r="H290" i="34" s="1"/>
  <c r="H291" i="34" s="1"/>
  <c r="H113" i="16"/>
  <c r="H114" i="16" s="1"/>
  <c r="H115" i="16" s="1"/>
  <c r="H116" i="16" s="1"/>
  <c r="H117" i="16" s="1"/>
  <c r="H118" i="16" s="1"/>
  <c r="H109" i="51"/>
  <c r="H110" i="51" s="1"/>
  <c r="H111" i="51" s="1"/>
  <c r="H112" i="51" s="1"/>
  <c r="H113" i="51" s="1"/>
  <c r="H293" i="51"/>
  <c r="H294" i="51" s="1"/>
  <c r="H295" i="51" s="1"/>
  <c r="H296" i="51" s="1"/>
  <c r="H297" i="51" s="1"/>
  <c r="H344" i="51"/>
  <c r="H246" i="34"/>
  <c r="H292" i="34" s="1"/>
  <c r="H294" i="8" s="1"/>
  <c r="G294" i="8" s="1"/>
  <c r="H275" i="51"/>
  <c r="H132" i="51"/>
  <c r="H133" i="51" s="1"/>
  <c r="H134" i="51" s="1"/>
  <c r="H135" i="51" s="1"/>
  <c r="H137" i="51"/>
  <c r="H178" i="51"/>
  <c r="H179" i="51" s="1"/>
  <c r="H180" i="51" s="1"/>
  <c r="H181" i="51" s="1"/>
  <c r="H182" i="51" s="1"/>
  <c r="H183" i="51"/>
  <c r="H86" i="51"/>
  <c r="H87" i="51" s="1"/>
  <c r="H88" i="51" s="1"/>
  <c r="H89" i="51" s="1"/>
  <c r="H91" i="51"/>
  <c r="H63" i="51"/>
  <c r="H64" i="51" s="1"/>
  <c r="H65" i="51" s="1"/>
  <c r="H66" i="51" s="1"/>
  <c r="H67" i="51" s="1"/>
  <c r="H68" i="51"/>
  <c r="H40" i="51"/>
  <c r="H41" i="51" s="1"/>
  <c r="H42" i="51" s="1"/>
  <c r="H43" i="51" s="1"/>
  <c r="H44" i="51" s="1"/>
  <c r="H45" i="51"/>
  <c r="I291" i="8"/>
  <c r="M58" i="29"/>
  <c r="H59" i="29" s="1"/>
  <c r="H61" i="29" s="1"/>
  <c r="H62" i="29" s="1"/>
  <c r="H63" i="29" s="1"/>
  <c r="H64" i="29" s="1"/>
  <c r="H65" i="29" s="1"/>
  <c r="E214" i="8" s="1"/>
  <c r="H118" i="11"/>
  <c r="H119" i="11" s="1"/>
  <c r="H120" i="11" s="1"/>
  <c r="H121" i="11" s="1"/>
  <c r="H122" i="11" s="1"/>
  <c r="H244" i="11"/>
  <c r="H245" i="11" s="1"/>
  <c r="H246" i="11" s="1"/>
  <c r="H247" i="11" s="1"/>
  <c r="H248" i="11" s="1"/>
  <c r="H249" i="11" s="1"/>
  <c r="H165" i="11"/>
  <c r="H166" i="11"/>
  <c r="H77" i="8" s="1"/>
  <c r="G77" i="8" s="1"/>
  <c r="I77" i="8" s="1"/>
  <c r="G59" i="8"/>
  <c r="H34" i="11"/>
  <c r="H35" i="11" s="1"/>
  <c r="H36" i="11" s="1"/>
  <c r="H37" i="11" s="1"/>
  <c r="H38" i="11" s="1"/>
  <c r="E59" i="8" s="1"/>
  <c r="F59" i="8" s="1"/>
  <c r="J59" i="8" s="1"/>
  <c r="H223" i="11"/>
  <c r="H224" i="11" s="1"/>
  <c r="H225" i="11" s="1"/>
  <c r="H226" i="11" s="1"/>
  <c r="H227" i="11" s="1"/>
  <c r="H228" i="11" s="1"/>
  <c r="H391" i="11"/>
  <c r="H392" i="11" s="1"/>
  <c r="H393" i="11" s="1"/>
  <c r="H394" i="11" s="1"/>
  <c r="H395" i="11" s="1"/>
  <c r="H396" i="11" s="1"/>
  <c r="E194" i="8"/>
  <c r="F194" i="8" s="1"/>
  <c r="J194" i="8" s="1"/>
  <c r="H307" i="11"/>
  <c r="H308" i="11" s="1"/>
  <c r="H309" i="11" s="1"/>
  <c r="H310" i="11" s="1"/>
  <c r="H311" i="11" s="1"/>
  <c r="E108" i="8" s="1"/>
  <c r="F108" i="8" s="1"/>
  <c r="J108" i="8" s="1"/>
  <c r="H76" i="11"/>
  <c r="H77" i="11" s="1"/>
  <c r="H78" i="11" s="1"/>
  <c r="H79" i="11" s="1"/>
  <c r="H80" i="11" s="1"/>
  <c r="H81" i="11" s="1"/>
  <c r="H947" i="35"/>
  <c r="H286" i="11"/>
  <c r="H287" i="11" s="1"/>
  <c r="H288" i="11" s="1"/>
  <c r="H289" i="11" s="1"/>
  <c r="H290" i="11" s="1"/>
  <c r="E107" i="8" s="1"/>
  <c r="F107" i="8" s="1"/>
  <c r="J107" i="8" s="1"/>
  <c r="H201" i="12"/>
  <c r="H202" i="12" s="1"/>
  <c r="H203" i="12" s="1"/>
  <c r="H204" i="12" s="1"/>
  <c r="E135" i="8" s="1"/>
  <c r="H139" i="11"/>
  <c r="H140" i="11" s="1"/>
  <c r="H141" i="11" s="1"/>
  <c r="H142" i="11" s="1"/>
  <c r="H143" i="11" s="1"/>
  <c r="H144" i="11" s="1"/>
  <c r="F170" i="8"/>
  <c r="J170" i="8" s="1"/>
  <c r="J207" i="8"/>
  <c r="H339" i="12"/>
  <c r="H340" i="12" s="1"/>
  <c r="H341" i="12" s="1"/>
  <c r="H342" i="12" s="1"/>
  <c r="E141" i="8" s="1"/>
  <c r="H137" i="12"/>
  <c r="H132" i="8" s="1"/>
  <c r="G132" i="8" s="1"/>
  <c r="H35" i="27"/>
  <c r="H36" i="27" s="1"/>
  <c r="H37" i="27" s="1"/>
  <c r="H38" i="27" s="1"/>
  <c r="H39" i="27" s="1"/>
  <c r="H40" i="27" s="1"/>
  <c r="H152" i="17"/>
  <c r="H176" i="8" s="1"/>
  <c r="G176" i="8" s="1"/>
  <c r="H130" i="17"/>
  <c r="H175" i="8" s="1"/>
  <c r="G175" i="8" s="1"/>
  <c r="H367" i="12"/>
  <c r="H142" i="8" s="1"/>
  <c r="G142" i="8" s="1"/>
  <c r="H63" i="12"/>
  <c r="H64" i="12" s="1"/>
  <c r="H65" i="12" s="1"/>
  <c r="H66" i="12" s="1"/>
  <c r="E129" i="8" s="1"/>
  <c r="H111" i="8"/>
  <c r="H112" i="8" s="1"/>
  <c r="H42" i="17"/>
  <c r="H171" i="8" s="1"/>
  <c r="G171" i="8" s="1"/>
  <c r="H160" i="12"/>
  <c r="H133" i="8" s="1"/>
  <c r="G133" i="8" s="1"/>
  <c r="H109" i="12"/>
  <c r="H110" i="12" s="1"/>
  <c r="H111" i="12" s="1"/>
  <c r="H112" i="12" s="1"/>
  <c r="H113" i="12" s="1"/>
  <c r="M28" i="37"/>
  <c r="M34" i="37" s="1"/>
  <c r="V34" i="37" s="1"/>
  <c r="H20" i="14"/>
  <c r="H152" i="8" s="1"/>
  <c r="G152" i="8" s="1"/>
  <c r="H767" i="35"/>
  <c r="H768" i="35" s="1"/>
  <c r="H769" i="35" s="1"/>
  <c r="H770" i="35" s="1"/>
  <c r="E255" i="8" s="1"/>
  <c r="H41" i="14"/>
  <c r="H153" i="8" s="1"/>
  <c r="G153" i="8" s="1"/>
  <c r="H174" i="34"/>
  <c r="H175" i="34" s="1"/>
  <c r="H176" i="34" s="1"/>
  <c r="H177" i="34" s="1"/>
  <c r="H178" i="34" s="1"/>
  <c r="H201" i="34"/>
  <c r="H264" i="8" s="1"/>
  <c r="G264" i="8" s="1"/>
  <c r="H142" i="35"/>
  <c r="H143" i="35" s="1"/>
  <c r="H144" i="35" s="1"/>
  <c r="H145" i="35" s="1"/>
  <c r="H146" i="35" s="1"/>
  <c r="H147" i="35" s="1"/>
  <c r="H91" i="29"/>
  <c r="H215" i="8" s="1"/>
  <c r="G215" i="8" s="1"/>
  <c r="H78" i="14"/>
  <c r="H79" i="14" s="1"/>
  <c r="H80" i="14" s="1"/>
  <c r="H81" i="14" s="1"/>
  <c r="H82" i="14" s="1"/>
  <c r="H240" i="35"/>
  <c r="H241" i="35" s="1"/>
  <c r="H242" i="35" s="1"/>
  <c r="H243" i="35" s="1"/>
  <c r="H244" i="35" s="1"/>
  <c r="H245" i="35" s="1"/>
  <c r="H897" i="35"/>
  <c r="H321" i="12"/>
  <c r="H140" i="8" s="1"/>
  <c r="G140" i="8" s="1"/>
  <c r="H125" i="14"/>
  <c r="H157" i="8" s="1"/>
  <c r="G157" i="8" s="1"/>
  <c r="E196" i="8"/>
  <c r="H95" i="8"/>
  <c r="G95" i="8" s="1"/>
  <c r="H19" i="31"/>
  <c r="H218" i="8" s="1"/>
  <c r="G218" i="8" s="1"/>
  <c r="H372" i="35"/>
  <c r="H239" i="8" s="1"/>
  <c r="G239" i="8" s="1"/>
  <c r="H62" i="14"/>
  <c r="H154" i="8" s="1"/>
  <c r="G154" i="8" s="1"/>
  <c r="H91" i="12"/>
  <c r="H130" i="8" s="1"/>
  <c r="G130" i="8" s="1"/>
  <c r="H17" i="12"/>
  <c r="H18" i="12" s="1"/>
  <c r="H19" i="12" s="1"/>
  <c r="H20" i="12" s="1"/>
  <c r="H275" i="12"/>
  <c r="H138" i="8" s="1"/>
  <c r="G138" i="8" s="1"/>
  <c r="M9" i="46"/>
  <c r="H10" i="46" s="1"/>
  <c r="R11" i="46" s="1"/>
  <c r="H268" i="8" s="1"/>
  <c r="G268" i="8" s="1"/>
  <c r="H922" i="35"/>
  <c r="H178" i="12"/>
  <c r="H179" i="12" s="1"/>
  <c r="H180" i="12" s="1"/>
  <c r="H181" i="12" s="1"/>
  <c r="H182" i="12" s="1"/>
  <c r="H847" i="35"/>
  <c r="H260" i="8" s="1"/>
  <c r="G260" i="8" s="1"/>
  <c r="H229" i="12"/>
  <c r="H136" i="8" s="1"/>
  <c r="G136" i="8" s="1"/>
  <c r="M11" i="40"/>
  <c r="W11" i="40" s="1"/>
  <c r="V11" i="40" s="1"/>
  <c r="M22" i="46"/>
  <c r="H23" i="46" s="1"/>
  <c r="H24" i="46" s="1"/>
  <c r="H25" i="46" s="1"/>
  <c r="H26" i="46" s="1"/>
  <c r="N26" i="46" s="1"/>
  <c r="R26" i="46" s="1"/>
  <c r="H40" i="12"/>
  <c r="H41" i="12" s="1"/>
  <c r="H42" i="12" s="1"/>
  <c r="H43" i="12" s="1"/>
  <c r="H188" i="35"/>
  <c r="H232" i="8" s="1"/>
  <c r="G232" i="8" s="1"/>
  <c r="H298" i="12"/>
  <c r="H139" i="8" s="1"/>
  <c r="G139" i="8" s="1"/>
  <c r="H175" i="35"/>
  <c r="H176" i="35" s="1"/>
  <c r="H177" i="35" s="1"/>
  <c r="H178" i="35" s="1"/>
  <c r="H179" i="35" s="1"/>
  <c r="H872" i="35"/>
  <c r="H18" i="47"/>
  <c r="E278" i="8"/>
  <c r="F149" i="8"/>
  <c r="H187" i="9"/>
  <c r="E29" i="8"/>
  <c r="L77" i="45"/>
  <c r="M77" i="45" s="1"/>
  <c r="M29" i="45"/>
  <c r="I49" i="8"/>
  <c r="F49" i="8"/>
  <c r="J49" i="8" s="1"/>
  <c r="H43" i="18"/>
  <c r="H44" i="18" s="1"/>
  <c r="H45" i="18" s="1"/>
  <c r="H46" i="18" s="1"/>
  <c r="H47" i="18" s="1"/>
  <c r="H49" i="18"/>
  <c r="H183" i="8" s="1"/>
  <c r="G183" i="8" s="1"/>
  <c r="H151" i="17"/>
  <c r="E176" i="8"/>
  <c r="H307" i="34"/>
  <c r="H309" i="34" s="1"/>
  <c r="H310" i="34" s="1"/>
  <c r="H311" i="34" s="1"/>
  <c r="H312" i="34" s="1"/>
  <c r="H313" i="34" s="1"/>
  <c r="H314" i="34" s="1"/>
  <c r="H263" i="34"/>
  <c r="H264" i="34" s="1"/>
  <c r="H265" i="34" s="1"/>
  <c r="H266" i="34" s="1"/>
  <c r="H267" i="34" s="1"/>
  <c r="B288" i="8"/>
  <c r="A145" i="34"/>
  <c r="A162" i="34" s="1"/>
  <c r="H90" i="29"/>
  <c r="E215" i="8"/>
  <c r="H15" i="48"/>
  <c r="E311" i="8"/>
  <c r="G58" i="32"/>
  <c r="A26" i="33" s="1"/>
  <c r="H101" i="10"/>
  <c r="H102" i="10" s="1"/>
  <c r="H103" i="10" s="1"/>
  <c r="H104" i="10" s="1"/>
  <c r="H106" i="10"/>
  <c r="H52" i="8" s="1"/>
  <c r="G52" i="8" s="1"/>
  <c r="H18" i="13"/>
  <c r="E147" i="8"/>
  <c r="E279" i="8"/>
  <c r="K279" i="8" s="1"/>
  <c r="H38" i="47"/>
  <c r="H206" i="9"/>
  <c r="E30" i="8"/>
  <c r="M30" i="45"/>
  <c r="L78" i="45"/>
  <c r="M78" i="45" s="1"/>
  <c r="A147" i="10"/>
  <c r="B54" i="8"/>
  <c r="H61" i="14"/>
  <c r="E154" i="8"/>
  <c r="E153" i="8"/>
  <c r="C18" i="56" s="1"/>
  <c r="H40" i="14"/>
  <c r="F219" i="8"/>
  <c r="F189" i="8"/>
  <c r="H371" i="35"/>
  <c r="E239" i="8"/>
  <c r="M28" i="45"/>
  <c r="L76" i="45"/>
  <c r="M76" i="45" s="1"/>
  <c r="H156" i="34"/>
  <c r="E267" i="8"/>
  <c r="A145" i="7"/>
  <c r="B12" i="8"/>
  <c r="F77" i="8"/>
  <c r="E79" i="8"/>
  <c r="G75" i="8"/>
  <c r="E136" i="8"/>
  <c r="H228" i="12"/>
  <c r="H366" i="12"/>
  <c r="E142" i="8"/>
  <c r="F48" i="8"/>
  <c r="J48" i="8" s="1"/>
  <c r="I48" i="8"/>
  <c r="V20" i="37"/>
  <c r="Z19" i="37"/>
  <c r="AB19" i="37" s="1"/>
  <c r="E139" i="8"/>
  <c r="H297" i="12"/>
  <c r="H87" i="10"/>
  <c r="H51" i="8" s="1"/>
  <c r="G51" i="8" s="1"/>
  <c r="H82" i="10"/>
  <c r="H83" i="10" s="1"/>
  <c r="H84" i="10" s="1"/>
  <c r="H85" i="10" s="1"/>
  <c r="B29" i="8"/>
  <c r="A193" i="9"/>
  <c r="H99" i="14"/>
  <c r="H100" i="14" s="1"/>
  <c r="H101" i="14" s="1"/>
  <c r="H102" i="14" s="1"/>
  <c r="H104" i="14"/>
  <c r="H156" i="8" s="1"/>
  <c r="G156" i="8" s="1"/>
  <c r="E157" i="8"/>
  <c r="H124" i="14"/>
  <c r="F162" i="8"/>
  <c r="I199" i="8"/>
  <c r="F199" i="8"/>
  <c r="J199" i="8" s="1"/>
  <c r="H16" i="48"/>
  <c r="H311" i="8" s="1"/>
  <c r="G311" i="8" s="1"/>
  <c r="V52" i="37"/>
  <c r="H53" i="37"/>
  <c r="F50" i="8"/>
  <c r="J50" i="8" s="1"/>
  <c r="I50" i="8"/>
  <c r="E148" i="8"/>
  <c r="H38" i="13"/>
  <c r="A179" i="17"/>
  <c r="B177" i="8"/>
  <c r="H24" i="18"/>
  <c r="H182" i="8" s="1"/>
  <c r="G182" i="8" s="1"/>
  <c r="H18" i="18"/>
  <c r="H19" i="18" s="1"/>
  <c r="H20" i="18" s="1"/>
  <c r="H21" i="18" s="1"/>
  <c r="H22" i="18" s="1"/>
  <c r="H19" i="14"/>
  <c r="E152" i="8"/>
  <c r="H129" i="17"/>
  <c r="E175" i="8"/>
  <c r="H18" i="31"/>
  <c r="E218" i="8"/>
  <c r="B91" i="8"/>
  <c r="A213" i="11"/>
  <c r="G204" i="8"/>
  <c r="F123" i="8"/>
  <c r="H157" i="34"/>
  <c r="H267" i="8" s="1"/>
  <c r="G267" i="8" s="1"/>
  <c r="E171" i="8"/>
  <c r="H41" i="17"/>
  <c r="E132" i="8"/>
  <c r="H136" i="12"/>
  <c r="E164" i="8"/>
  <c r="H98" i="16"/>
  <c r="H334" i="34"/>
  <c r="E265" i="8"/>
  <c r="H21" i="37"/>
  <c r="H22" i="37" s="1"/>
  <c r="H23" i="37" s="1"/>
  <c r="P22" i="37"/>
  <c r="H261" i="8" s="1"/>
  <c r="G261" i="8" s="1"/>
  <c r="I47" i="8"/>
  <c r="F47" i="8"/>
  <c r="J47" i="8" s="1"/>
  <c r="H41" i="34"/>
  <c r="E283" i="8"/>
  <c r="H19" i="27"/>
  <c r="E202" i="8"/>
  <c r="E133" i="8"/>
  <c r="H159" i="12"/>
  <c r="E130" i="8"/>
  <c r="K130" i="8" s="1"/>
  <c r="H90" i="12"/>
  <c r="H796" i="35"/>
  <c r="E290" i="8"/>
  <c r="H200" i="34"/>
  <c r="E264" i="8"/>
  <c r="H215" i="17"/>
  <c r="E179" i="8"/>
  <c r="H320" i="12"/>
  <c r="E140" i="8"/>
  <c r="H274" i="12"/>
  <c r="E138" i="8"/>
  <c r="H227" i="8"/>
  <c r="G227" i="8" s="1"/>
  <c r="H228" i="8"/>
  <c r="G228" i="8" s="1"/>
  <c r="H797" i="35" l="1"/>
  <c r="H256" i="8" s="1"/>
  <c r="G256" i="8" s="1"/>
  <c r="E257" i="8"/>
  <c r="C49" i="56" s="1"/>
  <c r="H822" i="35"/>
  <c r="H257" i="8" s="1"/>
  <c r="G257" i="8" s="1"/>
  <c r="H74" i="18"/>
  <c r="H184" i="8" s="1"/>
  <c r="G184" i="8" s="1"/>
  <c r="E184" i="8"/>
  <c r="H846" i="35"/>
  <c r="H210" i="35"/>
  <c r="H211" i="35" s="1"/>
  <c r="H212" i="35" s="1"/>
  <c r="H213" i="35" s="1"/>
  <c r="H214" i="35" s="1"/>
  <c r="H215" i="35" s="1"/>
  <c r="H216" i="35" s="1"/>
  <c r="H434" i="12"/>
  <c r="E144" i="8"/>
  <c r="H82" i="35"/>
  <c r="H84" i="35" s="1"/>
  <c r="H85" i="35" s="1"/>
  <c r="H86" i="35" s="1"/>
  <c r="H87" i="35" s="1"/>
  <c r="H88" i="35" s="1"/>
  <c r="H113" i="35"/>
  <c r="H115" i="35" s="1"/>
  <c r="H116" i="35" s="1"/>
  <c r="H117" i="35" s="1"/>
  <c r="H118" i="35" s="1"/>
  <c r="H119" i="35" s="1"/>
  <c r="C48" i="56"/>
  <c r="K256" i="8"/>
  <c r="C47" i="56"/>
  <c r="K255" i="8"/>
  <c r="I23" i="8"/>
  <c r="I24" i="8"/>
  <c r="I22" i="8"/>
  <c r="K22" i="8"/>
  <c r="H55" i="35"/>
  <c r="H56" i="35" s="1"/>
  <c r="H57" i="35" s="1"/>
  <c r="E223" i="8" s="1"/>
  <c r="C32" i="56" s="1"/>
  <c r="H271" i="35"/>
  <c r="H90" i="51"/>
  <c r="H44" i="12"/>
  <c r="H246" i="35"/>
  <c r="H136" i="51"/>
  <c r="H24" i="35"/>
  <c r="H25" i="35" s="1"/>
  <c r="H26" i="35" s="1"/>
  <c r="H27" i="35" s="1"/>
  <c r="H180" i="35"/>
  <c r="H181" i="35"/>
  <c r="I30" i="8"/>
  <c r="H123" i="11"/>
  <c r="E75" i="8"/>
  <c r="F75" i="8" s="1"/>
  <c r="J75" i="8" s="1"/>
  <c r="A302" i="35"/>
  <c r="B236" i="8"/>
  <c r="H21" i="12"/>
  <c r="E127" i="8"/>
  <c r="H118" i="18"/>
  <c r="H119" i="18" s="1"/>
  <c r="H120" i="18" s="1"/>
  <c r="H121" i="18" s="1"/>
  <c r="H122" i="18" s="1"/>
  <c r="E186" i="8" s="1"/>
  <c r="H83" i="55"/>
  <c r="H275" i="8" s="1"/>
  <c r="G275" i="8" s="1"/>
  <c r="H93" i="18"/>
  <c r="H94" i="18" s="1"/>
  <c r="H95" i="18" s="1"/>
  <c r="H96" i="18" s="1"/>
  <c r="H97" i="18" s="1"/>
  <c r="E185" i="8" s="1"/>
  <c r="H597" i="35"/>
  <c r="H248" i="8" s="1"/>
  <c r="G248" i="8" s="1"/>
  <c r="I248" i="8" s="1"/>
  <c r="H596" i="35"/>
  <c r="C51" i="56"/>
  <c r="C52" i="56" s="1"/>
  <c r="I196" i="8"/>
  <c r="C22" i="56"/>
  <c r="H418" i="35"/>
  <c r="H419" i="35" s="1"/>
  <c r="H420" i="35" s="1"/>
  <c r="H29" i="35"/>
  <c r="H222" i="8" s="1"/>
  <c r="G222" i="8" s="1"/>
  <c r="H125" i="55"/>
  <c r="H277" i="8" s="1"/>
  <c r="G277" i="8" s="1"/>
  <c r="H472" i="35"/>
  <c r="H243" i="8" s="1"/>
  <c r="G243" i="8" s="1"/>
  <c r="I243" i="8" s="1"/>
  <c r="H471" i="35"/>
  <c r="H385" i="12"/>
  <c r="H386" i="12" s="1"/>
  <c r="H387" i="12" s="1"/>
  <c r="H388" i="12" s="1"/>
  <c r="E143" i="8" s="1"/>
  <c r="I143" i="8" s="1"/>
  <c r="H642" i="35"/>
  <c r="H643" i="35" s="1"/>
  <c r="H644" i="35" s="1"/>
  <c r="H645" i="35" s="1"/>
  <c r="E250" i="8" s="1"/>
  <c r="I250" i="8" s="1"/>
  <c r="E249" i="8"/>
  <c r="F249" i="8" s="1"/>
  <c r="H622" i="35"/>
  <c r="H249" i="8" s="1"/>
  <c r="G249" i="8" s="1"/>
  <c r="H692" i="35"/>
  <c r="H693" i="35" s="1"/>
  <c r="H694" i="35" s="1"/>
  <c r="H695" i="35" s="1"/>
  <c r="E252" i="8" s="1"/>
  <c r="F252" i="8" s="1"/>
  <c r="J252" i="8" s="1"/>
  <c r="H442" i="35"/>
  <c r="H443" i="35" s="1"/>
  <c r="H444" i="35" s="1"/>
  <c r="H445" i="35" s="1"/>
  <c r="H446" i="35" s="1"/>
  <c r="H103" i="55"/>
  <c r="E277" i="8"/>
  <c r="H104" i="55"/>
  <c r="H276" i="8" s="1"/>
  <c r="G276" i="8" s="1"/>
  <c r="I276" i="8" s="1"/>
  <c r="E237" i="8"/>
  <c r="F237" i="8" s="1"/>
  <c r="H322" i="35"/>
  <c r="H237" i="8" s="1"/>
  <c r="G237" i="8" s="1"/>
  <c r="H496" i="35"/>
  <c r="H40" i="55"/>
  <c r="E273" i="8"/>
  <c r="H315" i="8"/>
  <c r="G315" i="8" s="1"/>
  <c r="H316" i="8"/>
  <c r="G316" i="8" s="1"/>
  <c r="I274" i="8"/>
  <c r="F274" i="8"/>
  <c r="J274" i="8" s="1"/>
  <c r="F272" i="8"/>
  <c r="J272" i="8" s="1"/>
  <c r="I272" i="8"/>
  <c r="F276" i="8"/>
  <c r="H82" i="55"/>
  <c r="E275" i="8"/>
  <c r="F275" i="8" s="1"/>
  <c r="A319" i="8"/>
  <c r="A316" i="8"/>
  <c r="A322" i="8" s="1"/>
  <c r="J219" i="8"/>
  <c r="C17" i="56"/>
  <c r="H292" i="35"/>
  <c r="H293" i="35" s="1"/>
  <c r="H294" i="35" s="1"/>
  <c r="H295" i="35" s="1"/>
  <c r="E236" i="8" s="1"/>
  <c r="I236" i="8" s="1"/>
  <c r="H18" i="11"/>
  <c r="E58" i="8"/>
  <c r="I58" i="8" s="1"/>
  <c r="H22" i="49"/>
  <c r="H23" i="49" s="1"/>
  <c r="H30" i="38"/>
  <c r="H31" i="38" s="1"/>
  <c r="H82" i="53"/>
  <c r="E331" i="8"/>
  <c r="H40" i="53"/>
  <c r="E325" i="8"/>
  <c r="H61" i="53"/>
  <c r="E328" i="8"/>
  <c r="E235" i="8"/>
  <c r="K235" i="8" s="1"/>
  <c r="H247" i="35"/>
  <c r="H397" i="35"/>
  <c r="H240" i="8" s="1"/>
  <c r="G240" i="8" s="1"/>
  <c r="I240" i="8" s="1"/>
  <c r="H542" i="35"/>
  <c r="H543" i="35" s="1"/>
  <c r="H544" i="35" s="1"/>
  <c r="H545" i="35" s="1"/>
  <c r="E246" i="8" s="1"/>
  <c r="I246" i="8" s="1"/>
  <c r="H422" i="35"/>
  <c r="H241" i="8" s="1"/>
  <c r="G241" i="8" s="1"/>
  <c r="H48" i="38"/>
  <c r="N48" i="38" s="1"/>
  <c r="R48" i="38" s="1"/>
  <c r="E271" i="8"/>
  <c r="F271" i="8" s="1"/>
  <c r="J271" i="8" s="1"/>
  <c r="H14" i="38"/>
  <c r="H15" i="38" s="1"/>
  <c r="H38" i="46"/>
  <c r="H39" i="46" s="1"/>
  <c r="N39" i="46" s="1"/>
  <c r="R39" i="46" s="1"/>
  <c r="H19" i="53"/>
  <c r="E322" i="8"/>
  <c r="H672" i="35"/>
  <c r="H251" i="8" s="1"/>
  <c r="G251" i="8" s="1"/>
  <c r="H59" i="35"/>
  <c r="H223" i="8" s="1"/>
  <c r="G223" i="8" s="1"/>
  <c r="H522" i="35"/>
  <c r="H245" i="8" s="1"/>
  <c r="G245" i="8" s="1"/>
  <c r="I245" i="8" s="1"/>
  <c r="F178" i="8"/>
  <c r="J178" i="8" s="1"/>
  <c r="H68" i="45"/>
  <c r="H69" i="45" s="1"/>
  <c r="E247" i="8"/>
  <c r="F247" i="8" s="1"/>
  <c r="H521" i="35"/>
  <c r="E251" i="8"/>
  <c r="H497" i="35"/>
  <c r="H244" i="8" s="1"/>
  <c r="G244" i="8" s="1"/>
  <c r="I244" i="8" s="1"/>
  <c r="H746" i="35"/>
  <c r="E174" i="8"/>
  <c r="F174" i="8" s="1"/>
  <c r="J174" i="8" s="1"/>
  <c r="H572" i="35"/>
  <c r="H247" i="8" s="1"/>
  <c r="G247" i="8" s="1"/>
  <c r="H396" i="35"/>
  <c r="I177" i="8"/>
  <c r="H346" i="35"/>
  <c r="E253" i="8"/>
  <c r="F253" i="8" s="1"/>
  <c r="H24" i="49"/>
  <c r="H319" i="8" s="1"/>
  <c r="G319" i="8" s="1"/>
  <c r="E76" i="8"/>
  <c r="F76" i="8" s="1"/>
  <c r="J76" i="8" s="1"/>
  <c r="H195" i="17"/>
  <c r="H15" i="34"/>
  <c r="H16" i="34" s="1"/>
  <c r="H17" i="34" s="1"/>
  <c r="H18" i="34" s="1"/>
  <c r="H19" i="34" s="1"/>
  <c r="H20" i="34" s="1"/>
  <c r="E161" i="8"/>
  <c r="I161" i="8" s="1"/>
  <c r="H149" i="9"/>
  <c r="H272" i="35"/>
  <c r="H235" i="8" s="1"/>
  <c r="G235" i="8" s="1"/>
  <c r="H228" i="9"/>
  <c r="H31" i="8" s="1"/>
  <c r="G31" i="8" s="1"/>
  <c r="F27" i="8"/>
  <c r="J27" i="8" s="1"/>
  <c r="H722" i="35"/>
  <c r="H253" i="8" s="1"/>
  <c r="G253" i="8" s="1"/>
  <c r="H347" i="35"/>
  <c r="H238" i="8" s="1"/>
  <c r="G238" i="8" s="1"/>
  <c r="I238" i="8" s="1"/>
  <c r="J177" i="8"/>
  <c r="H747" i="35"/>
  <c r="H254" i="8" s="1"/>
  <c r="G254" i="8" s="1"/>
  <c r="I254" i="8" s="1"/>
  <c r="V11" i="38"/>
  <c r="V12" i="38" s="1"/>
  <c r="V14" i="38" s="1"/>
  <c r="AA11" i="38"/>
  <c r="P14" i="38"/>
  <c r="H269" i="8" s="1"/>
  <c r="G269" i="8" s="1"/>
  <c r="H67" i="29"/>
  <c r="H214" i="8" s="1"/>
  <c r="G214" i="8" s="1"/>
  <c r="I214" i="8" s="1"/>
  <c r="H247" i="12"/>
  <c r="H248" i="12" s="1"/>
  <c r="H249" i="12" s="1"/>
  <c r="H250" i="12" s="1"/>
  <c r="H251" i="12" s="1"/>
  <c r="H39" i="11"/>
  <c r="H60" i="11"/>
  <c r="E60" i="8"/>
  <c r="E209" i="8"/>
  <c r="H61" i="28"/>
  <c r="E284" i="8"/>
  <c r="F284" i="8" s="1"/>
  <c r="H64" i="34"/>
  <c r="H57" i="27"/>
  <c r="H58" i="27" s="1"/>
  <c r="H59" i="27" s="1"/>
  <c r="H60" i="27" s="1"/>
  <c r="H65" i="34"/>
  <c r="H284" i="8" s="1"/>
  <c r="G284" i="8" s="1"/>
  <c r="H43" i="29"/>
  <c r="H213" i="8" s="1"/>
  <c r="G213" i="8" s="1"/>
  <c r="I213" i="8" s="1"/>
  <c r="H291" i="11"/>
  <c r="H333" i="11"/>
  <c r="H401" i="9"/>
  <c r="H402" i="9" s="1"/>
  <c r="E31" i="8"/>
  <c r="F31" i="8" s="1"/>
  <c r="H260" i="9"/>
  <c r="H261" i="9" s="1"/>
  <c r="H262" i="9" s="1"/>
  <c r="H263" i="9" s="1"/>
  <c r="H264" i="9" s="1"/>
  <c r="E33" i="8" s="1"/>
  <c r="I33" i="8" s="1"/>
  <c r="H241" i="9"/>
  <c r="H242" i="9" s="1"/>
  <c r="H243" i="9" s="1"/>
  <c r="H244" i="9" s="1"/>
  <c r="H245" i="9" s="1"/>
  <c r="E32" i="8" s="1"/>
  <c r="F32" i="8" s="1"/>
  <c r="J32" i="8" s="1"/>
  <c r="H380" i="9"/>
  <c r="H381" i="9" s="1"/>
  <c r="H382" i="9" s="1"/>
  <c r="H383" i="9" s="1"/>
  <c r="H384" i="9" s="1"/>
  <c r="H385" i="9" s="1"/>
  <c r="H164" i="9"/>
  <c r="H165" i="9" s="1"/>
  <c r="H166" i="9" s="1"/>
  <c r="H167" i="9" s="1"/>
  <c r="E28" i="8" s="1"/>
  <c r="K24" i="8" s="1"/>
  <c r="H298" i="9"/>
  <c r="H299" i="9" s="1"/>
  <c r="H300" i="9" s="1"/>
  <c r="H301" i="9" s="1"/>
  <c r="H302" i="9" s="1"/>
  <c r="E35" i="8" s="1"/>
  <c r="I35" i="8" s="1"/>
  <c r="H279" i="9"/>
  <c r="H280" i="9" s="1"/>
  <c r="H281" i="9" s="1"/>
  <c r="H282" i="9" s="1"/>
  <c r="H283" i="9" s="1"/>
  <c r="H284" i="9" s="1"/>
  <c r="H227" i="9"/>
  <c r="H359" i="9"/>
  <c r="H360" i="9" s="1"/>
  <c r="H365" i="9" s="1"/>
  <c r="H38" i="8" s="1"/>
  <c r="G38" i="8" s="1"/>
  <c r="H338" i="9"/>
  <c r="H339" i="9" s="1"/>
  <c r="H344" i="9" s="1"/>
  <c r="H37" i="8" s="1"/>
  <c r="G37" i="8" s="1"/>
  <c r="E173" i="8"/>
  <c r="F173" i="8" s="1"/>
  <c r="J173" i="8" s="1"/>
  <c r="J149" i="8"/>
  <c r="H158" i="16"/>
  <c r="F285" i="8"/>
  <c r="J285" i="8" s="1"/>
  <c r="H42" i="29"/>
  <c r="H18" i="29"/>
  <c r="E163" i="8"/>
  <c r="F163" i="8" s="1"/>
  <c r="J163" i="8" s="1"/>
  <c r="E160" i="8"/>
  <c r="F160" i="8" s="1"/>
  <c r="J160" i="8" s="1"/>
  <c r="I91" i="8"/>
  <c r="E172" i="8"/>
  <c r="K172" i="8" s="1"/>
  <c r="H138" i="16"/>
  <c r="I109" i="8"/>
  <c r="E292" i="8"/>
  <c r="F292" i="8" s="1"/>
  <c r="H64" i="8"/>
  <c r="H65" i="8" s="1"/>
  <c r="E111" i="8"/>
  <c r="E112" i="8" s="1"/>
  <c r="E294" i="8"/>
  <c r="I294" i="8" s="1"/>
  <c r="J162" i="8"/>
  <c r="E93" i="8"/>
  <c r="I93" i="8" s="1"/>
  <c r="H292" i="8"/>
  <c r="G292" i="8" s="1"/>
  <c r="H207" i="11"/>
  <c r="J123" i="8"/>
  <c r="E165" i="8"/>
  <c r="I165" i="8" s="1"/>
  <c r="H269" i="34"/>
  <c r="H293" i="8" s="1"/>
  <c r="G293" i="8" s="1"/>
  <c r="J189" i="8"/>
  <c r="H66" i="29"/>
  <c r="H79" i="8"/>
  <c r="H80" i="8" s="1"/>
  <c r="I194" i="8"/>
  <c r="J77" i="8"/>
  <c r="I108" i="8"/>
  <c r="I59" i="8"/>
  <c r="E124" i="8"/>
  <c r="I124" i="8" s="1"/>
  <c r="H19" i="45"/>
  <c r="H20" i="45" s="1"/>
  <c r="H21" i="45" s="1"/>
  <c r="H22" i="45" s="1"/>
  <c r="E92" i="8"/>
  <c r="F92" i="8" s="1"/>
  <c r="J92" i="8" s="1"/>
  <c r="H205" i="12"/>
  <c r="E155" i="8"/>
  <c r="I155" i="8" s="1"/>
  <c r="H312" i="11"/>
  <c r="I107" i="8"/>
  <c r="E61" i="8"/>
  <c r="F61" i="8" s="1"/>
  <c r="J61" i="8" s="1"/>
  <c r="G111" i="8"/>
  <c r="H67" i="12"/>
  <c r="H343" i="12"/>
  <c r="E203" i="8"/>
  <c r="F203" i="8" s="1"/>
  <c r="J203" i="8" s="1"/>
  <c r="E131" i="8"/>
  <c r="F131" i="8" s="1"/>
  <c r="J131" i="8" s="1"/>
  <c r="H771" i="35"/>
  <c r="H35" i="37"/>
  <c r="P36" i="37" s="1"/>
  <c r="H262" i="8" s="1"/>
  <c r="G262" i="8" s="1"/>
  <c r="E289" i="8"/>
  <c r="F289" i="8" s="1"/>
  <c r="J289" i="8" s="1"/>
  <c r="E134" i="8"/>
  <c r="K134" i="8" s="1"/>
  <c r="H290" i="8"/>
  <c r="G290" i="8" s="1"/>
  <c r="I290" i="8" s="1"/>
  <c r="H148" i="35"/>
  <c r="H149" i="35"/>
  <c r="H150" i="35"/>
  <c r="E234" i="8"/>
  <c r="I234" i="8" s="1"/>
  <c r="H96" i="8"/>
  <c r="G96" i="8" s="1"/>
  <c r="H11" i="46"/>
  <c r="H12" i="46" s="1"/>
  <c r="H13" i="46" s="1"/>
  <c r="F196" i="8"/>
  <c r="J196" i="8" s="1"/>
  <c r="E128" i="8"/>
  <c r="H12" i="40"/>
  <c r="M40" i="45"/>
  <c r="H41" i="45" s="1"/>
  <c r="H42" i="45" s="1"/>
  <c r="H184" i="35"/>
  <c r="H182" i="35"/>
  <c r="E232" i="8" s="1"/>
  <c r="C41" i="56" s="1"/>
  <c r="M89" i="45"/>
  <c r="H90" i="45" s="1"/>
  <c r="H91" i="45" s="1"/>
  <c r="H92" i="45" s="1"/>
  <c r="F213" i="8"/>
  <c r="I260" i="8"/>
  <c r="F260" i="8"/>
  <c r="J260" i="8" s="1"/>
  <c r="F248" i="8"/>
  <c r="F256" i="8"/>
  <c r="J256" i="8" s="1"/>
  <c r="I256" i="8"/>
  <c r="F202" i="8"/>
  <c r="J202" i="8" s="1"/>
  <c r="I202" i="8"/>
  <c r="F243" i="8"/>
  <c r="E261" i="8"/>
  <c r="N23" i="37"/>
  <c r="R23" i="37" s="1"/>
  <c r="F164" i="8"/>
  <c r="J164" i="8" s="1"/>
  <c r="I164" i="8"/>
  <c r="F255" i="8"/>
  <c r="J255" i="8" s="1"/>
  <c r="I255" i="8"/>
  <c r="F132" i="8"/>
  <c r="J132" i="8" s="1"/>
  <c r="I132" i="8"/>
  <c r="I171" i="8"/>
  <c r="F171" i="8"/>
  <c r="J171" i="8" s="1"/>
  <c r="F175" i="8"/>
  <c r="J175" i="8" s="1"/>
  <c r="I175" i="8"/>
  <c r="P54" i="37"/>
  <c r="H54" i="37"/>
  <c r="H55" i="37" s="1"/>
  <c r="H56" i="37" s="1"/>
  <c r="F245" i="8"/>
  <c r="I157" i="8"/>
  <c r="F157" i="8"/>
  <c r="J157" i="8" s="1"/>
  <c r="E156" i="8"/>
  <c r="H103" i="14"/>
  <c r="F139" i="8"/>
  <c r="J139" i="8" s="1"/>
  <c r="I139" i="8"/>
  <c r="F136" i="8"/>
  <c r="J136" i="8" s="1"/>
  <c r="I136" i="8"/>
  <c r="H113" i="8"/>
  <c r="G112" i="8"/>
  <c r="F267" i="8"/>
  <c r="J267" i="8" s="1"/>
  <c r="I267" i="8"/>
  <c r="F254" i="8"/>
  <c r="I239" i="8"/>
  <c r="F239" i="8"/>
  <c r="J239" i="8" s="1"/>
  <c r="F153" i="8"/>
  <c r="J153" i="8" s="1"/>
  <c r="I153" i="8"/>
  <c r="F279" i="8"/>
  <c r="J279" i="8" s="1"/>
  <c r="I279" i="8"/>
  <c r="E52" i="8"/>
  <c r="H105" i="10"/>
  <c r="V35" i="37"/>
  <c r="Z34" i="37"/>
  <c r="AB34" i="37" s="1"/>
  <c r="A61" i="32"/>
  <c r="G59" i="32"/>
  <c r="A27" i="33" s="1"/>
  <c r="F135" i="8"/>
  <c r="J135" i="8" s="1"/>
  <c r="I135" i="8"/>
  <c r="F311" i="8"/>
  <c r="J311" i="8" s="1"/>
  <c r="I311" i="8"/>
  <c r="F215" i="8"/>
  <c r="J215" i="8" s="1"/>
  <c r="I215" i="8"/>
  <c r="A184" i="34"/>
  <c r="B289" i="8"/>
  <c r="F29" i="8"/>
  <c r="J29" i="8" s="1"/>
  <c r="I29" i="8"/>
  <c r="V12" i="40"/>
  <c r="Z11" i="40"/>
  <c r="F240" i="8"/>
  <c r="I138" i="8"/>
  <c r="F138" i="8"/>
  <c r="J138" i="8" s="1"/>
  <c r="F140" i="8"/>
  <c r="J140" i="8" s="1"/>
  <c r="I140" i="8"/>
  <c r="F179" i="8"/>
  <c r="J179" i="8" s="1"/>
  <c r="I179" i="8"/>
  <c r="F264" i="8"/>
  <c r="J264" i="8" s="1"/>
  <c r="I264" i="8"/>
  <c r="F290" i="8"/>
  <c r="F141" i="8"/>
  <c r="J141" i="8" s="1"/>
  <c r="I141" i="8"/>
  <c r="I129" i="8"/>
  <c r="F129" i="8"/>
  <c r="J129" i="8" s="1"/>
  <c r="F130" i="8"/>
  <c r="J130" i="8" s="1"/>
  <c r="I130" i="8"/>
  <c r="F133" i="8"/>
  <c r="J133" i="8" s="1"/>
  <c r="I133" i="8"/>
  <c r="I283" i="8"/>
  <c r="F283" i="8"/>
  <c r="J283" i="8" s="1"/>
  <c r="I265" i="8"/>
  <c r="F265" i="8"/>
  <c r="J265" i="8" s="1"/>
  <c r="F214" i="8"/>
  <c r="F212" i="8"/>
  <c r="J212" i="8" s="1"/>
  <c r="I212" i="8"/>
  <c r="B92" i="8"/>
  <c r="A234" i="11"/>
  <c r="F218" i="8"/>
  <c r="J218" i="8" s="1"/>
  <c r="I218" i="8"/>
  <c r="I166" i="8"/>
  <c r="F166" i="8"/>
  <c r="J166" i="8" s="1"/>
  <c r="I152" i="8"/>
  <c r="F152" i="8"/>
  <c r="J152" i="8" s="1"/>
  <c r="E182" i="8"/>
  <c r="C21" i="56" s="1"/>
  <c r="H23" i="18"/>
  <c r="A201" i="17"/>
  <c r="B179" i="8" s="1"/>
  <c r="B178" i="8"/>
  <c r="F148" i="8"/>
  <c r="J148" i="8" s="1"/>
  <c r="I148" i="8"/>
  <c r="V53" i="37"/>
  <c r="Z52" i="37"/>
  <c r="AB52" i="37" s="1"/>
  <c r="I167" i="8"/>
  <c r="F167" i="8"/>
  <c r="J167" i="8" s="1"/>
  <c r="A212" i="9"/>
  <c r="B30" i="8"/>
  <c r="H86" i="10"/>
  <c r="E51" i="8"/>
  <c r="F244" i="8"/>
  <c r="F257" i="8"/>
  <c r="J257" i="8" s="1"/>
  <c r="I257" i="8"/>
  <c r="F238" i="8"/>
  <c r="V21" i="37"/>
  <c r="W21" i="37"/>
  <c r="Z20" i="37"/>
  <c r="F142" i="8"/>
  <c r="J142" i="8" s="1"/>
  <c r="I142" i="8"/>
  <c r="F79" i="8"/>
  <c r="E80" i="8"/>
  <c r="B13" i="8"/>
  <c r="A166" i="7"/>
  <c r="F154" i="8"/>
  <c r="J154" i="8" s="1"/>
  <c r="I154" i="8"/>
  <c r="F184" i="8"/>
  <c r="F30" i="8"/>
  <c r="J30" i="8" s="1"/>
  <c r="F147" i="8"/>
  <c r="J147" i="8" s="1"/>
  <c r="I147" i="8"/>
  <c r="H268" i="34"/>
  <c r="E293" i="8"/>
  <c r="I176" i="8"/>
  <c r="F176" i="8"/>
  <c r="J176" i="8" s="1"/>
  <c r="E183" i="8"/>
  <c r="K183" i="8" s="1"/>
  <c r="H48" i="18"/>
  <c r="W12" i="40"/>
  <c r="AA11" i="40"/>
  <c r="F278" i="8"/>
  <c r="J278" i="8" s="1"/>
  <c r="I278" i="8"/>
  <c r="H151" i="35" l="1"/>
  <c r="E230" i="8"/>
  <c r="K230" i="8" s="1"/>
  <c r="K257" i="8"/>
  <c r="E228" i="8"/>
  <c r="C37" i="56" s="1"/>
  <c r="H186" i="35"/>
  <c r="J184" i="8"/>
  <c r="I184" i="8"/>
  <c r="F144" i="8"/>
  <c r="J144" i="8" s="1"/>
  <c r="K144" i="8"/>
  <c r="I144" i="8"/>
  <c r="K128" i="8"/>
  <c r="C8" i="56"/>
  <c r="K51" i="8"/>
  <c r="F223" i="8"/>
  <c r="J223" i="8" s="1"/>
  <c r="H123" i="18"/>
  <c r="I223" i="8"/>
  <c r="H120" i="35"/>
  <c r="F225" i="8" s="1"/>
  <c r="J225" i="8" s="1"/>
  <c r="E225" i="8"/>
  <c r="C39" i="56"/>
  <c r="H185" i="35"/>
  <c r="F28" i="8"/>
  <c r="J28" i="8" s="1"/>
  <c r="A327" i="35"/>
  <c r="B237" i="8"/>
  <c r="J275" i="8"/>
  <c r="H98" i="18"/>
  <c r="J248" i="8"/>
  <c r="H90" i="35"/>
  <c r="H224" i="8" s="1"/>
  <c r="G224" i="8" s="1"/>
  <c r="J243" i="8"/>
  <c r="F127" i="8"/>
  <c r="J127" i="8" s="1"/>
  <c r="C11" i="56"/>
  <c r="F172" i="8"/>
  <c r="J172" i="8" s="1"/>
  <c r="C20" i="56"/>
  <c r="H421" i="35"/>
  <c r="E241" i="8"/>
  <c r="F235" i="8"/>
  <c r="J235" i="8" s="1"/>
  <c r="C43" i="56"/>
  <c r="F250" i="8"/>
  <c r="J250" i="8" s="1"/>
  <c r="F143" i="8"/>
  <c r="J143" i="8" s="1"/>
  <c r="H646" i="35"/>
  <c r="I252" i="8"/>
  <c r="H696" i="35"/>
  <c r="I277" i="8"/>
  <c r="F277" i="8"/>
  <c r="J277" i="8" s="1"/>
  <c r="H296" i="35"/>
  <c r="K140" i="8"/>
  <c r="H389" i="12"/>
  <c r="I237" i="8"/>
  <c r="I249" i="8"/>
  <c r="J237" i="8"/>
  <c r="J276" i="8"/>
  <c r="J249" i="8"/>
  <c r="E242" i="8"/>
  <c r="F242" i="8" s="1"/>
  <c r="J242" i="8" s="1"/>
  <c r="H265" i="9"/>
  <c r="F161" i="8"/>
  <c r="J161" i="8" s="1"/>
  <c r="E34" i="8"/>
  <c r="I34" i="8" s="1"/>
  <c r="H303" i="9"/>
  <c r="I235" i="8"/>
  <c r="H546" i="35"/>
  <c r="E319" i="8"/>
  <c r="F319" i="8" s="1"/>
  <c r="J319" i="8" s="1"/>
  <c r="J31" i="8"/>
  <c r="N22" i="45"/>
  <c r="R22" i="45" s="1"/>
  <c r="L21" i="45"/>
  <c r="E316" i="8" s="1"/>
  <c r="F273" i="8"/>
  <c r="J273" i="8" s="1"/>
  <c r="I273" i="8"/>
  <c r="I275" i="8"/>
  <c r="A325" i="8"/>
  <c r="A328" i="8" s="1"/>
  <c r="A331" i="8" s="1"/>
  <c r="J245" i="8"/>
  <c r="F58" i="8"/>
  <c r="J58" i="8" s="1"/>
  <c r="F236" i="8"/>
  <c r="J236" i="8" s="1"/>
  <c r="J240" i="8"/>
  <c r="I271" i="8"/>
  <c r="F246" i="8"/>
  <c r="J246" i="8" s="1"/>
  <c r="I174" i="8"/>
  <c r="F124" i="8"/>
  <c r="J124" i="8" s="1"/>
  <c r="J244" i="8"/>
  <c r="I251" i="8"/>
  <c r="I76" i="8"/>
  <c r="H32" i="38"/>
  <c r="E270" i="8"/>
  <c r="N69" i="45"/>
  <c r="R69" i="45" s="1"/>
  <c r="H16" i="38"/>
  <c r="E269" i="8"/>
  <c r="I269" i="8" s="1"/>
  <c r="I134" i="8"/>
  <c r="H43" i="45"/>
  <c r="H44" i="45" s="1"/>
  <c r="H45" i="45" s="1"/>
  <c r="N45" i="45" s="1"/>
  <c r="R45" i="45" s="1"/>
  <c r="I128" i="8"/>
  <c r="F322" i="8"/>
  <c r="J322" i="8" s="1"/>
  <c r="I322" i="8"/>
  <c r="I328" i="8"/>
  <c r="F328" i="8"/>
  <c r="J328" i="8" s="1"/>
  <c r="I325" i="8"/>
  <c r="F325" i="8"/>
  <c r="J325" i="8" s="1"/>
  <c r="F331" i="8"/>
  <c r="J331" i="8" s="1"/>
  <c r="I331" i="8"/>
  <c r="C13" i="56"/>
  <c r="E233" i="8"/>
  <c r="H217" i="35"/>
  <c r="H93" i="45"/>
  <c r="H94" i="45" s="1"/>
  <c r="N94" i="45" s="1"/>
  <c r="R94" i="45" s="1"/>
  <c r="Q19" i="40"/>
  <c r="H266" i="8" s="1"/>
  <c r="G266" i="8" s="1"/>
  <c r="H13" i="40"/>
  <c r="H14" i="40" s="1"/>
  <c r="J254" i="8"/>
  <c r="F251" i="8"/>
  <c r="J251" i="8" s="1"/>
  <c r="J238" i="8"/>
  <c r="I247" i="8"/>
  <c r="J253" i="8"/>
  <c r="I253" i="8"/>
  <c r="J247" i="8"/>
  <c r="H168" i="9"/>
  <c r="E282" i="8"/>
  <c r="I282" i="8" s="1"/>
  <c r="W14" i="38"/>
  <c r="Z12" i="38"/>
  <c r="AB12" i="38" s="1"/>
  <c r="AC12" i="38" s="1"/>
  <c r="Z11" i="38"/>
  <c r="AB11" i="38" s="1"/>
  <c r="J214" i="8"/>
  <c r="I32" i="8"/>
  <c r="E39" i="8"/>
  <c r="F39" i="8" s="1"/>
  <c r="E95" i="8"/>
  <c r="F95" i="8" s="1"/>
  <c r="J95" i="8" s="1"/>
  <c r="I284" i="8"/>
  <c r="H61" i="27"/>
  <c r="E204" i="8"/>
  <c r="F60" i="8"/>
  <c r="J60" i="8" s="1"/>
  <c r="I60" i="8"/>
  <c r="J284" i="8"/>
  <c r="F209" i="8"/>
  <c r="J209" i="8" s="1"/>
  <c r="I209" i="8"/>
  <c r="E137" i="8"/>
  <c r="F137" i="8" s="1"/>
  <c r="J137" i="8" s="1"/>
  <c r="I28" i="8"/>
  <c r="F33" i="8"/>
  <c r="J33" i="8" s="1"/>
  <c r="F35" i="8"/>
  <c r="J35" i="8" s="1"/>
  <c r="H386" i="9"/>
  <c r="H39" i="8" s="1"/>
  <c r="G39" i="8" s="1"/>
  <c r="J213" i="8"/>
  <c r="I31" i="8"/>
  <c r="H361" i="9"/>
  <c r="H362" i="9" s="1"/>
  <c r="H363" i="9" s="1"/>
  <c r="E38" i="8" s="1"/>
  <c r="I38" i="8" s="1"/>
  <c r="H246" i="9"/>
  <c r="H403" i="9"/>
  <c r="H404" i="9" s="1"/>
  <c r="H405" i="9" s="1"/>
  <c r="H407" i="9"/>
  <c r="H40" i="8" s="1"/>
  <c r="G40" i="8" s="1"/>
  <c r="H340" i="9"/>
  <c r="H341" i="9" s="1"/>
  <c r="H342" i="9" s="1"/>
  <c r="I173" i="8"/>
  <c r="I160" i="8"/>
  <c r="I172" i="8"/>
  <c r="I163" i="8"/>
  <c r="G64" i="8"/>
  <c r="F294" i="8"/>
  <c r="J294" i="8" s="1"/>
  <c r="F165" i="8"/>
  <c r="J165" i="8" s="1"/>
  <c r="F111" i="8"/>
  <c r="J111" i="8" s="1"/>
  <c r="I292" i="8"/>
  <c r="J292" i="8"/>
  <c r="H315" i="34"/>
  <c r="I289" i="8"/>
  <c r="I111" i="8"/>
  <c r="F93" i="8"/>
  <c r="J93" i="8" s="1"/>
  <c r="G79" i="8"/>
  <c r="I79" i="8" s="1"/>
  <c r="I75" i="8"/>
  <c r="J79" i="8"/>
  <c r="L20" i="45"/>
  <c r="J22" i="45" s="1"/>
  <c r="F155" i="8"/>
  <c r="J155" i="8" s="1"/>
  <c r="I92" i="8"/>
  <c r="I61" i="8"/>
  <c r="E63" i="8"/>
  <c r="F134" i="8"/>
  <c r="J134" i="8" s="1"/>
  <c r="I203" i="8"/>
  <c r="H36" i="37"/>
  <c r="H37" i="37" s="1"/>
  <c r="H38" i="37" s="1"/>
  <c r="N38" i="37" s="1"/>
  <c r="N13" i="46"/>
  <c r="R13" i="46" s="1"/>
  <c r="I127" i="8"/>
  <c r="I131" i="8"/>
  <c r="E268" i="8"/>
  <c r="F268" i="8" s="1"/>
  <c r="J268" i="8" s="1"/>
  <c r="J290" i="8"/>
  <c r="H152" i="35"/>
  <c r="E227" i="8"/>
  <c r="H97" i="8"/>
  <c r="H98" i="8" s="1"/>
  <c r="F128" i="8"/>
  <c r="J128" i="8" s="1"/>
  <c r="F234" i="8"/>
  <c r="J234" i="8" s="1"/>
  <c r="E231" i="8"/>
  <c r="H187" i="35"/>
  <c r="AB11" i="40"/>
  <c r="I293" i="8"/>
  <c r="F293" i="8"/>
  <c r="J293" i="8" s="1"/>
  <c r="A187" i="7"/>
  <c r="B14" i="8"/>
  <c r="F80" i="8"/>
  <c r="J80" i="8" s="1"/>
  <c r="E81" i="8"/>
  <c r="F232" i="8"/>
  <c r="J232" i="8" s="1"/>
  <c r="I232" i="8"/>
  <c r="F51" i="8"/>
  <c r="J51" i="8" s="1"/>
  <c r="I51" i="8"/>
  <c r="F186" i="8"/>
  <c r="J186" i="8" s="1"/>
  <c r="I186" i="8"/>
  <c r="A255" i="11"/>
  <c r="B93" i="8"/>
  <c r="V13" i="40"/>
  <c r="Z12" i="40"/>
  <c r="H89" i="35"/>
  <c r="E224" i="8"/>
  <c r="H114" i="8"/>
  <c r="G113" i="8"/>
  <c r="I156" i="8"/>
  <c r="F156" i="8"/>
  <c r="J156" i="8" s="1"/>
  <c r="F261" i="8"/>
  <c r="J261" i="8" s="1"/>
  <c r="I261" i="8"/>
  <c r="W13" i="40"/>
  <c r="AA12" i="40"/>
  <c r="I183" i="8"/>
  <c r="F183" i="8"/>
  <c r="J183" i="8" s="1"/>
  <c r="F185" i="8"/>
  <c r="J185" i="8" s="1"/>
  <c r="I185" i="8"/>
  <c r="AB20" i="37"/>
  <c r="AC20" i="37" s="1"/>
  <c r="B31" i="8"/>
  <c r="A233" i="9"/>
  <c r="W54" i="37"/>
  <c r="V54" i="37"/>
  <c r="Z53" i="37"/>
  <c r="F182" i="8"/>
  <c r="J182" i="8" s="1"/>
  <c r="I182" i="8"/>
  <c r="H66" i="8"/>
  <c r="G65" i="8"/>
  <c r="A206" i="34"/>
  <c r="B290" i="8"/>
  <c r="A62" i="32"/>
  <c r="G61" i="32"/>
  <c r="A29" i="33" s="1"/>
  <c r="W36" i="37"/>
  <c r="V36" i="37"/>
  <c r="Z35" i="37"/>
  <c r="I52" i="8"/>
  <c r="F52" i="8"/>
  <c r="J52" i="8" s="1"/>
  <c r="H28" i="35"/>
  <c r="E222" i="8"/>
  <c r="K222" i="8" s="1"/>
  <c r="H81" i="8"/>
  <c r="G80" i="8"/>
  <c r="I80" i="8" s="1"/>
  <c r="E113" i="8"/>
  <c r="F112" i="8"/>
  <c r="J112" i="8" s="1"/>
  <c r="I112" i="8"/>
  <c r="N56" i="37"/>
  <c r="R56" i="37" s="1"/>
  <c r="H263" i="8" s="1"/>
  <c r="G263" i="8" s="1"/>
  <c r="E263" i="8"/>
  <c r="F228" i="8" l="1"/>
  <c r="J228" i="8" s="1"/>
  <c r="F230" i="8"/>
  <c r="J230" i="8" s="1"/>
  <c r="I228" i="8"/>
  <c r="C12" i="56"/>
  <c r="C15" i="56"/>
  <c r="I241" i="8"/>
  <c r="K241" i="8"/>
  <c r="C42" i="56"/>
  <c r="K233" i="8"/>
  <c r="I225" i="8"/>
  <c r="K225" i="8"/>
  <c r="C33" i="56"/>
  <c r="K224" i="8"/>
  <c r="I230" i="8"/>
  <c r="A352" i="35"/>
  <c r="B238" i="8"/>
  <c r="F231" i="8"/>
  <c r="J231" i="8" s="1"/>
  <c r="C40" i="56"/>
  <c r="F63" i="8"/>
  <c r="J63" i="8" s="1"/>
  <c r="C9" i="56"/>
  <c r="C31" i="56"/>
  <c r="I227" i="8"/>
  <c r="C36" i="56"/>
  <c r="F241" i="8"/>
  <c r="J241" i="8" s="1"/>
  <c r="C45" i="56"/>
  <c r="I242" i="8"/>
  <c r="F34" i="8"/>
  <c r="J34" i="8" s="1"/>
  <c r="I319" i="8"/>
  <c r="F269" i="8"/>
  <c r="J269" i="8" s="1"/>
  <c r="I316" i="8"/>
  <c r="F316" i="8"/>
  <c r="J316" i="8" s="1"/>
  <c r="C14" i="56"/>
  <c r="H364" i="9"/>
  <c r="I270" i="8"/>
  <c r="F270" i="8"/>
  <c r="J270" i="8" s="1"/>
  <c r="N16" i="38"/>
  <c r="R16" i="38" s="1"/>
  <c r="H258" i="8" s="1"/>
  <c r="G258" i="8" s="1"/>
  <c r="E258" i="8"/>
  <c r="C50" i="56" s="1"/>
  <c r="N32" i="38"/>
  <c r="R32" i="38" s="1"/>
  <c r="H259" i="8" s="1"/>
  <c r="G259" i="8" s="1"/>
  <c r="E259" i="8"/>
  <c r="AD12" i="38"/>
  <c r="F233" i="8"/>
  <c r="J233" i="8" s="1"/>
  <c r="I233" i="8"/>
  <c r="F38" i="8"/>
  <c r="J38" i="8" s="1"/>
  <c r="F282" i="8"/>
  <c r="J282" i="8" s="1"/>
  <c r="V16" i="38"/>
  <c r="U16" i="38"/>
  <c r="W16" i="38"/>
  <c r="AE12" i="38"/>
  <c r="E96" i="8"/>
  <c r="I96" i="8" s="1"/>
  <c r="I95" i="8"/>
  <c r="I39" i="8"/>
  <c r="H15" i="40"/>
  <c r="H16" i="40" s="1"/>
  <c r="I268" i="8"/>
  <c r="I137" i="8"/>
  <c r="F204" i="8"/>
  <c r="J204" i="8" s="1"/>
  <c r="I204" i="8"/>
  <c r="J39" i="8"/>
  <c r="E40" i="8"/>
  <c r="H406" i="9"/>
  <c r="E37" i="8"/>
  <c r="H343" i="9"/>
  <c r="E315" i="8"/>
  <c r="F315" i="8" s="1"/>
  <c r="J315" i="8" s="1"/>
  <c r="F227" i="8"/>
  <c r="J227" i="8" s="1"/>
  <c r="I63" i="8"/>
  <c r="G97" i="8"/>
  <c r="E262" i="8"/>
  <c r="F262" i="8" s="1"/>
  <c r="J262" i="8" s="1"/>
  <c r="E64" i="8"/>
  <c r="I64" i="8" s="1"/>
  <c r="R38" i="37"/>
  <c r="I231" i="8"/>
  <c r="I263" i="8"/>
  <c r="F263" i="8"/>
  <c r="J263" i="8" s="1"/>
  <c r="F113" i="8"/>
  <c r="J113" i="8" s="1"/>
  <c r="E114" i="8"/>
  <c r="I113" i="8"/>
  <c r="H82" i="8"/>
  <c r="G81" i="8"/>
  <c r="I81" i="8" s="1"/>
  <c r="AB53" i="37"/>
  <c r="AC53" i="37" s="1"/>
  <c r="I224" i="8"/>
  <c r="F224" i="8"/>
  <c r="J224" i="8" s="1"/>
  <c r="A276" i="11"/>
  <c r="B94" i="8"/>
  <c r="G98" i="8"/>
  <c r="H99" i="8"/>
  <c r="F222" i="8"/>
  <c r="J222" i="8" s="1"/>
  <c r="I222" i="8"/>
  <c r="AB35" i="37"/>
  <c r="G62" i="32"/>
  <c r="A30" i="33" s="1"/>
  <c r="A63" i="32"/>
  <c r="B291" i="8"/>
  <c r="A228" i="34"/>
  <c r="G66" i="8"/>
  <c r="H67" i="8"/>
  <c r="A252" i="9"/>
  <c r="B32" i="8"/>
  <c r="AE20" i="37"/>
  <c r="AD20" i="37"/>
  <c r="AB12" i="40"/>
  <c r="G114" i="8"/>
  <c r="H115" i="8"/>
  <c r="E82" i="8"/>
  <c r="F81" i="8"/>
  <c r="J81" i="8" s="1"/>
  <c r="A208" i="7"/>
  <c r="B15" i="8"/>
  <c r="N16" i="40" l="1"/>
  <c r="R16" i="40" s="1"/>
  <c r="H17" i="40"/>
  <c r="E266" i="8" s="1"/>
  <c r="K266" i="8" s="1"/>
  <c r="B239" i="8"/>
  <c r="A377" i="35"/>
  <c r="E97" i="8"/>
  <c r="F97" i="8" s="1"/>
  <c r="J97" i="8" s="1"/>
  <c r="I258" i="8"/>
  <c r="F258" i="8"/>
  <c r="J258" i="8" s="1"/>
  <c r="F259" i="8"/>
  <c r="J259" i="8" s="1"/>
  <c r="I259" i="8"/>
  <c r="F96" i="8"/>
  <c r="J96" i="8" s="1"/>
  <c r="I315" i="8"/>
  <c r="N15" i="40"/>
  <c r="R15" i="40" s="1"/>
  <c r="AE12" i="40"/>
  <c r="F40" i="8"/>
  <c r="J40" i="8" s="1"/>
  <c r="I40" i="8"/>
  <c r="F37" i="8"/>
  <c r="J37" i="8" s="1"/>
  <c r="I37" i="8"/>
  <c r="J16" i="40"/>
  <c r="I262" i="8"/>
  <c r="F64" i="8"/>
  <c r="J64" i="8" s="1"/>
  <c r="E65" i="8"/>
  <c r="E66" i="8" s="1"/>
  <c r="F82" i="8"/>
  <c r="J82" i="8" s="1"/>
  <c r="E83" i="8"/>
  <c r="H68" i="8"/>
  <c r="G67" i="8"/>
  <c r="B292" i="8"/>
  <c r="A251" i="34"/>
  <c r="A64" i="32"/>
  <c r="G63" i="32"/>
  <c r="A31" i="33" s="1"/>
  <c r="AE35" i="37"/>
  <c r="AD35" i="37"/>
  <c r="G99" i="8"/>
  <c r="H100" i="8"/>
  <c r="B107" i="8"/>
  <c r="A297" i="11"/>
  <c r="G82" i="8"/>
  <c r="I82" i="8" s="1"/>
  <c r="H83" i="8"/>
  <c r="F114" i="8"/>
  <c r="J114" i="8" s="1"/>
  <c r="E115" i="8"/>
  <c r="I114" i="8"/>
  <c r="B16" i="8"/>
  <c r="A226" i="7"/>
  <c r="B17" i="8" s="1"/>
  <c r="AC12" i="40"/>
  <c r="H116" i="8"/>
  <c r="G115" i="8"/>
  <c r="AD12" i="40"/>
  <c r="B33" i="8"/>
  <c r="A271" i="9"/>
  <c r="AC35" i="37"/>
  <c r="AE53" i="37"/>
  <c r="AD53" i="37"/>
  <c r="K61" i="8" l="1"/>
  <c r="A402" i="35"/>
  <c r="B240" i="8"/>
  <c r="I97" i="8"/>
  <c r="E98" i="8"/>
  <c r="F98" i="8" s="1"/>
  <c r="J98" i="8" s="1"/>
  <c r="F266" i="8"/>
  <c r="J266" i="8" s="1"/>
  <c r="I266" i="8"/>
  <c r="F65" i="8"/>
  <c r="J65" i="8" s="1"/>
  <c r="I65" i="8"/>
  <c r="F66" i="8"/>
  <c r="J66" i="8" s="1"/>
  <c r="E67" i="8"/>
  <c r="I66" i="8"/>
  <c r="H117" i="8"/>
  <c r="G116" i="8"/>
  <c r="F115" i="8"/>
  <c r="J115" i="8" s="1"/>
  <c r="I115" i="8"/>
  <c r="E116" i="8"/>
  <c r="H84" i="8"/>
  <c r="G83" i="8"/>
  <c r="I83" i="8" s="1"/>
  <c r="B108" i="8"/>
  <c r="A318" i="11"/>
  <c r="A65" i="32"/>
  <c r="G64" i="32"/>
  <c r="A32" i="33" s="1"/>
  <c r="H69" i="8"/>
  <c r="G68" i="8"/>
  <c r="A290" i="9"/>
  <c r="B34" i="8"/>
  <c r="G100" i="8"/>
  <c r="H101" i="8"/>
  <c r="A274" i="34"/>
  <c r="B293" i="8"/>
  <c r="F83" i="8"/>
  <c r="J83" i="8" s="1"/>
  <c r="E84" i="8"/>
  <c r="B241" i="8" l="1"/>
  <c r="A427" i="35"/>
  <c r="E99" i="8"/>
  <c r="E100" i="8" s="1"/>
  <c r="F100" i="8" s="1"/>
  <c r="J100" i="8" s="1"/>
  <c r="I98" i="8"/>
  <c r="A297" i="34"/>
  <c r="B294" i="8"/>
  <c r="B35" i="8"/>
  <c r="A309" i="9"/>
  <c r="G69" i="8"/>
  <c r="H70" i="8"/>
  <c r="A66" i="32"/>
  <c r="G65" i="32"/>
  <c r="A33" i="33" s="1"/>
  <c r="A339" i="11"/>
  <c r="B109" i="8"/>
  <c r="E117" i="8"/>
  <c r="F116" i="8"/>
  <c r="J116" i="8" s="1"/>
  <c r="I116" i="8"/>
  <c r="G117" i="8"/>
  <c r="H118" i="8"/>
  <c r="E68" i="8"/>
  <c r="F67" i="8"/>
  <c r="J67" i="8" s="1"/>
  <c r="I67" i="8"/>
  <c r="F84" i="8"/>
  <c r="J84" i="8" s="1"/>
  <c r="E85" i="8"/>
  <c r="G101" i="8"/>
  <c r="H102" i="8"/>
  <c r="G84" i="8"/>
  <c r="I84" i="8" s="1"/>
  <c r="H85" i="8"/>
  <c r="A452" i="35" l="1"/>
  <c r="B242" i="8"/>
  <c r="E101" i="8"/>
  <c r="E102" i="8" s="1"/>
  <c r="I100" i="8"/>
  <c r="I99" i="8"/>
  <c r="F99" i="8"/>
  <c r="J99" i="8" s="1"/>
  <c r="G85" i="8"/>
  <c r="I85" i="8" s="1"/>
  <c r="H86" i="8"/>
  <c r="E86" i="8"/>
  <c r="F85" i="8"/>
  <c r="J85" i="8" s="1"/>
  <c r="F68" i="8"/>
  <c r="J68" i="8" s="1"/>
  <c r="I68" i="8"/>
  <c r="E69" i="8"/>
  <c r="G70" i="8"/>
  <c r="H71" i="8"/>
  <c r="A328" i="9"/>
  <c r="B36" i="8"/>
  <c r="H103" i="8"/>
  <c r="G102" i="8"/>
  <c r="G118" i="8"/>
  <c r="H119" i="8"/>
  <c r="E118" i="8"/>
  <c r="F117" i="8"/>
  <c r="J117" i="8" s="1"/>
  <c r="I117" i="8"/>
  <c r="B110" i="8"/>
  <c r="A360" i="11"/>
  <c r="A67" i="32"/>
  <c r="G66" i="32"/>
  <c r="A34" i="33" s="1"/>
  <c r="A477" i="35" l="1"/>
  <c r="B243" i="8"/>
  <c r="F101" i="8"/>
  <c r="J101" i="8" s="1"/>
  <c r="I101" i="8"/>
  <c r="B123" i="8"/>
  <c r="A381" i="11"/>
  <c r="B124" i="8" s="1"/>
  <c r="F118" i="8"/>
  <c r="J118" i="8" s="1"/>
  <c r="E119" i="8"/>
  <c r="I118" i="8"/>
  <c r="H104" i="8"/>
  <c r="G103" i="8"/>
  <c r="A349" i="9"/>
  <c r="B37" i="8"/>
  <c r="H87" i="8"/>
  <c r="G86" i="8"/>
  <c r="I86" i="8" s="1"/>
  <c r="G67" i="32"/>
  <c r="A35" i="33" s="1"/>
  <c r="A68" i="32"/>
  <c r="G119" i="8"/>
  <c r="H120" i="8"/>
  <c r="H72" i="8"/>
  <c r="G71" i="8"/>
  <c r="E70" i="8"/>
  <c r="I69" i="8"/>
  <c r="F69" i="8"/>
  <c r="J69" i="8" s="1"/>
  <c r="E87" i="8"/>
  <c r="F86" i="8"/>
  <c r="J86" i="8" s="1"/>
  <c r="F102" i="8"/>
  <c r="J102" i="8" s="1"/>
  <c r="I102" i="8"/>
  <c r="E103" i="8"/>
  <c r="B244" i="8" l="1"/>
  <c r="A502" i="35"/>
  <c r="E104" i="8"/>
  <c r="F103" i="8"/>
  <c r="J103" i="8" s="1"/>
  <c r="I103" i="8"/>
  <c r="F70" i="8"/>
  <c r="J70" i="8" s="1"/>
  <c r="E71" i="8"/>
  <c r="I70" i="8"/>
  <c r="G72" i="8"/>
  <c r="H73" i="8"/>
  <c r="G87" i="8"/>
  <c r="I87" i="8" s="1"/>
  <c r="H88" i="8"/>
  <c r="A370" i="9"/>
  <c r="B38" i="8"/>
  <c r="H105" i="8"/>
  <c r="G104" i="8"/>
  <c r="E120" i="8"/>
  <c r="I119" i="8"/>
  <c r="F119" i="8"/>
  <c r="J119" i="8" s="1"/>
  <c r="F87" i="8"/>
  <c r="J87" i="8" s="1"/>
  <c r="E88" i="8"/>
  <c r="G120" i="8"/>
  <c r="H121" i="8"/>
  <c r="G68" i="32"/>
  <c r="A36" i="33" s="1"/>
  <c r="A69" i="32"/>
  <c r="B245" i="8" l="1"/>
  <c r="A527" i="35"/>
  <c r="G69" i="32"/>
  <c r="A37" i="33" s="1"/>
  <c r="A70" i="32"/>
  <c r="G121" i="8"/>
  <c r="H122" i="8"/>
  <c r="G122" i="8" s="1"/>
  <c r="G88" i="8"/>
  <c r="I88" i="8" s="1"/>
  <c r="H89" i="8"/>
  <c r="H74" i="8"/>
  <c r="G74" i="8" s="1"/>
  <c r="G73" i="8"/>
  <c r="E89" i="8"/>
  <c r="F88" i="8"/>
  <c r="J88" i="8" s="1"/>
  <c r="E121" i="8"/>
  <c r="I120" i="8"/>
  <c r="F120" i="8"/>
  <c r="J120" i="8" s="1"/>
  <c r="H106" i="8"/>
  <c r="G106" i="8" s="1"/>
  <c r="G105" i="8"/>
  <c r="B39" i="8"/>
  <c r="A391" i="9"/>
  <c r="F71" i="8"/>
  <c r="J71" i="8" s="1"/>
  <c r="I71" i="8"/>
  <c r="E72" i="8"/>
  <c r="I72" i="8" s="1"/>
  <c r="E105" i="8"/>
  <c r="F104" i="8"/>
  <c r="J104" i="8" s="1"/>
  <c r="I104" i="8"/>
  <c r="B246" i="8" l="1"/>
  <c r="A552" i="35"/>
  <c r="F105" i="8"/>
  <c r="J105" i="8" s="1"/>
  <c r="I105" i="8"/>
  <c r="E106" i="8"/>
  <c r="A412" i="9"/>
  <c r="B40" i="8"/>
  <c r="F121" i="8"/>
  <c r="J121" i="8" s="1"/>
  <c r="E122" i="8"/>
  <c r="I121" i="8"/>
  <c r="H90" i="8"/>
  <c r="G90" i="8" s="1"/>
  <c r="G89" i="8"/>
  <c r="I89" i="8" s="1"/>
  <c r="G70" i="32"/>
  <c r="A38" i="33" s="1"/>
  <c r="A71" i="32"/>
  <c r="E73" i="8"/>
  <c r="F72" i="8"/>
  <c r="J72" i="8" s="1"/>
  <c r="F89" i="8"/>
  <c r="J89" i="8" s="1"/>
  <c r="E90" i="8"/>
  <c r="A577" i="35" l="1"/>
  <c r="B247" i="8"/>
  <c r="F73" i="8"/>
  <c r="J73" i="8" s="1"/>
  <c r="I73" i="8"/>
  <c r="E74" i="8"/>
  <c r="G71" i="32"/>
  <c r="A39" i="33" s="1"/>
  <c r="A72" i="32"/>
  <c r="A433" i="9"/>
  <c r="B41" i="8"/>
  <c r="F90" i="8"/>
  <c r="J90" i="8" s="1"/>
  <c r="I90" i="8"/>
  <c r="I122" i="8"/>
  <c r="F122" i="8"/>
  <c r="J122" i="8" s="1"/>
  <c r="I106" i="8"/>
  <c r="F106" i="8"/>
  <c r="J106" i="8" s="1"/>
  <c r="A602" i="35" l="1"/>
  <c r="B248" i="8"/>
  <c r="A451" i="9"/>
  <c r="B42" i="8"/>
  <c r="G72" i="32"/>
  <c r="A40" i="33" s="1"/>
  <c r="A73" i="32"/>
  <c r="F74" i="8"/>
  <c r="J74" i="8" s="1"/>
  <c r="I74" i="8"/>
  <c r="A627" i="35" l="1"/>
  <c r="B249" i="8"/>
  <c r="A74" i="32"/>
  <c r="G73" i="32"/>
  <c r="A41" i="33" s="1"/>
  <c r="A470" i="9"/>
  <c r="B44" i="8" s="1"/>
  <c r="B43" i="8"/>
  <c r="B250" i="8" l="1"/>
  <c r="A652" i="35"/>
  <c r="G74" i="32"/>
  <c r="A42" i="33" s="1"/>
  <c r="A75" i="32"/>
  <c r="B251" i="8" l="1"/>
  <c r="A677" i="35"/>
  <c r="G75" i="32"/>
  <c r="A43" i="33" s="1"/>
  <c r="A76" i="32"/>
  <c r="B252" i="8" l="1"/>
  <c r="A702" i="35"/>
  <c r="G76" i="32"/>
  <c r="A44" i="33" s="1"/>
  <c r="A77" i="32"/>
  <c r="A727" i="35" l="1"/>
  <c r="B253" i="8"/>
  <c r="G77" i="32"/>
  <c r="A45" i="33" s="1"/>
  <c r="A78" i="32"/>
  <c r="B254" i="8" l="1"/>
  <c r="A752" i="35"/>
  <c r="A79" i="32"/>
  <c r="A80" i="32" s="1"/>
  <c r="A81" i="32" s="1"/>
  <c r="G78" i="32"/>
  <c r="A46" i="33" s="1"/>
  <c r="B255" i="8" l="1"/>
  <c r="A777" i="35"/>
  <c r="G80" i="32"/>
  <c r="A48" i="33" s="1"/>
  <c r="G79" i="32"/>
  <c r="A47" i="33" s="1"/>
  <c r="B256" i="8" l="1"/>
  <c r="A802" i="35"/>
  <c r="A82" i="32"/>
  <c r="B257" i="8" l="1"/>
  <c r="A827" i="35"/>
  <c r="A852" i="35" s="1"/>
  <c r="A877" i="35" s="1"/>
  <c r="A902" i="35" s="1"/>
  <c r="A927" i="35" s="1"/>
  <c r="G81" i="32"/>
  <c r="A49" i="33" s="1"/>
  <c r="A83" i="32" l="1"/>
  <c r="G82" i="32"/>
  <c r="A50" i="33" s="1"/>
  <c r="A84" i="32" l="1"/>
  <c r="G83" i="32"/>
  <c r="A51" i="33" s="1"/>
  <c r="A85" i="32" l="1"/>
  <c r="G84" i="32"/>
  <c r="A52" i="33" s="1"/>
  <c r="A86" i="32" l="1"/>
  <c r="G85" i="32"/>
  <c r="A53" i="33" s="1"/>
  <c r="A87" i="32" l="1"/>
  <c r="G86" i="32"/>
  <c r="A88" i="32" l="1"/>
  <c r="G87" i="32"/>
  <c r="A89" i="32" l="1"/>
  <c r="G88" i="32"/>
  <c r="A90" i="32" l="1"/>
  <c r="G89" i="32"/>
  <c r="G90" i="32" l="1"/>
  <c r="A92" i="32"/>
  <c r="G92" i="32" l="1"/>
  <c r="A60" i="33" s="1"/>
  <c r="A93" i="32"/>
  <c r="G93" i="32" l="1"/>
  <c r="A61" i="33" s="1"/>
  <c r="A94" i="32"/>
  <c r="G94" i="32" l="1"/>
  <c r="A62" i="33" s="1"/>
  <c r="A95" i="32"/>
  <c r="G95" i="32" l="1"/>
  <c r="A63" i="33" s="1"/>
  <c r="A96" i="32"/>
  <c r="G96" i="32" l="1"/>
  <c r="A64" i="33" s="1"/>
  <c r="A98" i="32"/>
  <c r="A99" i="32" l="1"/>
  <c r="G98" i="32"/>
  <c r="A66" i="33" s="1"/>
  <c r="G99" i="32" l="1"/>
  <c r="A67" i="33" s="1"/>
  <c r="A100" i="32"/>
  <c r="G100" i="32" l="1"/>
  <c r="A68" i="33" s="1"/>
  <c r="A101" i="32"/>
  <c r="A102" i="32" l="1"/>
  <c r="G101" i="32"/>
  <c r="A69" i="33" s="1"/>
  <c r="G102" i="32" l="1"/>
  <c r="A70" i="33" s="1"/>
  <c r="A103" i="32"/>
  <c r="G103" i="32" l="1"/>
  <c r="A71" i="33" s="1"/>
  <c r="A104" i="32"/>
  <c r="G104" i="32" l="1"/>
  <c r="A72" i="33" s="1"/>
  <c r="A105" i="32"/>
  <c r="A106" i="32" l="1"/>
  <c r="G105" i="32"/>
  <c r="A73" i="33" s="1"/>
  <c r="G106" i="32" l="1"/>
  <c r="A107" i="32"/>
  <c r="A74" i="33"/>
  <c r="G107" i="32" l="1"/>
  <c r="A108" i="32"/>
  <c r="G108" i="32" s="1"/>
  <c r="A75" i="33"/>
  <c r="A109" i="32" l="1"/>
  <c r="A110" i="32" l="1"/>
  <c r="G109" i="32"/>
  <c r="A76" i="33" s="1"/>
  <c r="A111" i="32" l="1"/>
  <c r="G110" i="32"/>
  <c r="A77" i="33" s="1"/>
  <c r="A112" i="32" l="1"/>
  <c r="G111" i="32"/>
  <c r="A78" i="33" s="1"/>
  <c r="A113" i="32" l="1"/>
  <c r="G112" i="32"/>
  <c r="A79" i="33" s="1"/>
  <c r="A115" i="32" l="1"/>
  <c r="G113" i="32"/>
  <c r="A80" i="33" s="1"/>
  <c r="A116" i="32" l="1"/>
  <c r="G115" i="32"/>
  <c r="A82" i="33" s="1"/>
  <c r="G116" i="32" l="1"/>
  <c r="A83" i="33" s="1"/>
  <c r="A117" i="32"/>
  <c r="G117" i="32" l="1"/>
  <c r="A84" i="33" s="1"/>
  <c r="A118" i="32"/>
  <c r="A119" i="32" l="1"/>
  <c r="G118" i="32"/>
  <c r="A85" i="33" s="1"/>
  <c r="G119" i="32" l="1"/>
  <c r="A86" i="33" s="1"/>
  <c r="A120" i="32"/>
  <c r="A121" i="32" l="1"/>
  <c r="G120" i="32"/>
  <c r="A87" i="33" s="1"/>
  <c r="A122" i="32" l="1"/>
  <c r="G121" i="32"/>
  <c r="A88" i="33" s="1"/>
  <c r="A123" i="32" l="1"/>
  <c r="G122" i="32"/>
  <c r="A89" i="33" s="1"/>
  <c r="G123" i="32" l="1"/>
  <c r="A90" i="33" s="1"/>
  <c r="A124" i="32"/>
  <c r="G124" i="32" l="1"/>
  <c r="A91" i="33" s="1"/>
  <c r="A125" i="32"/>
  <c r="A126" i="32" l="1"/>
  <c r="G125" i="32"/>
  <c r="A92" i="33" s="1"/>
  <c r="G126" i="32" l="1"/>
  <c r="A93" i="33" s="1"/>
  <c r="A127" i="32"/>
  <c r="A128" i="32" s="1"/>
  <c r="A129" i="32" s="1"/>
  <c r="A130" i="32" s="1"/>
  <c r="G127" i="32" l="1"/>
  <c r="A94" i="33" s="1"/>
  <c r="G128" i="32" l="1"/>
  <c r="A95" i="33" s="1"/>
  <c r="G129" i="32" l="1"/>
  <c r="A96" i="33" s="1"/>
  <c r="G130" i="32" l="1"/>
  <c r="A97" i="33" s="1"/>
  <c r="A131" i="32"/>
  <c r="G131" i="32" l="1"/>
  <c r="A98" i="33" s="1"/>
  <c r="A132" i="32"/>
  <c r="G132" i="32" l="1"/>
  <c r="A99" i="33" s="1"/>
  <c r="A133" i="32"/>
  <c r="G133" i="32" s="1"/>
  <c r="A100" i="33" s="1"/>
  <c r="A143" i="32" l="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alcChain>
</file>

<file path=xl/comments1.xml><?xml version="1.0" encoding="utf-8"?>
<comments xmlns="http://schemas.openxmlformats.org/spreadsheetml/2006/main">
  <authors>
    <author>basantag</author>
  </authors>
  <commentList>
    <comment ref="E297" authorId="0" shapeId="0">
      <text>
        <r>
          <rPr>
            <b/>
            <sz val="8"/>
            <color indexed="81"/>
            <rFont val="Tahoma"/>
            <family val="2"/>
          </rPr>
          <t>basantag:</t>
        </r>
        <r>
          <rPr>
            <sz val="8"/>
            <color indexed="81"/>
            <rFont val="Tahoma"/>
            <family val="2"/>
          </rPr>
          <t xml:space="preserve">
Reference ; Rate Analysis Kabeli A HEP</t>
        </r>
      </text>
    </comment>
    <comment ref="E298" authorId="0" shapeId="0">
      <text>
        <r>
          <rPr>
            <b/>
            <sz val="8"/>
            <color indexed="81"/>
            <rFont val="Tahoma"/>
            <family val="2"/>
          </rPr>
          <t>basantag:</t>
        </r>
        <r>
          <rPr>
            <sz val="8"/>
            <color indexed="81"/>
            <rFont val="Tahoma"/>
            <family val="2"/>
          </rPr>
          <t xml:space="preserve">
Rate at Kathmandu</t>
        </r>
      </text>
    </comment>
    <comment ref="E299" authorId="0" shapeId="0">
      <text>
        <r>
          <rPr>
            <b/>
            <sz val="8"/>
            <color indexed="81"/>
            <rFont val="Tahoma"/>
            <family val="2"/>
          </rPr>
          <t>basantag:</t>
        </r>
        <r>
          <rPr>
            <sz val="8"/>
            <color indexed="81"/>
            <rFont val="Tahoma"/>
            <family val="2"/>
          </rPr>
          <t xml:space="preserve">
Reference ; Rate Analysis Kabeli A HEP</t>
        </r>
      </text>
    </comment>
    <comment ref="E300" authorId="0" shapeId="0">
      <text>
        <r>
          <rPr>
            <b/>
            <sz val="8"/>
            <color indexed="81"/>
            <rFont val="Tahoma"/>
            <family val="2"/>
          </rPr>
          <t>basantag:</t>
        </r>
        <r>
          <rPr>
            <sz val="8"/>
            <color indexed="81"/>
            <rFont val="Tahoma"/>
            <family val="2"/>
          </rPr>
          <t xml:space="preserve">
Reference ; Rate Analysis Kabeli A HEP</t>
        </r>
      </text>
    </comment>
    <comment ref="E302" authorId="0" shapeId="0">
      <text>
        <r>
          <rPr>
            <b/>
            <sz val="8"/>
            <color indexed="81"/>
            <rFont val="Tahoma"/>
            <family val="2"/>
          </rPr>
          <t>basantag:</t>
        </r>
        <r>
          <rPr>
            <sz val="8"/>
            <color indexed="81"/>
            <rFont val="Tahoma"/>
            <family val="2"/>
          </rPr>
          <t xml:space="preserve">
Rate used in Chilime</t>
        </r>
      </text>
    </comment>
    <comment ref="E303" authorId="0" shapeId="0">
      <text>
        <r>
          <rPr>
            <b/>
            <sz val="8"/>
            <color indexed="81"/>
            <rFont val="Tahoma"/>
            <family val="2"/>
          </rPr>
          <t>basantag:</t>
        </r>
        <r>
          <rPr>
            <sz val="8"/>
            <color indexed="81"/>
            <rFont val="Tahoma"/>
            <family val="2"/>
          </rPr>
          <t xml:space="preserve">
Reference ; Rate Analysis Kabeli A HEP</t>
        </r>
      </text>
    </comment>
  </commentList>
</comments>
</file>

<file path=xl/comments10.xml><?xml version="1.0" encoding="utf-8"?>
<comments xmlns="http://schemas.openxmlformats.org/spreadsheetml/2006/main">
  <authors>
    <author>basantag</author>
    <author>Ranjita Khatri</author>
    <author>DELL</author>
  </authors>
  <commentList>
    <comment ref="K127" authorId="0" shapeId="0">
      <text>
        <r>
          <rPr>
            <b/>
            <sz val="8"/>
            <color indexed="81"/>
            <rFont val="Tahoma"/>
            <family val="2"/>
          </rPr>
          <t>basantag:</t>
        </r>
        <r>
          <rPr>
            <sz val="8"/>
            <color indexed="81"/>
            <rFont val="Tahoma"/>
            <family val="2"/>
          </rPr>
          <t xml:space="preserve">
500 kg per cum</t>
        </r>
      </text>
    </comment>
    <comment ref="K128" authorId="0" shapeId="0">
      <text>
        <r>
          <rPr>
            <b/>
            <sz val="8"/>
            <color indexed="81"/>
            <rFont val="Tahoma"/>
            <family val="2"/>
          </rPr>
          <t>basantag:</t>
        </r>
        <r>
          <rPr>
            <sz val="8"/>
            <color indexed="81"/>
            <rFont val="Tahoma"/>
            <family val="2"/>
          </rPr>
          <t xml:space="preserve">
4% of cement</t>
        </r>
      </text>
    </comment>
    <comment ref="K133" authorId="0" shapeId="0">
      <text>
        <r>
          <rPr>
            <b/>
            <sz val="8"/>
            <color indexed="81"/>
            <rFont val="Tahoma"/>
            <family val="2"/>
          </rPr>
          <t>basantag:</t>
        </r>
        <r>
          <rPr>
            <sz val="8"/>
            <color indexed="81"/>
            <rFont val="Tahoma"/>
            <family val="2"/>
          </rPr>
          <t xml:space="preserve">
10% of cement</t>
        </r>
      </text>
    </comment>
    <comment ref="K134" authorId="0" shapeId="0">
      <text>
        <r>
          <rPr>
            <b/>
            <sz val="8"/>
            <color indexed="81"/>
            <rFont val="Tahoma"/>
            <family val="2"/>
          </rPr>
          <t>basantag:</t>
        </r>
        <r>
          <rPr>
            <sz val="8"/>
            <color indexed="81"/>
            <rFont val="Tahoma"/>
            <family val="2"/>
          </rPr>
          <t xml:space="preserve">
1 % of cement</t>
        </r>
      </text>
    </comment>
    <comment ref="L134" authorId="0" shapeId="0">
      <text>
        <r>
          <rPr>
            <b/>
            <sz val="8"/>
            <color indexed="81"/>
            <rFont val="Tahoma"/>
            <family val="2"/>
          </rPr>
          <t>basantag:</t>
        </r>
        <r>
          <rPr>
            <sz val="8"/>
            <color indexed="81"/>
            <rFont val="Tahoma"/>
            <family val="2"/>
          </rPr>
          <t xml:space="preserve">
As per GNM</t>
        </r>
      </text>
    </comment>
    <comment ref="H148" authorId="1" shapeId="0">
      <text>
        <r>
          <rPr>
            <b/>
            <sz val="9"/>
            <color indexed="81"/>
            <rFont val="Tahoma"/>
            <family val="2"/>
          </rPr>
          <t>Ranjita Khatri:</t>
        </r>
        <r>
          <rPr>
            <sz val="9"/>
            <color indexed="81"/>
            <rFont val="Tahoma"/>
            <family val="2"/>
          </rPr>
          <t xml:space="preserve">
for t=50mm
</t>
        </r>
      </text>
    </comment>
    <comment ref="H149" authorId="1" shapeId="0">
      <text>
        <r>
          <rPr>
            <b/>
            <sz val="9"/>
            <color indexed="81"/>
            <rFont val="Tahoma"/>
            <family val="2"/>
          </rPr>
          <t>Ranjita Khatri:</t>
        </r>
        <r>
          <rPr>
            <sz val="9"/>
            <color indexed="81"/>
            <rFont val="Tahoma"/>
            <family val="2"/>
          </rPr>
          <t xml:space="preserve">
for t=100mm
</t>
        </r>
      </text>
    </comment>
    <comment ref="K159" authorId="0" shapeId="0">
      <text>
        <r>
          <rPr>
            <b/>
            <sz val="8"/>
            <color indexed="81"/>
            <rFont val="Tahoma"/>
            <family val="2"/>
          </rPr>
          <t>basantag:</t>
        </r>
        <r>
          <rPr>
            <sz val="8"/>
            <color indexed="81"/>
            <rFont val="Tahoma"/>
            <family val="2"/>
          </rPr>
          <t xml:space="preserve">
500 kg per cum</t>
        </r>
      </text>
    </comment>
    <comment ref="K160" authorId="0" shapeId="0">
      <text>
        <r>
          <rPr>
            <b/>
            <sz val="8"/>
            <color indexed="81"/>
            <rFont val="Tahoma"/>
            <family val="2"/>
          </rPr>
          <t>basantag:</t>
        </r>
        <r>
          <rPr>
            <sz val="8"/>
            <color indexed="81"/>
            <rFont val="Tahoma"/>
            <family val="2"/>
          </rPr>
          <t xml:space="preserve">
4% of cement</t>
        </r>
      </text>
    </comment>
    <comment ref="K165" authorId="0" shapeId="0">
      <text>
        <r>
          <rPr>
            <b/>
            <sz val="8"/>
            <color indexed="81"/>
            <rFont val="Tahoma"/>
            <family val="2"/>
          </rPr>
          <t>basantag:</t>
        </r>
        <r>
          <rPr>
            <sz val="8"/>
            <color indexed="81"/>
            <rFont val="Tahoma"/>
            <family val="2"/>
          </rPr>
          <t xml:space="preserve">
50 kg per cum</t>
        </r>
      </text>
    </comment>
    <comment ref="L165" authorId="0" shapeId="0">
      <text>
        <r>
          <rPr>
            <b/>
            <sz val="8"/>
            <color indexed="81"/>
            <rFont val="Tahoma"/>
            <family val="2"/>
          </rPr>
          <t>basantag:</t>
        </r>
        <r>
          <rPr>
            <sz val="8"/>
            <color indexed="81"/>
            <rFont val="Tahoma"/>
            <family val="2"/>
          </rPr>
          <t xml:space="preserve">
As per GNM</t>
        </r>
      </text>
    </comment>
    <comment ref="K166" authorId="0" shapeId="0">
      <text>
        <r>
          <rPr>
            <b/>
            <sz val="8"/>
            <color indexed="81"/>
            <rFont val="Tahoma"/>
            <family val="2"/>
          </rPr>
          <t>basantag:</t>
        </r>
        <r>
          <rPr>
            <sz val="8"/>
            <color indexed="81"/>
            <rFont val="Tahoma"/>
            <family val="2"/>
          </rPr>
          <t xml:space="preserve">
10% of cement</t>
        </r>
      </text>
    </comment>
    <comment ref="K167" authorId="0" shapeId="0">
      <text>
        <r>
          <rPr>
            <b/>
            <sz val="8"/>
            <color indexed="81"/>
            <rFont val="Tahoma"/>
            <family val="2"/>
          </rPr>
          <t>basantag:</t>
        </r>
        <r>
          <rPr>
            <sz val="8"/>
            <color indexed="81"/>
            <rFont val="Tahoma"/>
            <family val="2"/>
          </rPr>
          <t xml:space="preserve">
1 % of cement</t>
        </r>
      </text>
    </comment>
    <comment ref="L167" authorId="0" shapeId="0">
      <text>
        <r>
          <rPr>
            <b/>
            <sz val="8"/>
            <color indexed="81"/>
            <rFont val="Tahoma"/>
            <family val="2"/>
          </rPr>
          <t>basantag:</t>
        </r>
        <r>
          <rPr>
            <sz val="8"/>
            <color indexed="81"/>
            <rFont val="Tahoma"/>
            <family val="2"/>
          </rPr>
          <t xml:space="preserve">
As per GNM</t>
        </r>
      </text>
    </comment>
    <comment ref="H180" authorId="1" shapeId="0">
      <text>
        <r>
          <rPr>
            <b/>
            <sz val="9"/>
            <color indexed="81"/>
            <rFont val="Tahoma"/>
            <family val="2"/>
          </rPr>
          <t>Ranjita Khatri:</t>
        </r>
        <r>
          <rPr>
            <sz val="9"/>
            <color indexed="81"/>
            <rFont val="Tahoma"/>
            <family val="2"/>
          </rPr>
          <t xml:space="preserve">
for t=100mm
</t>
        </r>
      </text>
    </comment>
    <comment ref="H181" authorId="1" shapeId="0">
      <text>
        <r>
          <rPr>
            <b/>
            <sz val="9"/>
            <color indexed="81"/>
            <rFont val="Tahoma"/>
            <family val="2"/>
          </rPr>
          <t>Ranjita Khatri:</t>
        </r>
        <r>
          <rPr>
            <sz val="9"/>
            <color indexed="81"/>
            <rFont val="Tahoma"/>
            <family val="2"/>
          </rPr>
          <t xml:space="preserve">
for t=150mm
</t>
        </r>
      </text>
    </comment>
    <comment ref="H182" authorId="1" shapeId="0">
      <text>
        <r>
          <rPr>
            <b/>
            <sz val="9"/>
            <color indexed="81"/>
            <rFont val="Tahoma"/>
            <family val="2"/>
          </rPr>
          <t>Ranjita Khatri:</t>
        </r>
        <r>
          <rPr>
            <sz val="9"/>
            <color indexed="81"/>
            <rFont val="Tahoma"/>
            <family val="2"/>
          </rPr>
          <t xml:space="preserve">
for t= 200mm</t>
        </r>
      </text>
    </comment>
    <comment ref="K194" authorId="0" shapeId="0">
      <text>
        <r>
          <rPr>
            <b/>
            <sz val="8"/>
            <color indexed="81"/>
            <rFont val="Tahoma"/>
            <family val="2"/>
          </rPr>
          <t>basantag:</t>
        </r>
        <r>
          <rPr>
            <sz val="8"/>
            <color indexed="81"/>
            <rFont val="Tahoma"/>
            <family val="2"/>
          </rPr>
          <t xml:space="preserve">
500 kg per cum</t>
        </r>
      </text>
    </comment>
    <comment ref="K195" authorId="0" shapeId="0">
      <text>
        <r>
          <rPr>
            <b/>
            <sz val="8"/>
            <color indexed="81"/>
            <rFont val="Tahoma"/>
            <family val="2"/>
          </rPr>
          <t>basantag:</t>
        </r>
        <r>
          <rPr>
            <sz val="8"/>
            <color indexed="81"/>
            <rFont val="Tahoma"/>
            <family val="2"/>
          </rPr>
          <t xml:space="preserve">
4% of cement</t>
        </r>
      </text>
    </comment>
    <comment ref="K200" authorId="0" shapeId="0">
      <text>
        <r>
          <rPr>
            <b/>
            <sz val="8"/>
            <color indexed="81"/>
            <rFont val="Tahoma"/>
            <family val="2"/>
          </rPr>
          <t>basantag:</t>
        </r>
        <r>
          <rPr>
            <sz val="8"/>
            <color indexed="81"/>
            <rFont val="Tahoma"/>
            <family val="2"/>
          </rPr>
          <t xml:space="preserve">
10% of cement</t>
        </r>
      </text>
    </comment>
    <comment ref="K201" authorId="0" shapeId="0">
      <text>
        <r>
          <rPr>
            <b/>
            <sz val="8"/>
            <color indexed="81"/>
            <rFont val="Tahoma"/>
            <family val="2"/>
          </rPr>
          <t>basantag:</t>
        </r>
        <r>
          <rPr>
            <sz val="8"/>
            <color indexed="81"/>
            <rFont val="Tahoma"/>
            <family val="2"/>
          </rPr>
          <t xml:space="preserve">
1 % of cement</t>
        </r>
      </text>
    </comment>
    <comment ref="L201" authorId="0" shapeId="0">
      <text>
        <r>
          <rPr>
            <b/>
            <sz val="8"/>
            <color indexed="81"/>
            <rFont val="Tahoma"/>
            <family val="2"/>
          </rPr>
          <t>basantag:</t>
        </r>
        <r>
          <rPr>
            <sz val="8"/>
            <color indexed="81"/>
            <rFont val="Tahoma"/>
            <family val="2"/>
          </rPr>
          <t xml:space="preserve">
As per GNM</t>
        </r>
      </text>
    </comment>
    <comment ref="K224" authorId="0" shapeId="0">
      <text>
        <r>
          <rPr>
            <b/>
            <sz val="8"/>
            <color indexed="81"/>
            <rFont val="Tahoma"/>
            <family val="2"/>
          </rPr>
          <t>basantag:</t>
        </r>
        <r>
          <rPr>
            <sz val="8"/>
            <color indexed="81"/>
            <rFont val="Tahoma"/>
            <family val="2"/>
          </rPr>
          <t xml:space="preserve">
500 kg per cum</t>
        </r>
      </text>
    </comment>
    <comment ref="K225" authorId="0" shapeId="0">
      <text>
        <r>
          <rPr>
            <b/>
            <sz val="8"/>
            <color indexed="81"/>
            <rFont val="Tahoma"/>
            <family val="2"/>
          </rPr>
          <t>basantag:</t>
        </r>
        <r>
          <rPr>
            <sz val="8"/>
            <color indexed="81"/>
            <rFont val="Tahoma"/>
            <family val="2"/>
          </rPr>
          <t xml:space="preserve">
4% of cement</t>
        </r>
      </text>
    </comment>
    <comment ref="K230" authorId="0" shapeId="0">
      <text>
        <r>
          <rPr>
            <b/>
            <sz val="8"/>
            <color indexed="81"/>
            <rFont val="Tahoma"/>
            <family val="2"/>
          </rPr>
          <t>basantag:</t>
        </r>
        <r>
          <rPr>
            <sz val="8"/>
            <color indexed="81"/>
            <rFont val="Tahoma"/>
            <family val="2"/>
          </rPr>
          <t xml:space="preserve">
50 kg per cum</t>
        </r>
      </text>
    </comment>
    <comment ref="L230" authorId="0" shapeId="0">
      <text>
        <r>
          <rPr>
            <b/>
            <sz val="8"/>
            <color indexed="81"/>
            <rFont val="Tahoma"/>
            <family val="2"/>
          </rPr>
          <t>basantag:</t>
        </r>
        <r>
          <rPr>
            <sz val="8"/>
            <color indexed="81"/>
            <rFont val="Tahoma"/>
            <family val="2"/>
          </rPr>
          <t xml:space="preserve">
As per GNM</t>
        </r>
      </text>
    </comment>
    <comment ref="K231" authorId="0" shapeId="0">
      <text>
        <r>
          <rPr>
            <b/>
            <sz val="8"/>
            <color indexed="81"/>
            <rFont val="Tahoma"/>
            <family val="2"/>
          </rPr>
          <t>basantag:</t>
        </r>
        <r>
          <rPr>
            <sz val="8"/>
            <color indexed="81"/>
            <rFont val="Tahoma"/>
            <family val="2"/>
          </rPr>
          <t xml:space="preserve">
10% of cement</t>
        </r>
      </text>
    </comment>
    <comment ref="K232" authorId="0" shapeId="0">
      <text>
        <r>
          <rPr>
            <b/>
            <sz val="8"/>
            <color indexed="81"/>
            <rFont val="Tahoma"/>
            <family val="2"/>
          </rPr>
          <t>basantag:</t>
        </r>
        <r>
          <rPr>
            <sz val="8"/>
            <color indexed="81"/>
            <rFont val="Tahoma"/>
            <family val="2"/>
          </rPr>
          <t xml:space="preserve">
1 % of cement</t>
        </r>
      </text>
    </comment>
    <comment ref="L232" authorId="0" shapeId="0">
      <text>
        <r>
          <rPr>
            <b/>
            <sz val="8"/>
            <color indexed="81"/>
            <rFont val="Tahoma"/>
            <family val="2"/>
          </rPr>
          <t>basantag:</t>
        </r>
        <r>
          <rPr>
            <sz val="8"/>
            <color indexed="81"/>
            <rFont val="Tahoma"/>
            <family val="2"/>
          </rPr>
          <t xml:space="preserve">
As per GNM</t>
        </r>
      </text>
    </comment>
    <comment ref="K284" authorId="2" shapeId="0">
      <text>
        <r>
          <rPr>
            <b/>
            <sz val="9"/>
            <color indexed="81"/>
            <rFont val="Tahoma"/>
            <family val="2"/>
          </rPr>
          <t>DELL:</t>
        </r>
        <r>
          <rPr>
            <sz val="9"/>
            <color indexed="81"/>
            <rFont val="Tahoma"/>
            <family val="2"/>
          </rPr>
          <t xml:space="preserve">
Assumptions:
Dia of drill hole = 25mm
Dia of drill rod  = 20mm
Length of hole = 1m
Vol. of grout = Vol. of drill hole - Vol. of rod
Density of cement = 1440kg/cum
Dry vol. = 2 times wet vol.</t>
        </r>
      </text>
    </comment>
    <comment ref="K309" authorId="2" shapeId="0">
      <text>
        <r>
          <rPr>
            <b/>
            <sz val="9"/>
            <color indexed="81"/>
            <rFont val="Tahoma"/>
            <family val="2"/>
          </rPr>
          <t>DELL:</t>
        </r>
        <r>
          <rPr>
            <sz val="9"/>
            <color indexed="81"/>
            <rFont val="Tahoma"/>
            <family val="2"/>
          </rPr>
          <t xml:space="preserve">
Assumptions:
Dia of drill hole = 25mm
Dia of drill rod  = 20mm
Length of hole = 2m
Vol. of grout = Vol. of drill hole - Vol. of rod
Density of cement = 1440kg/cum
Dry vol. = 2 times wet vol.</t>
        </r>
      </text>
    </comment>
    <comment ref="K334" authorId="2" shapeId="0">
      <text>
        <r>
          <rPr>
            <b/>
            <sz val="9"/>
            <color indexed="81"/>
            <rFont val="Tahoma"/>
            <family val="2"/>
          </rPr>
          <t>DELL:</t>
        </r>
        <r>
          <rPr>
            <sz val="9"/>
            <color indexed="81"/>
            <rFont val="Tahoma"/>
            <family val="2"/>
          </rPr>
          <t xml:space="preserve">
Assumptions:
Dia of drill hole = 25mm
Dia of drill rod  = 20mm
Length of hole = 3m
Vol. of grout = Vol. of drill hole - Vol. of rod
Density of cement = 1440kg/cum
Dry vol. = 2 times wet vol.</t>
        </r>
      </text>
    </comment>
    <comment ref="K359" authorId="2" shapeId="0">
      <text>
        <r>
          <rPr>
            <b/>
            <sz val="9"/>
            <color indexed="81"/>
            <rFont val="Tahoma"/>
            <family val="2"/>
          </rPr>
          <t>DELL:</t>
        </r>
        <r>
          <rPr>
            <sz val="9"/>
            <color indexed="81"/>
            <rFont val="Tahoma"/>
            <family val="2"/>
          </rPr>
          <t xml:space="preserve">
Assumptions:
Dia of drill hole = 32mm
Dia of drill rod  = 25mm
Length of hole = 1m
Vol. of grout = Vol. of drill hole - Vol. of rod
Density of cement = 1440kg/cum
Dry vol. = 2 times wet vol.</t>
        </r>
      </text>
    </comment>
    <comment ref="K384" authorId="2" shapeId="0">
      <text>
        <r>
          <rPr>
            <b/>
            <sz val="9"/>
            <color indexed="81"/>
            <rFont val="Tahoma"/>
            <family val="2"/>
          </rPr>
          <t>DELL:</t>
        </r>
        <r>
          <rPr>
            <sz val="9"/>
            <color indexed="81"/>
            <rFont val="Tahoma"/>
            <family val="2"/>
          </rPr>
          <t xml:space="preserve">
Assumptions:
Dia of drill hole = 32mm
Dia of drill rod  = 25mm
Length of hole = 1m
Vol. of grout = Vol. of drill hole - Vol. of rod
Density of cement = 1440kg/cum
Dry vol. = 2 times wet vol.</t>
        </r>
      </text>
    </comment>
    <comment ref="K409" authorId="2" shapeId="0">
      <text>
        <r>
          <rPr>
            <b/>
            <sz val="9"/>
            <color indexed="81"/>
            <rFont val="Tahoma"/>
            <family val="2"/>
          </rPr>
          <t>DELL:</t>
        </r>
        <r>
          <rPr>
            <sz val="9"/>
            <color indexed="81"/>
            <rFont val="Tahoma"/>
            <family val="2"/>
          </rPr>
          <t xml:space="preserve">
Assumptions:
Dia of drill hole = 32mm
Dia of drill rod  = 25mm
Length of hole = 1m
Vol. of grout = Vol. of drill hole - Vol. of rod
Density of cement = 1440kg/cum
Dry vol. = 2 times wet vol.</t>
        </r>
      </text>
    </comment>
    <comment ref="K434" authorId="2" shapeId="0">
      <text>
        <r>
          <rPr>
            <b/>
            <sz val="9"/>
            <color indexed="81"/>
            <rFont val="Tahoma"/>
            <family val="2"/>
          </rPr>
          <t>DELL:</t>
        </r>
        <r>
          <rPr>
            <sz val="9"/>
            <color indexed="81"/>
            <rFont val="Tahoma"/>
            <family val="2"/>
          </rPr>
          <t xml:space="preserve">
Assumptions:
Dia of drill hole = 32mm
Dia of drill rod  = 25mm
Length of hole = 1m
Vol. of grout = Vol. of drill hole - Vol. of rod
Density of cement = 1440kg/cum
Dry vol. = 2 times wet vol.</t>
        </r>
      </text>
    </comment>
    <comment ref="K459" authorId="2" shapeId="0">
      <text>
        <r>
          <rPr>
            <b/>
            <sz val="9"/>
            <color indexed="81"/>
            <rFont val="Tahoma"/>
            <family val="2"/>
          </rPr>
          <t>DELL:</t>
        </r>
        <r>
          <rPr>
            <sz val="9"/>
            <color indexed="81"/>
            <rFont val="Tahoma"/>
            <family val="2"/>
          </rPr>
          <t xml:space="preserve">
Assumptions:
Dia of drill hole = 32mm
Dia of drill rod  = 25mm
Length of hole = 1m
Vol. of grout = Vol. of drill hole - Vol. of rod
Density of cement = 1440kg/cum
Dry vol. = 2 times wet vol.</t>
        </r>
      </text>
    </comment>
    <comment ref="K484" authorId="2" shapeId="0">
      <text>
        <r>
          <rPr>
            <b/>
            <sz val="9"/>
            <color indexed="81"/>
            <rFont val="Tahoma"/>
            <family val="2"/>
          </rPr>
          <t>DELL:</t>
        </r>
        <r>
          <rPr>
            <sz val="9"/>
            <color indexed="81"/>
            <rFont val="Tahoma"/>
            <family val="2"/>
          </rPr>
          <t xml:space="preserve">
Assumptions:
Dia of drill hole = 32mm
Dia of drill rod  = 25mm
Length of hole = 1m
Vol. of grout = Vol. of drill hole - Vol. of rod
Density of cement = 1440kg/cum
Dry vol. = 2 times wet vol.</t>
        </r>
      </text>
    </comment>
    <comment ref="K509" authorId="2" shapeId="0">
      <text>
        <r>
          <rPr>
            <b/>
            <sz val="9"/>
            <color indexed="81"/>
            <rFont val="Tahoma"/>
            <family val="2"/>
          </rPr>
          <t>DELL:</t>
        </r>
        <r>
          <rPr>
            <sz val="9"/>
            <color indexed="81"/>
            <rFont val="Tahoma"/>
            <family val="2"/>
          </rPr>
          <t xml:space="preserve">
Assumptions:
Dia of drill hole = 32mm
Dia of drill rod  = 25mm
Length of hole = 1m
Vol. of grout = Vol. of drill hole - Vol. of rod
Density of cement = 1440kg/cum
Dry vol. = 2 times wet vol.</t>
        </r>
      </text>
    </comment>
    <comment ref="K534" authorId="2" shapeId="0">
      <text>
        <r>
          <rPr>
            <b/>
            <sz val="9"/>
            <color indexed="81"/>
            <rFont val="Tahoma"/>
            <family val="2"/>
          </rPr>
          <t>DELL:</t>
        </r>
        <r>
          <rPr>
            <sz val="9"/>
            <color indexed="81"/>
            <rFont val="Tahoma"/>
            <family val="2"/>
          </rPr>
          <t xml:space="preserve">
Assumptions:
Dia of drill hole = 32mm
Dia of drill rod  = 25mm
Length of hole = 1m
Vol. of grout = Vol. of drill hole - Vol. of rod
Density of cement = 1440kg/cum
Dry vol. = 2 times wet vol.</t>
        </r>
      </text>
    </comment>
    <comment ref="K559" authorId="2" shapeId="0">
      <text>
        <r>
          <rPr>
            <b/>
            <sz val="9"/>
            <color indexed="81"/>
            <rFont val="Tahoma"/>
            <family val="2"/>
          </rPr>
          <t>DELL:</t>
        </r>
        <r>
          <rPr>
            <sz val="9"/>
            <color indexed="81"/>
            <rFont val="Tahoma"/>
            <family val="2"/>
          </rPr>
          <t xml:space="preserve">
Assumptions:
Dia of drill hole = 38mm
Dia of drill rod  = 32mm
Length of hole = 1m
Vol. of grout = Vol. of drill hole - Vol. of rod
Density of cement = 1440kg/cum
Dry vol. = 2 times wet vol.</t>
        </r>
      </text>
    </comment>
    <comment ref="K584" authorId="2" shapeId="0">
      <text>
        <r>
          <rPr>
            <b/>
            <sz val="9"/>
            <color indexed="81"/>
            <rFont val="Tahoma"/>
            <family val="2"/>
          </rPr>
          <t>DELL:</t>
        </r>
        <r>
          <rPr>
            <sz val="9"/>
            <color indexed="81"/>
            <rFont val="Tahoma"/>
            <family val="2"/>
          </rPr>
          <t xml:space="preserve">
Assumptions:
Dia of drill hole = 38mm
Dia of drill rod  = 32mm
Length of hole = 1m
Vol. of grout = Vol. of drill hole - Vol. of rod
Density of cement = 1440kg/cum
Dry vol. = 2 times wet vol.</t>
        </r>
      </text>
    </comment>
    <comment ref="K609" authorId="2" shapeId="0">
      <text>
        <r>
          <rPr>
            <b/>
            <sz val="9"/>
            <color indexed="81"/>
            <rFont val="Tahoma"/>
            <family val="2"/>
          </rPr>
          <t>DELL:</t>
        </r>
        <r>
          <rPr>
            <sz val="9"/>
            <color indexed="81"/>
            <rFont val="Tahoma"/>
            <family val="2"/>
          </rPr>
          <t xml:space="preserve">
Assumptions:
Dia of drill hole = 38mm
Dia of drill rod  = 32mm
Length of hole = 1m
Vol. of grout = Vol. of drill hole - Vol. of rod
Density of cement = 1440kg/cum
Dry vol. = 2 times wet vol.</t>
        </r>
      </text>
    </comment>
    <comment ref="K634" authorId="2" shapeId="0">
      <text>
        <r>
          <rPr>
            <b/>
            <sz val="9"/>
            <color indexed="81"/>
            <rFont val="Tahoma"/>
            <family val="2"/>
          </rPr>
          <t>DELL:</t>
        </r>
        <r>
          <rPr>
            <sz val="9"/>
            <color indexed="81"/>
            <rFont val="Tahoma"/>
            <family val="2"/>
          </rPr>
          <t xml:space="preserve">
Assumptions:
Dia of drill hole = 38mm
Dia of drill rod  = 32mm
Length of hole = 1m
Vol. of grout = Vol. of drill hole - Vol. of rod
Density of cement = 1440kg/cum
Dry vol. = 2 times wet vol.</t>
        </r>
      </text>
    </comment>
    <comment ref="K659" authorId="2" shapeId="0">
      <text>
        <r>
          <rPr>
            <b/>
            <sz val="9"/>
            <color indexed="81"/>
            <rFont val="Tahoma"/>
            <family val="2"/>
          </rPr>
          <t>DELL:</t>
        </r>
        <r>
          <rPr>
            <sz val="9"/>
            <color indexed="81"/>
            <rFont val="Tahoma"/>
            <family val="2"/>
          </rPr>
          <t xml:space="preserve">
Assumptions:
Dia of drill hole = 38mm
Dia of drill rod  = 32mm
Length of hole = 1m
Vol. of grout = Vol. of drill hole - Vol. of rod
Density of cement = 1440kg/cum
Dry vol. = 2 times wet vol.</t>
        </r>
      </text>
    </comment>
    <comment ref="K684" authorId="2" shapeId="0">
      <text>
        <r>
          <rPr>
            <b/>
            <sz val="9"/>
            <color indexed="81"/>
            <rFont val="Tahoma"/>
            <family val="2"/>
          </rPr>
          <t>DELL:</t>
        </r>
        <r>
          <rPr>
            <sz val="9"/>
            <color indexed="81"/>
            <rFont val="Tahoma"/>
            <family val="2"/>
          </rPr>
          <t xml:space="preserve">
Assumptions:
Dia of drill hole = 38mm
Dia of drill rod  = 32mm
Length of hole = 1m
Vol. of grout = Vol. of drill hole - Vol. of rod
Density of cement = 1440kg/cum
Dry vol. = 2 times wet vol.</t>
        </r>
      </text>
    </comment>
    <comment ref="K709" authorId="2" shapeId="0">
      <text>
        <r>
          <rPr>
            <b/>
            <sz val="9"/>
            <color indexed="81"/>
            <rFont val="Tahoma"/>
            <family val="2"/>
          </rPr>
          <t>DELL:</t>
        </r>
        <r>
          <rPr>
            <sz val="9"/>
            <color indexed="81"/>
            <rFont val="Tahoma"/>
            <family val="2"/>
          </rPr>
          <t xml:space="preserve">
Assumptions:
Dia of drill hole = 38mm
Dia of drill rod  = 32mm
Length of hole = 1m
Vol. of grout = Vol. of drill hole - Vol. of rod
Density of cement = 1440kg/cum
Dry vol. = 2 times wet vol.</t>
        </r>
      </text>
    </comment>
    <comment ref="K734" authorId="2" shapeId="0">
      <text>
        <r>
          <rPr>
            <b/>
            <sz val="9"/>
            <color indexed="81"/>
            <rFont val="Tahoma"/>
            <family val="2"/>
          </rPr>
          <t>DELL:</t>
        </r>
        <r>
          <rPr>
            <sz val="9"/>
            <color indexed="81"/>
            <rFont val="Tahoma"/>
            <family val="2"/>
          </rPr>
          <t xml:space="preserve">
Assumptions:
Dia of drill hole = 38mm
Dia of drill rod  = 32mm
Length of hole = 1m
Vol. of grout = Vol. of drill hole - Vol. of rod
Density of cement = 1440kg/cum
Dry vol. = 2 times wet vol.</t>
        </r>
      </text>
    </comment>
  </commentList>
</comments>
</file>

<file path=xl/comments11.xml><?xml version="1.0" encoding="utf-8"?>
<comments xmlns="http://schemas.openxmlformats.org/spreadsheetml/2006/main">
  <authors>
    <author>bandhu</author>
  </authors>
  <commentList>
    <comment ref="L7" authorId="0" shapeId="0">
      <text>
        <r>
          <rPr>
            <b/>
            <sz val="8"/>
            <color indexed="81"/>
            <rFont val="Tahoma"/>
            <family val="2"/>
          </rPr>
          <t>cost per m for 25 mm dia bar</t>
        </r>
        <r>
          <rPr>
            <sz val="8"/>
            <color indexed="81"/>
            <rFont val="Tahoma"/>
            <family val="2"/>
          </rPr>
          <t xml:space="preserve">
</t>
        </r>
      </text>
    </comment>
  </commentList>
</comments>
</file>

<file path=xl/comments12.xml><?xml version="1.0" encoding="utf-8"?>
<comments xmlns="http://schemas.openxmlformats.org/spreadsheetml/2006/main">
  <authors>
    <author>Dip Raj Bista</author>
  </authors>
  <commentList>
    <comment ref="S4" authorId="0" shapeId="0">
      <text>
        <r>
          <rPr>
            <b/>
            <sz val="9"/>
            <color indexed="81"/>
            <rFont val="Tahoma"/>
            <family val="2"/>
          </rPr>
          <t>Dip Raj Bista:</t>
        </r>
        <r>
          <rPr>
            <sz val="9"/>
            <color indexed="81"/>
            <rFont val="Tahoma"/>
            <family val="2"/>
          </rPr>
          <t xml:space="preserve">
different than quantity of DOR 30.04 so now corrected.</t>
        </r>
      </text>
    </comment>
    <comment ref="W9" authorId="0" shapeId="0">
      <text>
        <r>
          <rPr>
            <b/>
            <sz val="9"/>
            <color indexed="81"/>
            <rFont val="Tahoma"/>
            <family val="2"/>
          </rPr>
          <t>Dip Raj Bista:</t>
        </r>
        <r>
          <rPr>
            <sz val="9"/>
            <color indexed="81"/>
            <rFont val="Tahoma"/>
            <family val="2"/>
          </rPr>
          <t xml:space="preserve">
COST OF DISEAL IS NOT INCLUDED HERE.</t>
        </r>
      </text>
    </comment>
    <comment ref="S29" authorId="0" shapeId="0">
      <text>
        <r>
          <rPr>
            <b/>
            <sz val="9"/>
            <color indexed="81"/>
            <rFont val="Tahoma"/>
            <family val="2"/>
          </rPr>
          <t>Dip Raj Bista:</t>
        </r>
        <r>
          <rPr>
            <sz val="9"/>
            <color indexed="81"/>
            <rFont val="Tahoma"/>
            <family val="2"/>
          </rPr>
          <t xml:space="preserve">
different than quantity of DOR 30.04</t>
        </r>
      </text>
    </comment>
  </commentList>
</comments>
</file>

<file path=xl/comments13.xml><?xml version="1.0" encoding="utf-8"?>
<comments xmlns="http://schemas.openxmlformats.org/spreadsheetml/2006/main">
  <authors>
    <author>krishna</author>
  </authors>
  <commentList>
    <comment ref="N15" authorId="0" shapeId="0">
      <text>
        <r>
          <rPr>
            <b/>
            <sz val="8"/>
            <color indexed="81"/>
            <rFont val="Tahoma"/>
            <family val="2"/>
          </rPr>
          <t>krishna:</t>
        </r>
        <r>
          <rPr>
            <sz val="8"/>
            <color indexed="81"/>
            <rFont val="Tahoma"/>
            <family val="2"/>
          </rPr>
          <t xml:space="preserve">
included in excavation</t>
        </r>
      </text>
    </comment>
    <comment ref="N30" authorId="0" shapeId="0">
      <text>
        <r>
          <rPr>
            <b/>
            <sz val="8"/>
            <color indexed="81"/>
            <rFont val="Tahoma"/>
            <family val="2"/>
          </rPr>
          <t>krishna:</t>
        </r>
        <r>
          <rPr>
            <sz val="8"/>
            <color indexed="81"/>
            <rFont val="Tahoma"/>
            <family val="2"/>
          </rPr>
          <t xml:space="preserve">
included in excavation</t>
        </r>
      </text>
    </comment>
    <comment ref="N48" authorId="0" shapeId="0">
      <text>
        <r>
          <rPr>
            <b/>
            <sz val="8"/>
            <color indexed="81"/>
            <rFont val="Tahoma"/>
            <family val="2"/>
          </rPr>
          <t>krishna:</t>
        </r>
        <r>
          <rPr>
            <sz val="8"/>
            <color indexed="81"/>
            <rFont val="Tahoma"/>
            <family val="2"/>
          </rPr>
          <t xml:space="preserve">
included in excavation</t>
        </r>
      </text>
    </comment>
  </commentList>
</comments>
</file>

<file path=xl/comments14.xml><?xml version="1.0" encoding="utf-8"?>
<comments xmlns="http://schemas.openxmlformats.org/spreadsheetml/2006/main">
  <authors>
    <author>Dip Raj Bista</author>
  </authors>
  <commentList>
    <comment ref="B16" authorId="0" shapeId="0">
      <text>
        <r>
          <rPr>
            <b/>
            <sz val="9"/>
            <color indexed="81"/>
            <rFont val="Tahoma"/>
            <family val="2"/>
          </rPr>
          <t>Dip Raj Bista:</t>
        </r>
        <r>
          <rPr>
            <sz val="9"/>
            <color indexed="81"/>
            <rFont val="Tahoma"/>
            <family val="2"/>
          </rPr>
          <t xml:space="preserve">
this is of 10 sq m prepare another table for 1sqm… most imoptrant </t>
        </r>
      </text>
    </comment>
    <comment ref="B32" authorId="0" shapeId="0">
      <text>
        <r>
          <rPr>
            <b/>
            <sz val="9"/>
            <color indexed="81"/>
            <rFont val="Tahoma"/>
            <family val="2"/>
          </rPr>
          <t>Dip Raj Bista:</t>
        </r>
        <r>
          <rPr>
            <sz val="9"/>
            <color indexed="81"/>
            <rFont val="Tahoma"/>
            <family val="2"/>
          </rPr>
          <t xml:space="preserve">
this is of 10 sq m prepare another table for 1sqm… most imoptrant </t>
        </r>
      </text>
    </comment>
    <comment ref="B48" authorId="0" shapeId="0">
      <text>
        <r>
          <rPr>
            <b/>
            <sz val="9"/>
            <color indexed="81"/>
            <rFont val="Tahoma"/>
            <family val="2"/>
          </rPr>
          <t>Dip Raj Bista:</t>
        </r>
        <r>
          <rPr>
            <sz val="9"/>
            <color indexed="81"/>
            <rFont val="Tahoma"/>
            <family val="2"/>
          </rPr>
          <t xml:space="preserve">
this is of 10 sq m prepare another table for 1sqm… most imoptrant </t>
        </r>
      </text>
    </comment>
  </commentList>
</comments>
</file>

<file path=xl/comments15.xml><?xml version="1.0" encoding="utf-8"?>
<comments xmlns="http://schemas.openxmlformats.org/spreadsheetml/2006/main">
  <authors>
    <author>Anuj Pradhananga</author>
  </authors>
  <commentList>
    <comment ref="K4" authorId="0" shapeId="0">
      <text>
        <r>
          <rPr>
            <b/>
            <sz val="9"/>
            <color indexed="81"/>
            <rFont val="Tahoma"/>
            <family val="2"/>
          </rPr>
          <t>Anuj Pradhananga:</t>
        </r>
        <r>
          <rPr>
            <sz val="9"/>
            <color indexed="81"/>
            <rFont val="Tahoma"/>
            <family val="2"/>
          </rPr>
          <t xml:space="preserve">
Increase 15% for wastage</t>
        </r>
      </text>
    </comment>
    <comment ref="L4" authorId="0" shapeId="0">
      <text>
        <r>
          <rPr>
            <b/>
            <sz val="9"/>
            <color indexed="81"/>
            <rFont val="Tahoma"/>
            <family val="2"/>
          </rPr>
          <t>Anuj Pradhananga:</t>
        </r>
        <r>
          <rPr>
            <sz val="9"/>
            <color indexed="81"/>
            <rFont val="Tahoma"/>
            <family val="2"/>
          </rPr>
          <t xml:space="preserve">
Increased by  50%  of the rate of mild steel </t>
        </r>
      </text>
    </comment>
  </commentList>
</comments>
</file>

<file path=xl/comments16.xml><?xml version="1.0" encoding="utf-8"?>
<comments xmlns="http://schemas.openxmlformats.org/spreadsheetml/2006/main">
  <authors>
    <author>basantag</author>
  </authors>
  <commentList>
    <comment ref="L207" authorId="0" shapeId="0">
      <text>
        <r>
          <rPr>
            <b/>
            <sz val="8"/>
            <color indexed="81"/>
            <rFont val="Tahoma"/>
            <family val="2"/>
          </rPr>
          <t>basantag:</t>
        </r>
        <r>
          <rPr>
            <sz val="8"/>
            <color indexed="81"/>
            <rFont val="Tahoma"/>
            <family val="2"/>
          </rPr>
          <t xml:space="preserve">
District Rate for 50mm Pipe rate 185
</t>
        </r>
      </text>
    </comment>
    <comment ref="L231" authorId="0" shapeId="0">
      <text>
        <r>
          <rPr>
            <b/>
            <sz val="8"/>
            <color indexed="81"/>
            <rFont val="Tahoma"/>
            <family val="2"/>
          </rPr>
          <t>basantag:</t>
        </r>
        <r>
          <rPr>
            <sz val="8"/>
            <color indexed="81"/>
            <rFont val="Tahoma"/>
            <family val="2"/>
          </rPr>
          <t xml:space="preserve">
District Rate for 32mm GI Nipple Rate=135</t>
        </r>
      </text>
    </comment>
  </commentList>
</comments>
</file>

<file path=xl/comments2.xml><?xml version="1.0" encoding="utf-8"?>
<comments xmlns="http://schemas.openxmlformats.org/spreadsheetml/2006/main">
  <authors>
    <author>Ranjita Khatri</author>
    <author>basantag</author>
    <author>Anugya Sapkota</author>
  </authors>
  <commentList>
    <comment ref="D20" authorId="0" shapeId="0">
      <text>
        <r>
          <rPr>
            <b/>
            <sz val="9"/>
            <color indexed="81"/>
            <rFont val="Tahoma"/>
            <family val="2"/>
          </rPr>
          <t>Ranjita Khatri:</t>
        </r>
        <r>
          <rPr>
            <sz val="9"/>
            <color indexed="81"/>
            <rFont val="Tahoma"/>
            <family val="2"/>
          </rPr>
          <t xml:space="preserve">
As per Exchange rate of 2020/1/31</t>
        </r>
      </text>
    </comment>
    <comment ref="I20" authorId="0" shapeId="0">
      <text>
        <r>
          <rPr>
            <b/>
            <sz val="9"/>
            <color indexed="81"/>
            <rFont val="Tahoma"/>
            <family val="2"/>
          </rPr>
          <t>Ranjita Khatri:</t>
        </r>
        <r>
          <rPr>
            <sz val="9"/>
            <color indexed="81"/>
            <rFont val="Tahoma"/>
            <family val="2"/>
          </rPr>
          <t xml:space="preserve">
As per Exchange rate of 2020/1/31</t>
        </r>
      </text>
    </comment>
    <comment ref="D28" authorId="1" shapeId="0">
      <text>
        <r>
          <rPr>
            <b/>
            <sz val="8"/>
            <color indexed="81"/>
            <rFont val="Tahoma"/>
            <family val="2"/>
          </rPr>
          <t>basantag:</t>
        </r>
        <r>
          <rPr>
            <sz val="8"/>
            <color indexed="81"/>
            <rFont val="Tahoma"/>
            <family val="2"/>
          </rPr>
          <t xml:space="preserve">
Assit. Sub engineer 
</t>
        </r>
      </text>
    </comment>
    <comment ref="I28" authorId="1" shapeId="0">
      <text>
        <r>
          <rPr>
            <b/>
            <sz val="8"/>
            <color indexed="81"/>
            <rFont val="Tahoma"/>
            <family val="2"/>
          </rPr>
          <t>basantag:</t>
        </r>
        <r>
          <rPr>
            <sz val="8"/>
            <color indexed="81"/>
            <rFont val="Tahoma"/>
            <family val="2"/>
          </rPr>
          <t xml:space="preserve">
10% Extra on Skilled Labour Rate</t>
        </r>
      </text>
    </comment>
    <comment ref="D30" authorId="1" shapeId="0">
      <text>
        <r>
          <rPr>
            <b/>
            <sz val="8"/>
            <color indexed="81"/>
            <rFont val="Tahoma"/>
            <family val="2"/>
          </rPr>
          <t>basantag:</t>
        </r>
        <r>
          <rPr>
            <sz val="8"/>
            <color indexed="81"/>
            <rFont val="Tahoma"/>
            <family val="2"/>
          </rPr>
          <t xml:space="preserve">
Same as Skilled Labour</t>
        </r>
      </text>
    </comment>
    <comment ref="I30" authorId="1" shapeId="0">
      <text>
        <r>
          <rPr>
            <b/>
            <sz val="8"/>
            <color indexed="81"/>
            <rFont val="Tahoma"/>
            <family val="2"/>
          </rPr>
          <t>basantag:</t>
        </r>
        <r>
          <rPr>
            <sz val="8"/>
            <color indexed="81"/>
            <rFont val="Tahoma"/>
            <family val="2"/>
          </rPr>
          <t xml:space="preserve">
Same as Skilled Labour</t>
        </r>
      </text>
    </comment>
    <comment ref="D33" authorId="0" shapeId="0">
      <text>
        <r>
          <rPr>
            <b/>
            <sz val="9"/>
            <color indexed="81"/>
            <rFont val="Tahoma"/>
            <family val="2"/>
          </rPr>
          <t>Ranjita Khatri:</t>
        </r>
        <r>
          <rPr>
            <sz val="9"/>
            <color indexed="81"/>
            <rFont val="Tahoma"/>
            <family val="2"/>
          </rPr>
          <t xml:space="preserve">
same as skilled labour
</t>
        </r>
      </text>
    </comment>
    <comment ref="I33" authorId="0" shapeId="0">
      <text>
        <r>
          <rPr>
            <b/>
            <sz val="9"/>
            <color indexed="81"/>
            <rFont val="Tahoma"/>
            <family val="2"/>
          </rPr>
          <t>Ranjita Khatri:</t>
        </r>
        <r>
          <rPr>
            <sz val="9"/>
            <color indexed="81"/>
            <rFont val="Tahoma"/>
            <family val="2"/>
          </rPr>
          <t xml:space="preserve">
same as skilled labour
</t>
        </r>
      </text>
    </comment>
    <comment ref="D34" authorId="1" shapeId="0">
      <text>
        <r>
          <rPr>
            <b/>
            <sz val="8"/>
            <color indexed="81"/>
            <rFont val="Tahoma"/>
            <family val="2"/>
          </rPr>
          <t>basantag:</t>
        </r>
        <r>
          <rPr>
            <sz val="8"/>
            <color indexed="81"/>
            <rFont val="Tahoma"/>
            <family val="2"/>
          </rPr>
          <t xml:space="preserve">
Same as Unskilled Labour</t>
        </r>
      </text>
    </comment>
    <comment ref="I34" authorId="1" shapeId="0">
      <text>
        <r>
          <rPr>
            <b/>
            <sz val="8"/>
            <color indexed="81"/>
            <rFont val="Tahoma"/>
            <family val="2"/>
          </rPr>
          <t>basantag:</t>
        </r>
        <r>
          <rPr>
            <sz val="8"/>
            <color indexed="81"/>
            <rFont val="Tahoma"/>
            <family val="2"/>
          </rPr>
          <t xml:space="preserve">
Same as Unskilled Labour</t>
        </r>
      </text>
    </comment>
    <comment ref="D35" authorId="0" shapeId="0">
      <text>
        <r>
          <rPr>
            <b/>
            <sz val="9"/>
            <color indexed="81"/>
            <rFont val="Tahoma"/>
            <family val="2"/>
          </rPr>
          <t>Ranjita Khatri:</t>
        </r>
        <r>
          <rPr>
            <sz val="9"/>
            <color indexed="81"/>
            <rFont val="Tahoma"/>
            <family val="2"/>
          </rPr>
          <t xml:space="preserve">
same as skilled labour</t>
        </r>
      </text>
    </comment>
    <comment ref="I35" authorId="0" shapeId="0">
      <text>
        <r>
          <rPr>
            <b/>
            <sz val="9"/>
            <color indexed="81"/>
            <rFont val="Tahoma"/>
            <family val="2"/>
          </rPr>
          <t>Ranjita Khatri:</t>
        </r>
        <r>
          <rPr>
            <sz val="9"/>
            <color indexed="81"/>
            <rFont val="Tahoma"/>
            <family val="2"/>
          </rPr>
          <t xml:space="preserve">
same as skilled labour</t>
        </r>
      </text>
    </comment>
    <comment ref="D36" authorId="0" shapeId="0">
      <text>
        <r>
          <rPr>
            <b/>
            <sz val="9"/>
            <color indexed="81"/>
            <rFont val="Tahoma"/>
            <family val="2"/>
          </rPr>
          <t>Ranjita Khatri:</t>
        </r>
        <r>
          <rPr>
            <sz val="9"/>
            <color indexed="81"/>
            <rFont val="Tahoma"/>
            <family val="2"/>
          </rPr>
          <t xml:space="preserve">
same as skilled labour</t>
        </r>
      </text>
    </comment>
    <comment ref="I36" authorId="0" shapeId="0">
      <text>
        <r>
          <rPr>
            <b/>
            <sz val="9"/>
            <color indexed="81"/>
            <rFont val="Tahoma"/>
            <family val="2"/>
          </rPr>
          <t>Ranjita Khatri:</t>
        </r>
        <r>
          <rPr>
            <sz val="9"/>
            <color indexed="81"/>
            <rFont val="Tahoma"/>
            <family val="2"/>
          </rPr>
          <t xml:space="preserve">
same as skilled labour</t>
        </r>
      </text>
    </comment>
    <comment ref="D37" authorId="0" shapeId="0">
      <text>
        <r>
          <rPr>
            <b/>
            <sz val="9"/>
            <color indexed="81"/>
            <rFont val="Tahoma"/>
            <family val="2"/>
          </rPr>
          <t>Ranjita Khatri:</t>
        </r>
        <r>
          <rPr>
            <sz val="9"/>
            <color indexed="81"/>
            <rFont val="Tahoma"/>
            <family val="2"/>
          </rPr>
          <t xml:space="preserve">
same as skilled labour</t>
        </r>
      </text>
    </comment>
    <comment ref="I37" authorId="0" shapeId="0">
      <text>
        <r>
          <rPr>
            <b/>
            <sz val="9"/>
            <color indexed="81"/>
            <rFont val="Tahoma"/>
            <family val="2"/>
          </rPr>
          <t>Ranjita Khatri:</t>
        </r>
        <r>
          <rPr>
            <sz val="9"/>
            <color indexed="81"/>
            <rFont val="Tahoma"/>
            <family val="2"/>
          </rPr>
          <t xml:space="preserve">
same as skilled labour</t>
        </r>
      </text>
    </comment>
    <comment ref="D38" authorId="0" shapeId="0">
      <text>
        <r>
          <rPr>
            <b/>
            <sz val="9"/>
            <color indexed="81"/>
            <rFont val="Tahoma"/>
            <family val="2"/>
          </rPr>
          <t>Ranjita Khatri:</t>
        </r>
        <r>
          <rPr>
            <sz val="9"/>
            <color indexed="81"/>
            <rFont val="Tahoma"/>
            <family val="2"/>
          </rPr>
          <t xml:space="preserve">
same as operator
</t>
        </r>
      </text>
    </comment>
    <comment ref="I38" authorId="0" shapeId="0">
      <text>
        <r>
          <rPr>
            <b/>
            <sz val="9"/>
            <color indexed="81"/>
            <rFont val="Tahoma"/>
            <family val="2"/>
          </rPr>
          <t>Ranjita Khatri:</t>
        </r>
        <r>
          <rPr>
            <sz val="9"/>
            <color indexed="81"/>
            <rFont val="Tahoma"/>
            <family val="2"/>
          </rPr>
          <t xml:space="preserve">
same as operator
</t>
        </r>
      </text>
    </comment>
    <comment ref="D39" authorId="0" shapeId="0">
      <text>
        <r>
          <rPr>
            <b/>
            <sz val="9"/>
            <color indexed="81"/>
            <rFont val="Tahoma"/>
            <family val="2"/>
          </rPr>
          <t>Ranjita Khatri:</t>
        </r>
        <r>
          <rPr>
            <sz val="9"/>
            <color indexed="81"/>
            <rFont val="Tahoma"/>
            <family val="2"/>
          </rPr>
          <t xml:space="preserve">
same as skilled labour</t>
        </r>
      </text>
    </comment>
    <comment ref="I39" authorId="0" shapeId="0">
      <text>
        <r>
          <rPr>
            <b/>
            <sz val="9"/>
            <color indexed="81"/>
            <rFont val="Tahoma"/>
            <family val="2"/>
          </rPr>
          <t>Ranjita Khatri:</t>
        </r>
        <r>
          <rPr>
            <sz val="9"/>
            <color indexed="81"/>
            <rFont val="Tahoma"/>
            <family val="2"/>
          </rPr>
          <t xml:space="preserve">
same as skilled labour</t>
        </r>
      </text>
    </comment>
    <comment ref="D59" authorId="1" shapeId="0">
      <text>
        <r>
          <rPr>
            <b/>
            <sz val="8"/>
            <color indexed="81"/>
            <rFont val="Tahoma"/>
            <family val="2"/>
          </rPr>
          <t>basantag:</t>
        </r>
        <r>
          <rPr>
            <sz val="8"/>
            <color indexed="81"/>
            <rFont val="Tahoma"/>
            <family val="2"/>
          </rPr>
          <t xml:space="preserve">
Average of River Sand &amp; Natural Gravel</t>
        </r>
      </text>
    </comment>
    <comment ref="I59" authorId="1" shapeId="0">
      <text>
        <r>
          <rPr>
            <b/>
            <sz val="8"/>
            <color indexed="81"/>
            <rFont val="Tahoma"/>
            <family val="2"/>
          </rPr>
          <t>basantag:</t>
        </r>
        <r>
          <rPr>
            <sz val="8"/>
            <color indexed="81"/>
            <rFont val="Tahoma"/>
            <family val="2"/>
          </rPr>
          <t xml:space="preserve">
Average of River Sand &amp; Natural Gravel</t>
        </r>
      </text>
    </comment>
    <comment ref="D71" authorId="0" shapeId="0">
      <text>
        <r>
          <rPr>
            <b/>
            <sz val="9"/>
            <color indexed="81"/>
            <rFont val="Tahoma"/>
            <family val="2"/>
          </rPr>
          <t>Ranjita Khatri:</t>
        </r>
        <r>
          <rPr>
            <sz val="9"/>
            <color indexed="81"/>
            <rFont val="Tahoma"/>
            <family val="2"/>
          </rPr>
          <t xml:space="preserve">
1 sqft = 0.092903 Sqm</t>
        </r>
      </text>
    </comment>
    <comment ref="I71" authorId="0" shapeId="0">
      <text>
        <r>
          <rPr>
            <b/>
            <sz val="9"/>
            <color indexed="81"/>
            <rFont val="Tahoma"/>
            <family val="2"/>
          </rPr>
          <t>Ranjita Khatri:</t>
        </r>
        <r>
          <rPr>
            <sz val="9"/>
            <color indexed="81"/>
            <rFont val="Tahoma"/>
            <family val="2"/>
          </rPr>
          <t xml:space="preserve">
1 sqft = 0.092903 Sqm</t>
        </r>
      </text>
    </comment>
    <comment ref="E74" authorId="0" shapeId="0">
      <text>
        <r>
          <rPr>
            <b/>
            <sz val="9"/>
            <color indexed="81"/>
            <rFont val="Tahoma"/>
            <family val="2"/>
          </rPr>
          <t>Ranjita Khatri:</t>
        </r>
        <r>
          <rPr>
            <sz val="9"/>
            <color indexed="81"/>
            <rFont val="Tahoma"/>
            <family val="2"/>
          </rPr>
          <t xml:space="preserve">
Because  rate of the brick includes transportation cost
</t>
        </r>
      </text>
    </comment>
    <comment ref="B76" authorId="1" shapeId="0">
      <text>
        <r>
          <rPr>
            <b/>
            <sz val="8"/>
            <color indexed="81"/>
            <rFont val="Tahoma"/>
            <family val="2"/>
          </rPr>
          <t>basantag:</t>
        </r>
        <r>
          <rPr>
            <sz val="8"/>
            <color indexed="81"/>
            <rFont val="Tahoma"/>
            <family val="2"/>
          </rPr>
          <t xml:space="preserve">
SN - 1.6
Type - Sigunit Powder-1 
Manufacturer - Sika
Unit Rate - IRS 37.50 per kg</t>
        </r>
      </text>
    </comment>
    <comment ref="D76" authorId="1" shapeId="0">
      <text>
        <r>
          <rPr>
            <b/>
            <sz val="8"/>
            <color indexed="81"/>
            <rFont val="Tahoma"/>
            <family val="2"/>
          </rPr>
          <t>basantag:</t>
        </r>
        <r>
          <rPr>
            <sz val="8"/>
            <color indexed="81"/>
            <rFont val="Tahoma"/>
            <family val="2"/>
          </rPr>
          <t xml:space="preserve">
Assuming 8% extra for transportation upto Sunauli, India and 13% Tax</t>
        </r>
      </text>
    </comment>
    <comment ref="I76" authorId="1" shapeId="0">
      <text>
        <r>
          <rPr>
            <b/>
            <sz val="8"/>
            <color indexed="81"/>
            <rFont val="Tahoma"/>
            <family val="2"/>
          </rPr>
          <t>basantag:</t>
        </r>
        <r>
          <rPr>
            <sz val="8"/>
            <color indexed="81"/>
            <rFont val="Tahoma"/>
            <family val="2"/>
          </rPr>
          <t xml:space="preserve">
Assuming 8% extra for transportation upto Sunauli, India and 13% Tax</t>
        </r>
      </text>
    </comment>
    <comment ref="I86" authorId="2" shapeId="0">
      <text>
        <r>
          <rPr>
            <b/>
            <sz val="9"/>
            <color indexed="81"/>
            <rFont val="Tahoma"/>
            <family val="2"/>
          </rPr>
          <t>Anugya Sapkota:</t>
        </r>
        <r>
          <rPr>
            <sz val="9"/>
            <color indexed="81"/>
            <rFont val="Tahoma"/>
            <family val="2"/>
          </rPr>
          <t xml:space="preserve">
Same as reinforcement
</t>
        </r>
      </text>
    </comment>
    <comment ref="D88" authorId="0" shapeId="0">
      <text>
        <r>
          <rPr>
            <b/>
            <sz val="9"/>
            <color indexed="81"/>
            <rFont val="Tahoma"/>
            <family val="2"/>
          </rPr>
          <t>Ranjita Khatri:</t>
        </r>
        <r>
          <rPr>
            <sz val="9"/>
            <color indexed="81"/>
            <rFont val="Tahoma"/>
            <family val="2"/>
          </rPr>
          <t xml:space="preserve">
Assuming unit wt/m of MS pipe 40mm dia is 3.61 kg/m</t>
        </r>
      </text>
    </comment>
    <comment ref="I88" authorId="0" shapeId="0">
      <text>
        <r>
          <rPr>
            <b/>
            <sz val="9"/>
            <color indexed="81"/>
            <rFont val="Tahoma"/>
            <family val="2"/>
          </rPr>
          <t>Ranjita Khatri:</t>
        </r>
        <r>
          <rPr>
            <sz val="9"/>
            <color indexed="81"/>
            <rFont val="Tahoma"/>
            <family val="2"/>
          </rPr>
          <t xml:space="preserve">
Assuming unit wt/m of MS pipe 40mm dia is 3.61 kg/m</t>
        </r>
      </text>
    </comment>
    <comment ref="D92" authorId="0" shapeId="0">
      <text>
        <r>
          <rPr>
            <b/>
            <sz val="9"/>
            <color indexed="81"/>
            <rFont val="Tahoma"/>
            <family val="2"/>
          </rPr>
          <t>Ranjita Khatri:</t>
        </r>
        <r>
          <rPr>
            <sz val="9"/>
            <color indexed="81"/>
            <rFont val="Tahoma"/>
            <family val="2"/>
          </rPr>
          <t xml:space="preserve">
Selling price as per Nepal oil corporation dated 2075/2/3 in Dang and Pokhara</t>
        </r>
      </text>
    </comment>
    <comment ref="I92" authorId="0" shapeId="0">
      <text>
        <r>
          <rPr>
            <b/>
            <sz val="9"/>
            <color indexed="81"/>
            <rFont val="Tahoma"/>
            <family val="2"/>
          </rPr>
          <t>Ranjita Khatri:</t>
        </r>
        <r>
          <rPr>
            <sz val="9"/>
            <color indexed="81"/>
            <rFont val="Tahoma"/>
            <family val="2"/>
          </rPr>
          <t xml:space="preserve">
Selling price as per Nepal oil corporation dated 2075/2/3 in Dang and Pokhara</t>
        </r>
      </text>
    </comment>
    <comment ref="D99" authorId="0" shapeId="0">
      <text>
        <r>
          <rPr>
            <b/>
            <sz val="9"/>
            <color indexed="81"/>
            <rFont val="Tahoma"/>
            <family val="2"/>
          </rPr>
          <t>Ranjita Khatri:
1kg = 1 lt</t>
        </r>
      </text>
    </comment>
    <comment ref="I99" authorId="0" shapeId="0">
      <text>
        <r>
          <rPr>
            <b/>
            <sz val="9"/>
            <color indexed="81"/>
            <rFont val="Tahoma"/>
            <family val="2"/>
          </rPr>
          <t>Ranjita Khatri:
1kg = 1 lt</t>
        </r>
      </text>
    </comment>
    <comment ref="E101" authorId="0" shapeId="0">
      <text>
        <r>
          <rPr>
            <b/>
            <sz val="9"/>
            <color indexed="81"/>
            <rFont val="Tahoma"/>
            <family val="2"/>
          </rPr>
          <t>Ranjita Khatri:</t>
        </r>
        <r>
          <rPr>
            <sz val="9"/>
            <color indexed="81"/>
            <rFont val="Tahoma"/>
            <family val="2"/>
          </rPr>
          <t xml:space="preserve">
Rate of Gulmi is for Fiscal year 2072/73 so 4% has been increased</t>
        </r>
      </text>
    </comment>
    <comment ref="B103" authorId="1" shapeId="0">
      <text>
        <r>
          <rPr>
            <b/>
            <sz val="8"/>
            <color indexed="81"/>
            <rFont val="Tahoma"/>
            <family val="2"/>
          </rPr>
          <t>basantag:</t>
        </r>
        <r>
          <rPr>
            <sz val="8"/>
            <color indexed="81"/>
            <rFont val="Tahoma"/>
            <family val="2"/>
          </rPr>
          <t xml:space="preserve">
1 bundle = 168sq.ft (72ft. X 28inch)</t>
        </r>
      </text>
    </comment>
    <comment ref="D103" authorId="1" shapeId="0">
      <text>
        <r>
          <rPr>
            <b/>
            <sz val="8"/>
            <color indexed="81"/>
            <rFont val="Tahoma"/>
            <family val="2"/>
          </rPr>
          <t>basantag:</t>
        </r>
        <r>
          <rPr>
            <sz val="8"/>
            <color indexed="81"/>
            <rFont val="Tahoma"/>
            <family val="2"/>
          </rPr>
          <t xml:space="preserve">
Rate of coloured CGI Sheet</t>
        </r>
      </text>
    </comment>
    <comment ref="I103" authorId="1" shapeId="0">
      <text>
        <r>
          <rPr>
            <b/>
            <sz val="8"/>
            <color indexed="81"/>
            <rFont val="Tahoma"/>
            <family val="2"/>
          </rPr>
          <t>basantag:</t>
        </r>
        <r>
          <rPr>
            <sz val="8"/>
            <color indexed="81"/>
            <rFont val="Tahoma"/>
            <family val="2"/>
          </rPr>
          <t xml:space="preserve">
Rate of coloured CGI Sheet</t>
        </r>
      </text>
    </comment>
    <comment ref="B111" authorId="0" shapeId="0">
      <text>
        <r>
          <rPr>
            <b/>
            <sz val="9"/>
            <color indexed="81"/>
            <rFont val="Tahoma"/>
            <family val="2"/>
          </rPr>
          <t>Ranjita Khatri:</t>
        </r>
        <r>
          <rPr>
            <sz val="9"/>
            <color indexed="81"/>
            <rFont val="Tahoma"/>
            <family val="2"/>
          </rPr>
          <t xml:space="preserve">
steel Handle</t>
        </r>
      </text>
    </comment>
    <comment ref="D112" authorId="0" shapeId="0">
      <text>
        <r>
          <rPr>
            <b/>
            <sz val="9"/>
            <color indexed="81"/>
            <rFont val="Tahoma"/>
            <family val="2"/>
          </rPr>
          <t>Ranjita Khatri:</t>
        </r>
        <r>
          <rPr>
            <sz val="9"/>
            <color indexed="81"/>
            <rFont val="Tahoma"/>
            <family val="2"/>
          </rPr>
          <t xml:space="preserve">
converting sqft to sqm</t>
        </r>
      </text>
    </comment>
    <comment ref="I112" authorId="0" shapeId="0">
      <text>
        <r>
          <rPr>
            <b/>
            <sz val="9"/>
            <color indexed="81"/>
            <rFont val="Tahoma"/>
            <family val="2"/>
          </rPr>
          <t>Ranjita Khatri:</t>
        </r>
        <r>
          <rPr>
            <sz val="9"/>
            <color indexed="81"/>
            <rFont val="Tahoma"/>
            <family val="2"/>
          </rPr>
          <t xml:space="preserve">
converting sqft to sqm</t>
        </r>
      </text>
    </comment>
    <comment ref="D113" authorId="1" shapeId="0">
      <text>
        <r>
          <rPr>
            <b/>
            <sz val="8"/>
            <color indexed="81"/>
            <rFont val="Tahoma"/>
            <family val="2"/>
          </rPr>
          <t>basantag:</t>
        </r>
        <r>
          <rPr>
            <sz val="8"/>
            <color indexed="81"/>
            <rFont val="Tahoma"/>
            <family val="2"/>
          </rPr>
          <t xml:space="preserve">
Assuming density of gum to 1kg/litre
1 bottle of glue contain 200gm</t>
        </r>
      </text>
    </comment>
    <comment ref="I113" authorId="1" shapeId="0">
      <text>
        <r>
          <rPr>
            <b/>
            <sz val="8"/>
            <color indexed="81"/>
            <rFont val="Tahoma"/>
            <family val="2"/>
          </rPr>
          <t>basantag:</t>
        </r>
        <r>
          <rPr>
            <sz val="8"/>
            <color indexed="81"/>
            <rFont val="Tahoma"/>
            <family val="2"/>
          </rPr>
          <t xml:space="preserve">
Assuming density of gum to 1kg/litre
1 bottle of glue contain 200gm</t>
        </r>
      </text>
    </comment>
    <comment ref="B117" authorId="1" shapeId="0">
      <text>
        <r>
          <rPr>
            <b/>
            <sz val="8"/>
            <color indexed="81"/>
            <rFont val="Tahoma"/>
            <family val="2"/>
          </rPr>
          <t>basantag:</t>
        </r>
        <r>
          <rPr>
            <sz val="8"/>
            <color indexed="81"/>
            <rFont val="Tahoma"/>
            <family val="2"/>
          </rPr>
          <t xml:space="preserve">
Assuming 1 roll  contains 5m</t>
        </r>
      </text>
    </comment>
    <comment ref="D118" authorId="1" shapeId="0">
      <text>
        <r>
          <rPr>
            <b/>
            <sz val="8"/>
            <color indexed="81"/>
            <rFont val="Tahoma"/>
            <family val="2"/>
          </rPr>
          <t>basantag:</t>
        </r>
        <r>
          <rPr>
            <sz val="8"/>
            <color indexed="81"/>
            <rFont val="Tahoma"/>
            <family val="2"/>
          </rPr>
          <t xml:space="preserve">
*Tendered rate by Indian Explosives Limited, New Delhi, India to GOI, Directorate General of Supplies &amp; Disposals for supply of explosives to Silchar, West Bengal.
*Assuming that the tenderer provided 20% discount
*10% for safe handling &amp; packaging
*The transporation has been assumed to be 8% upto Sunauli, India.
*13% tax</t>
        </r>
      </text>
    </comment>
    <comment ref="I118" authorId="1" shapeId="0">
      <text>
        <r>
          <rPr>
            <b/>
            <sz val="8"/>
            <color indexed="81"/>
            <rFont val="Tahoma"/>
            <family val="2"/>
          </rPr>
          <t>basantag:</t>
        </r>
        <r>
          <rPr>
            <sz val="8"/>
            <color indexed="81"/>
            <rFont val="Tahoma"/>
            <family val="2"/>
          </rPr>
          <t xml:space="preserve">
*Tendered rate by Indian Explosives Limited, New Delhi, India to GOI, Directorate General of Supplies &amp; Disposals for supply of explosives to Silchar, West Bengal.
*Assuming that the tenderer provided 20% discount
*10% for safe handling &amp; packaging
*The transporation has been assumed to be 8% upto Sunauli, India.
*13% tax</t>
        </r>
      </text>
    </comment>
    <comment ref="D119" authorId="1" shapeId="0">
      <text>
        <r>
          <rPr>
            <b/>
            <sz val="8"/>
            <color indexed="81"/>
            <rFont val="Tahoma"/>
            <family val="2"/>
          </rPr>
          <t>basantag:</t>
        </r>
        <r>
          <rPr>
            <sz val="8"/>
            <color indexed="81"/>
            <rFont val="Tahoma"/>
            <family val="2"/>
          </rPr>
          <t xml:space="preserve">
Rate used in Chilime + 15% extra</t>
        </r>
      </text>
    </comment>
    <comment ref="I119" authorId="1" shapeId="0">
      <text>
        <r>
          <rPr>
            <b/>
            <sz val="8"/>
            <color indexed="81"/>
            <rFont val="Tahoma"/>
            <family val="2"/>
          </rPr>
          <t>basantag:</t>
        </r>
        <r>
          <rPr>
            <sz val="8"/>
            <color indexed="81"/>
            <rFont val="Tahoma"/>
            <family val="2"/>
          </rPr>
          <t xml:space="preserve">
Rate used in Chilime + 15% extra</t>
        </r>
      </text>
    </comment>
    <comment ref="D122" authorId="1" shapeId="0">
      <text>
        <r>
          <rPr>
            <b/>
            <sz val="8"/>
            <color indexed="81"/>
            <rFont val="Tahoma"/>
            <family val="2"/>
          </rPr>
          <t>basantag:</t>
        </r>
        <r>
          <rPr>
            <sz val="8"/>
            <color indexed="81"/>
            <rFont val="Tahoma"/>
            <family val="2"/>
          </rPr>
          <t xml:space="preserve">
Rate used in Chilime + 15% extra</t>
        </r>
      </text>
    </comment>
    <comment ref="I122" authorId="1" shapeId="0">
      <text>
        <r>
          <rPr>
            <b/>
            <sz val="8"/>
            <color indexed="81"/>
            <rFont val="Tahoma"/>
            <family val="2"/>
          </rPr>
          <t>basantag:</t>
        </r>
        <r>
          <rPr>
            <sz val="8"/>
            <color indexed="81"/>
            <rFont val="Tahoma"/>
            <family val="2"/>
          </rPr>
          <t xml:space="preserve">
Rate used in Chilime + 15% extra</t>
        </r>
      </text>
    </comment>
    <comment ref="D123" authorId="1" shapeId="0">
      <text>
        <r>
          <rPr>
            <b/>
            <sz val="8"/>
            <color indexed="81"/>
            <rFont val="Tahoma"/>
            <family val="2"/>
          </rPr>
          <t>basantag:</t>
        </r>
        <r>
          <rPr>
            <sz val="8"/>
            <color indexed="81"/>
            <rFont val="Tahoma"/>
            <family val="2"/>
          </rPr>
          <t xml:space="preserve">
Rate used in Chilime + 15% extra</t>
        </r>
      </text>
    </comment>
    <comment ref="I123" authorId="1" shapeId="0">
      <text>
        <r>
          <rPr>
            <b/>
            <sz val="8"/>
            <color indexed="81"/>
            <rFont val="Tahoma"/>
            <family val="2"/>
          </rPr>
          <t>basantag:</t>
        </r>
        <r>
          <rPr>
            <sz val="8"/>
            <color indexed="81"/>
            <rFont val="Tahoma"/>
            <family val="2"/>
          </rPr>
          <t xml:space="preserve">
Rate used in Chilime + 15% extra</t>
        </r>
      </text>
    </comment>
    <comment ref="D125" authorId="1" shapeId="0">
      <text>
        <r>
          <rPr>
            <b/>
            <sz val="8"/>
            <color indexed="81"/>
            <rFont val="Tahoma"/>
            <family val="2"/>
          </rPr>
          <t>basantag:</t>
        </r>
        <r>
          <rPr>
            <sz val="8"/>
            <color indexed="81"/>
            <rFont val="Tahoma"/>
            <family val="2"/>
          </rPr>
          <t xml:space="preserve">
Rate used in Chilime + 15% extra</t>
        </r>
      </text>
    </comment>
    <comment ref="I125" authorId="1" shapeId="0">
      <text>
        <r>
          <rPr>
            <b/>
            <sz val="8"/>
            <color indexed="81"/>
            <rFont val="Tahoma"/>
            <family val="2"/>
          </rPr>
          <t>basantag:</t>
        </r>
        <r>
          <rPr>
            <sz val="8"/>
            <color indexed="81"/>
            <rFont val="Tahoma"/>
            <family val="2"/>
          </rPr>
          <t xml:space="preserve">
Rate used in Chilime + 15% extra</t>
        </r>
      </text>
    </comment>
    <comment ref="D126" authorId="1" shapeId="0">
      <text>
        <r>
          <rPr>
            <b/>
            <sz val="8"/>
            <color indexed="81"/>
            <rFont val="Tahoma"/>
            <family val="2"/>
          </rPr>
          <t>basantag:</t>
        </r>
        <r>
          <rPr>
            <sz val="8"/>
            <color indexed="81"/>
            <rFont val="Tahoma"/>
            <family val="2"/>
          </rPr>
          <t xml:space="preserve">
Rate used in Chilime + 15% extra</t>
        </r>
      </text>
    </comment>
    <comment ref="I126" authorId="1" shapeId="0">
      <text>
        <r>
          <rPr>
            <b/>
            <sz val="8"/>
            <color indexed="81"/>
            <rFont val="Tahoma"/>
            <family val="2"/>
          </rPr>
          <t>basantag:</t>
        </r>
        <r>
          <rPr>
            <sz val="8"/>
            <color indexed="81"/>
            <rFont val="Tahoma"/>
            <family val="2"/>
          </rPr>
          <t xml:space="preserve">
Rate used in Chilime + 15% extra</t>
        </r>
      </text>
    </comment>
  </commentList>
</comments>
</file>

<file path=xl/comments3.xml><?xml version="1.0" encoding="utf-8"?>
<comments xmlns="http://schemas.openxmlformats.org/spreadsheetml/2006/main">
  <authors>
    <author>basantag</author>
    <author>Ranjita Khatri</author>
    <author>DELL</author>
    <author>basanta</author>
  </authors>
  <commentList>
    <comment ref="L39" authorId="0" shapeId="0">
      <text>
        <r>
          <rPr>
            <b/>
            <sz val="8"/>
            <color indexed="81"/>
            <rFont val="Tahoma"/>
            <family val="2"/>
          </rPr>
          <t>basantag:</t>
        </r>
        <r>
          <rPr>
            <sz val="8"/>
            <color indexed="81"/>
            <rFont val="Tahoma"/>
            <family val="2"/>
          </rPr>
          <t xml:space="preserve">
The quantity has been multiplied by thickness to convert the units</t>
        </r>
      </text>
    </comment>
    <comment ref="B41" authorId="0" shapeId="0">
      <text>
        <r>
          <rPr>
            <b/>
            <sz val="8"/>
            <color indexed="81"/>
            <rFont val="Tahoma"/>
            <family val="2"/>
          </rPr>
          <t>basantag:</t>
        </r>
        <r>
          <rPr>
            <sz val="8"/>
            <color indexed="81"/>
            <rFont val="Tahoma"/>
            <family val="2"/>
          </rPr>
          <t xml:space="preserve">
Reference: Nyadi Feasibility Report
Assuming 0.01 kg per no.</t>
        </r>
      </text>
    </comment>
    <comment ref="K41"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41" authorId="0" shapeId="0">
      <text>
        <r>
          <rPr>
            <b/>
            <sz val="8"/>
            <color indexed="81"/>
            <rFont val="Tahoma"/>
            <family val="2"/>
          </rPr>
          <t>basantag:</t>
        </r>
        <r>
          <rPr>
            <sz val="8"/>
            <color indexed="81"/>
            <rFont val="Tahoma"/>
            <family val="2"/>
          </rPr>
          <t xml:space="preserve">
Reference: Nyadi Feasibility Report
Assuming 0.01 kg per no.</t>
        </r>
      </text>
    </comment>
    <comment ref="K43" authorId="0" shapeId="0">
      <text>
        <r>
          <rPr>
            <b/>
            <sz val="8"/>
            <color indexed="81"/>
            <rFont val="Tahoma"/>
            <family val="2"/>
          </rPr>
          <t>basantag:</t>
        </r>
        <r>
          <rPr>
            <sz val="8"/>
            <color indexed="81"/>
            <rFont val="Tahoma"/>
            <family val="2"/>
          </rPr>
          <t xml:space="preserve">
Assuming the transporation of silica fumes to be similar to that of cement</t>
        </r>
      </text>
    </comment>
    <comment ref="K44" authorId="0" shapeId="0">
      <text>
        <r>
          <rPr>
            <b/>
            <sz val="8"/>
            <color indexed="81"/>
            <rFont val="Tahoma"/>
            <family val="2"/>
          </rPr>
          <t>basantag:</t>
        </r>
        <r>
          <rPr>
            <sz val="8"/>
            <color indexed="81"/>
            <rFont val="Tahoma"/>
            <family val="2"/>
          </rPr>
          <t xml:space="preserve">
Assuming the transporation of accelerator to be similar to that of cement</t>
        </r>
      </text>
    </comment>
    <comment ref="K45" authorId="0" shapeId="0">
      <text>
        <r>
          <rPr>
            <b/>
            <sz val="8"/>
            <color indexed="81"/>
            <rFont val="Tahoma"/>
            <family val="2"/>
          </rPr>
          <t>basantag:</t>
        </r>
        <r>
          <rPr>
            <sz val="8"/>
            <color indexed="81"/>
            <rFont val="Tahoma"/>
            <family val="2"/>
          </rPr>
          <t xml:space="preserve">
Assuming the transporation of plasticizer to be similar to that of cement</t>
        </r>
      </text>
    </comment>
    <comment ref="K46"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48" authorId="1" shapeId="0">
      <text>
        <r>
          <rPr>
            <b/>
            <sz val="9"/>
            <color indexed="81"/>
            <rFont val="Tahoma"/>
            <family val="2"/>
          </rPr>
          <t>Ranjita Khatri:</t>
        </r>
        <r>
          <rPr>
            <sz val="9"/>
            <color indexed="81"/>
            <rFont val="Tahoma"/>
            <family val="2"/>
          </rPr>
          <t xml:space="preserve">
Weight of nipple = 27.8kg per 100 pieces or nos
</t>
        </r>
      </text>
    </comment>
    <comment ref="K49"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B50" authorId="0" shapeId="0">
      <text>
        <r>
          <rPr>
            <b/>
            <sz val="8"/>
            <color indexed="81"/>
            <rFont val="Tahoma"/>
            <family val="2"/>
          </rPr>
          <t>basantag:</t>
        </r>
        <r>
          <rPr>
            <sz val="8"/>
            <color indexed="81"/>
            <rFont val="Tahoma"/>
            <family val="2"/>
          </rPr>
          <t xml:space="preserve">
Density of HDP pipe :970 kg percum.
Assuming the pipe dia to be 150mm and thickness 50mm, the weight of pipe per meter is 0.857 kg</t>
        </r>
      </text>
    </comment>
    <comment ref="K50"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B51" authorId="0" shapeId="0">
      <text>
        <r>
          <rPr>
            <b/>
            <sz val="8"/>
            <color indexed="81"/>
            <rFont val="Tahoma"/>
            <family val="2"/>
          </rPr>
          <t>basantag:</t>
        </r>
        <r>
          <rPr>
            <sz val="8"/>
            <color indexed="81"/>
            <rFont val="Tahoma"/>
            <family val="2"/>
          </rPr>
          <t xml:space="preserve">
Assuming 288gms per sqm.
Source: Internet
http://idea.library.drexel.edu/bitstream/1860/1273/1/2006175053.pdf</t>
        </r>
      </text>
    </comment>
    <comment ref="K51" authorId="0" shapeId="0">
      <text>
        <r>
          <rPr>
            <b/>
            <sz val="8"/>
            <color indexed="81"/>
            <rFont val="Tahoma"/>
            <family val="2"/>
          </rPr>
          <t>basantag:</t>
        </r>
        <r>
          <rPr>
            <sz val="8"/>
            <color indexed="81"/>
            <rFont val="Tahoma"/>
            <family val="2"/>
          </rPr>
          <t xml:space="preserve">
Assuming 0.288kg per sqm and transportation of geotextile is similar to transporation of GI,CI,pipes &amp; fittings</t>
        </r>
      </text>
    </comment>
    <comment ref="L51" authorId="0" shapeId="0">
      <text>
        <r>
          <rPr>
            <b/>
            <sz val="8"/>
            <color indexed="81"/>
            <rFont val="Tahoma"/>
            <family val="2"/>
          </rPr>
          <t>basantag:</t>
        </r>
        <r>
          <rPr>
            <sz val="8"/>
            <color indexed="81"/>
            <rFont val="Tahoma"/>
            <family val="2"/>
          </rPr>
          <t xml:space="preserve">
Assuming 0.288kg per sqm and transportation of geotextile is similar to transporation of GI,CI,pipes &amp; fittings</t>
        </r>
      </text>
    </comment>
    <comment ref="B52" authorId="2" shapeId="0">
      <text>
        <r>
          <rPr>
            <b/>
            <sz val="9"/>
            <color indexed="81"/>
            <rFont val="Tahoma"/>
            <family val="2"/>
          </rPr>
          <t>DELL:</t>
        </r>
        <r>
          <rPr>
            <sz val="9"/>
            <color indexed="81"/>
            <rFont val="Tahoma"/>
            <family val="2"/>
          </rPr>
          <t xml:space="preserve">
Assuming 1sqm = 0.5kg</t>
        </r>
      </text>
    </comment>
    <comment ref="L52" authorId="2" shapeId="0">
      <text>
        <r>
          <rPr>
            <b/>
            <sz val="9"/>
            <color indexed="81"/>
            <rFont val="Tahoma"/>
            <family val="2"/>
          </rPr>
          <t>DELL:</t>
        </r>
        <r>
          <rPr>
            <sz val="9"/>
            <color indexed="81"/>
            <rFont val="Tahoma"/>
            <family val="2"/>
          </rPr>
          <t xml:space="preserve">
Assuming 1sqm = 0.5kg</t>
        </r>
      </text>
    </comment>
    <comment ref="B53" authorId="2" shapeId="0">
      <text>
        <r>
          <rPr>
            <b/>
            <sz val="9"/>
            <color indexed="81"/>
            <rFont val="Tahoma"/>
            <family val="2"/>
          </rPr>
          <t>DELL:</t>
        </r>
        <r>
          <rPr>
            <sz val="9"/>
            <color indexed="81"/>
            <rFont val="Tahoma"/>
            <family val="2"/>
          </rPr>
          <t xml:space="preserve">
Assuming the weight of waterstops to be 1.3kg per m</t>
        </r>
      </text>
    </comment>
    <comment ref="K53" authorId="0" shapeId="0">
      <text>
        <r>
          <rPr>
            <b/>
            <sz val="8"/>
            <color indexed="81"/>
            <rFont val="Tahoma"/>
            <family val="2"/>
          </rPr>
          <t>basantag:</t>
        </r>
        <r>
          <rPr>
            <sz val="8"/>
            <color indexed="81"/>
            <rFont val="Tahoma"/>
            <family val="2"/>
          </rPr>
          <t xml:space="preserve">
Assuming the transporation of waterstops to be similar to that of cement</t>
        </r>
      </text>
    </comment>
    <comment ref="L53" authorId="2" shapeId="0">
      <text>
        <r>
          <rPr>
            <b/>
            <sz val="9"/>
            <color indexed="81"/>
            <rFont val="Tahoma"/>
            <family val="2"/>
          </rPr>
          <t>DELL:</t>
        </r>
        <r>
          <rPr>
            <sz val="9"/>
            <color indexed="81"/>
            <rFont val="Tahoma"/>
            <family val="2"/>
          </rPr>
          <t xml:space="preserve">
Assuming the weight of waterstops to be 1.3kg per m</t>
        </r>
      </text>
    </comment>
    <comment ref="L55" authorId="1" shapeId="0">
      <text>
        <r>
          <rPr>
            <b/>
            <sz val="9"/>
            <color indexed="81"/>
            <rFont val="Tahoma"/>
            <family val="2"/>
          </rPr>
          <t>Ranjita Khatri:</t>
        </r>
        <r>
          <rPr>
            <sz val="9"/>
            <color indexed="81"/>
            <rFont val="Tahoma"/>
            <family val="2"/>
          </rPr>
          <t xml:space="preserve">
1m pipe=3.61kg
</t>
        </r>
      </text>
    </comment>
    <comment ref="L56" authorId="1" shapeId="0">
      <text>
        <r>
          <rPr>
            <b/>
            <sz val="9"/>
            <color indexed="81"/>
            <rFont val="Tahoma"/>
            <family val="2"/>
          </rPr>
          <t>Ranjita Khatri:</t>
        </r>
        <r>
          <rPr>
            <sz val="9"/>
            <color indexed="81"/>
            <rFont val="Tahoma"/>
            <family val="2"/>
          </rPr>
          <t xml:space="preserve">
Assuming 1clamps=1kg
</t>
        </r>
      </text>
    </comment>
    <comment ref="K58" authorId="1" shapeId="0">
      <text>
        <r>
          <rPr>
            <b/>
            <sz val="9"/>
            <color indexed="81"/>
            <rFont val="Tahoma"/>
            <family val="2"/>
          </rPr>
          <t>Ranjita Khatri:</t>
        </r>
        <r>
          <rPr>
            <sz val="9"/>
            <color indexed="81"/>
            <rFont val="Tahoma"/>
            <family val="2"/>
          </rPr>
          <t xml:space="preserve">
Assuming the transportation rate of bentonite is similar to the tranportation rate of cement
</t>
        </r>
      </text>
    </comment>
    <comment ref="K60" authorId="0" shapeId="0">
      <text>
        <r>
          <rPr>
            <b/>
            <sz val="8"/>
            <color indexed="81"/>
            <rFont val="Tahoma"/>
            <family val="2"/>
          </rPr>
          <t>basantag:</t>
        </r>
        <r>
          <rPr>
            <sz val="8"/>
            <color indexed="81"/>
            <rFont val="Tahoma"/>
            <family val="2"/>
          </rPr>
          <t xml:space="preserve">
Assuming the transporation of fuels to be similar to that of bitumen</t>
        </r>
      </text>
    </comment>
    <comment ref="K61" authorId="0" shapeId="0">
      <text>
        <r>
          <rPr>
            <b/>
            <sz val="8"/>
            <color indexed="81"/>
            <rFont val="Tahoma"/>
            <family val="2"/>
          </rPr>
          <t>basantag:</t>
        </r>
        <r>
          <rPr>
            <sz val="8"/>
            <color indexed="81"/>
            <rFont val="Tahoma"/>
            <family val="2"/>
          </rPr>
          <t xml:space="preserve">
Assuming the transporation of fuels to be similar to that of bitumen</t>
        </r>
      </text>
    </comment>
    <comment ref="K62" authorId="0" shapeId="0">
      <text>
        <r>
          <rPr>
            <b/>
            <sz val="8"/>
            <color indexed="81"/>
            <rFont val="Tahoma"/>
            <family val="2"/>
          </rPr>
          <t>basantag:</t>
        </r>
        <r>
          <rPr>
            <sz val="8"/>
            <color indexed="81"/>
            <rFont val="Tahoma"/>
            <family val="2"/>
          </rPr>
          <t xml:space="preserve">
Assuming the transporation of fuels to be similar to that of bitumen</t>
        </r>
      </text>
    </comment>
    <comment ref="B63" authorId="0" shapeId="0">
      <text>
        <r>
          <rPr>
            <b/>
            <sz val="8"/>
            <color indexed="81"/>
            <rFont val="Tahoma"/>
            <family val="2"/>
          </rPr>
          <t>basantag:</t>
        </r>
        <r>
          <rPr>
            <sz val="8"/>
            <color indexed="81"/>
            <rFont val="Tahoma"/>
            <family val="2"/>
          </rPr>
          <t xml:space="preserve">
Assuming density of lubricant to be 1 kg per liter</t>
        </r>
      </text>
    </comment>
    <comment ref="K63" authorId="0" shapeId="0">
      <text>
        <r>
          <rPr>
            <b/>
            <sz val="8"/>
            <color indexed="81"/>
            <rFont val="Tahoma"/>
            <family val="2"/>
          </rPr>
          <t>basantag:</t>
        </r>
        <r>
          <rPr>
            <sz val="8"/>
            <color indexed="81"/>
            <rFont val="Tahoma"/>
            <family val="2"/>
          </rPr>
          <t xml:space="preserve">
Assuming the transporation of lubricant to be similar to that of cement</t>
        </r>
      </text>
    </comment>
    <comment ref="B64" authorId="0" shapeId="0">
      <text>
        <r>
          <rPr>
            <b/>
            <sz val="8"/>
            <color indexed="81"/>
            <rFont val="Tahoma"/>
            <family val="2"/>
          </rPr>
          <t>basantag:</t>
        </r>
        <r>
          <rPr>
            <sz val="8"/>
            <color indexed="81"/>
            <rFont val="Tahoma"/>
            <family val="2"/>
          </rPr>
          <t xml:space="preserve">
Assuming density of hydraulic oil to be 1 kg per liter</t>
        </r>
      </text>
    </comment>
    <comment ref="K64" authorId="0" shapeId="0">
      <text>
        <r>
          <rPr>
            <b/>
            <sz val="8"/>
            <color indexed="81"/>
            <rFont val="Tahoma"/>
            <family val="2"/>
          </rPr>
          <t>basantag:</t>
        </r>
        <r>
          <rPr>
            <sz val="8"/>
            <color indexed="81"/>
            <rFont val="Tahoma"/>
            <family val="2"/>
          </rPr>
          <t xml:space="preserve">
Assuming the transporation of hydraulic oil to be similar to that of cement</t>
        </r>
      </text>
    </comment>
    <comment ref="K67" authorId="0" shapeId="0">
      <text>
        <r>
          <rPr>
            <b/>
            <sz val="8"/>
            <color indexed="81"/>
            <rFont val="Tahoma"/>
            <family val="2"/>
          </rPr>
          <t>basantag:</t>
        </r>
        <r>
          <rPr>
            <sz val="8"/>
            <color indexed="81"/>
            <rFont val="Tahoma"/>
            <family val="2"/>
          </rPr>
          <t xml:space="preserve">
Assuming the transporation of snowcem to be similar to cement</t>
        </r>
      </text>
    </comment>
    <comment ref="B68" authorId="0" shapeId="0">
      <text>
        <r>
          <rPr>
            <b/>
            <sz val="8"/>
            <color indexed="81"/>
            <rFont val="Tahoma"/>
            <family val="2"/>
          </rPr>
          <t>basantag:</t>
        </r>
        <r>
          <rPr>
            <sz val="8"/>
            <color indexed="81"/>
            <rFont val="Tahoma"/>
            <family val="2"/>
          </rPr>
          <t xml:space="preserve">
Assuming density of enamel to be 1 kg per liter</t>
        </r>
      </text>
    </comment>
    <comment ref="K68" authorId="0" shapeId="0">
      <text>
        <r>
          <rPr>
            <b/>
            <sz val="8"/>
            <color indexed="81"/>
            <rFont val="Tahoma"/>
            <family val="2"/>
          </rPr>
          <t>basantag:</t>
        </r>
        <r>
          <rPr>
            <sz val="8"/>
            <color indexed="81"/>
            <rFont val="Tahoma"/>
            <family val="2"/>
          </rPr>
          <t xml:space="preserve">
Assuming the transporation of enamel to be similar to cement</t>
        </r>
      </text>
    </comment>
    <comment ref="B69" authorId="0" shapeId="0">
      <text>
        <r>
          <rPr>
            <b/>
            <sz val="8"/>
            <color indexed="81"/>
            <rFont val="Tahoma"/>
            <family val="2"/>
          </rPr>
          <t>basantag:</t>
        </r>
        <r>
          <rPr>
            <sz val="8"/>
            <color indexed="81"/>
            <rFont val="Tahoma"/>
            <family val="2"/>
          </rPr>
          <t xml:space="preserve">
Assuming density of enamel to be 1 kg per liter</t>
        </r>
      </text>
    </comment>
    <comment ref="K69" authorId="0" shapeId="0">
      <text>
        <r>
          <rPr>
            <b/>
            <sz val="8"/>
            <color indexed="81"/>
            <rFont val="Tahoma"/>
            <family val="2"/>
          </rPr>
          <t>basantag:</t>
        </r>
        <r>
          <rPr>
            <sz val="8"/>
            <color indexed="81"/>
            <rFont val="Tahoma"/>
            <family val="2"/>
          </rPr>
          <t xml:space="preserve">
Assuming the transporation of primer to be similar to cement</t>
        </r>
      </text>
    </comment>
    <comment ref="B70" authorId="0" shapeId="0">
      <text>
        <r>
          <rPr>
            <b/>
            <sz val="8"/>
            <color indexed="81"/>
            <rFont val="Tahoma"/>
            <family val="2"/>
          </rPr>
          <t>basantag:</t>
        </r>
        <r>
          <rPr>
            <sz val="8"/>
            <color indexed="81"/>
            <rFont val="Tahoma"/>
            <family val="2"/>
          </rPr>
          <t xml:space="preserve">
Assuming density of red oxide to be 1 kg per liter</t>
        </r>
      </text>
    </comment>
    <comment ref="K70" authorId="0" shapeId="0">
      <text>
        <r>
          <rPr>
            <b/>
            <sz val="8"/>
            <color indexed="81"/>
            <rFont val="Tahoma"/>
            <family val="2"/>
          </rPr>
          <t>basantag:</t>
        </r>
        <r>
          <rPr>
            <sz val="8"/>
            <color indexed="81"/>
            <rFont val="Tahoma"/>
            <family val="2"/>
          </rPr>
          <t xml:space="preserve">
Assuming the transporation of red oxide to be similar to cement</t>
        </r>
      </text>
    </comment>
    <comment ref="B71" authorId="0" shapeId="0">
      <text>
        <r>
          <rPr>
            <b/>
            <sz val="8"/>
            <color indexed="81"/>
            <rFont val="Tahoma"/>
            <family val="2"/>
          </rPr>
          <t>basantag:</t>
        </r>
        <r>
          <rPr>
            <sz val="8"/>
            <color indexed="81"/>
            <rFont val="Tahoma"/>
            <family val="2"/>
          </rPr>
          <t xml:space="preserve">
Assuming 5.7kg per sq.m</t>
        </r>
      </text>
    </comment>
    <comment ref="L71" authorId="0" shapeId="0">
      <text>
        <r>
          <rPr>
            <b/>
            <sz val="8"/>
            <color indexed="81"/>
            <rFont val="Tahoma"/>
            <family val="2"/>
          </rPr>
          <t>basantag:</t>
        </r>
        <r>
          <rPr>
            <sz val="8"/>
            <color indexed="81"/>
            <rFont val="Tahoma"/>
            <family val="2"/>
          </rPr>
          <t xml:space="preserve">
Assuming 5.7kg per sq.m</t>
        </r>
      </text>
    </comment>
    <comment ref="B72" authorId="0" shapeId="0">
      <text>
        <r>
          <rPr>
            <b/>
            <sz val="8"/>
            <color indexed="81"/>
            <rFont val="Tahoma"/>
            <family val="2"/>
          </rPr>
          <t xml:space="preserve">basantag:
</t>
        </r>
        <r>
          <rPr>
            <sz val="8"/>
            <color indexed="81"/>
            <rFont val="Tahoma"/>
            <family val="2"/>
          </rPr>
          <t>Reference: Nyadi Feasibility Report</t>
        </r>
        <r>
          <rPr>
            <sz val="8"/>
            <color indexed="81"/>
            <rFont val="Tahoma"/>
            <family val="2"/>
          </rPr>
          <t xml:space="preserve">
Assuming 0.05 kg per no.</t>
        </r>
      </text>
    </comment>
    <comment ref="K72"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72" authorId="0" shapeId="0">
      <text>
        <r>
          <rPr>
            <b/>
            <sz val="8"/>
            <color indexed="81"/>
            <rFont val="Tahoma"/>
            <family val="2"/>
          </rPr>
          <t xml:space="preserve">basantag:
</t>
        </r>
        <r>
          <rPr>
            <sz val="8"/>
            <color indexed="81"/>
            <rFont val="Tahoma"/>
            <family val="2"/>
          </rPr>
          <t>Reference: Nyadi Feasibility Report</t>
        </r>
        <r>
          <rPr>
            <sz val="8"/>
            <color indexed="81"/>
            <rFont val="Tahoma"/>
            <family val="2"/>
          </rPr>
          <t xml:space="preserve">
Assuming 0.05 kg per no.</t>
        </r>
      </text>
    </comment>
    <comment ref="B73" authorId="0" shapeId="0">
      <text>
        <r>
          <rPr>
            <b/>
            <sz val="8"/>
            <color indexed="81"/>
            <rFont val="Tahoma"/>
            <family val="2"/>
          </rPr>
          <t>basantag:</t>
        </r>
        <r>
          <rPr>
            <sz val="8"/>
            <color indexed="81"/>
            <rFont val="Tahoma"/>
            <family val="2"/>
          </rPr>
          <t xml:space="preserve">
Reference: Nyadi Feasibility Report
Assuming 0.15 kg per no.</t>
        </r>
      </text>
    </comment>
    <comment ref="K73"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73" authorId="0" shapeId="0">
      <text>
        <r>
          <rPr>
            <b/>
            <sz val="8"/>
            <color indexed="81"/>
            <rFont val="Tahoma"/>
            <family val="2"/>
          </rPr>
          <t>basantag:</t>
        </r>
        <r>
          <rPr>
            <sz val="8"/>
            <color indexed="81"/>
            <rFont val="Tahoma"/>
            <family val="2"/>
          </rPr>
          <t xml:space="preserve">
Reference: Nyadi Feasibility Report
Assuming 0.15 kg per no.</t>
        </r>
      </text>
    </comment>
    <comment ref="B74" authorId="0" shapeId="0">
      <text>
        <r>
          <rPr>
            <b/>
            <sz val="8"/>
            <color indexed="81"/>
            <rFont val="Tahoma"/>
            <family val="2"/>
          </rPr>
          <t>basantag:</t>
        </r>
        <r>
          <rPr>
            <sz val="8"/>
            <color indexed="81"/>
            <rFont val="Tahoma"/>
            <family val="2"/>
          </rPr>
          <t xml:space="preserve">
Reference: Nyadi Feasibility Report
Assuming 0.05 kg per no.</t>
        </r>
      </text>
    </comment>
    <comment ref="K74"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74" authorId="0" shapeId="0">
      <text>
        <r>
          <rPr>
            <b/>
            <sz val="8"/>
            <color indexed="81"/>
            <rFont val="Tahoma"/>
            <family val="2"/>
          </rPr>
          <t>basantag:</t>
        </r>
        <r>
          <rPr>
            <sz val="8"/>
            <color indexed="81"/>
            <rFont val="Tahoma"/>
            <family val="2"/>
          </rPr>
          <t xml:space="preserve">
Reference: Nyadi Feasibility Report
Assuming 0.05 kg per no.</t>
        </r>
      </text>
    </comment>
    <comment ref="B75" authorId="0" shapeId="0">
      <text>
        <r>
          <rPr>
            <b/>
            <sz val="8"/>
            <color indexed="81"/>
            <rFont val="Tahoma"/>
            <family val="2"/>
          </rPr>
          <t>basantag:</t>
        </r>
        <r>
          <rPr>
            <sz val="8"/>
            <color indexed="81"/>
            <rFont val="Tahoma"/>
            <family val="2"/>
          </rPr>
          <t xml:space="preserve">
Reference: Nyadi Feasibility Report
Assuming 0.2 kg per no.</t>
        </r>
      </text>
    </comment>
    <comment ref="K75"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75" authorId="0" shapeId="0">
      <text>
        <r>
          <rPr>
            <b/>
            <sz val="8"/>
            <color indexed="81"/>
            <rFont val="Tahoma"/>
            <family val="2"/>
          </rPr>
          <t>basantag:</t>
        </r>
        <r>
          <rPr>
            <sz val="8"/>
            <color indexed="81"/>
            <rFont val="Tahoma"/>
            <family val="2"/>
          </rPr>
          <t xml:space="preserve">
Reference: Nyadi Feasibility Report
Assuming 0.2 kg per no.</t>
        </r>
      </text>
    </comment>
    <comment ref="B76" authorId="0" shapeId="0">
      <text>
        <r>
          <rPr>
            <b/>
            <sz val="8"/>
            <color indexed="81"/>
            <rFont val="Tahoma"/>
            <family val="2"/>
          </rPr>
          <t>basantag:</t>
        </r>
        <r>
          <rPr>
            <sz val="8"/>
            <color indexed="81"/>
            <rFont val="Tahoma"/>
            <family val="2"/>
          </rPr>
          <t xml:space="preserve">
Reference: Nyadi Feasibility Report
Assuming 0.10 kg per no.</t>
        </r>
      </text>
    </comment>
    <comment ref="K76"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76" authorId="0" shapeId="0">
      <text>
        <r>
          <rPr>
            <b/>
            <sz val="8"/>
            <color indexed="81"/>
            <rFont val="Tahoma"/>
            <family val="2"/>
          </rPr>
          <t>basantag:</t>
        </r>
        <r>
          <rPr>
            <sz val="8"/>
            <color indexed="81"/>
            <rFont val="Tahoma"/>
            <family val="2"/>
          </rPr>
          <t xml:space="preserve">
Reference: Nyadi Feasibility Report
Assuming 0.10 kg per no.</t>
        </r>
      </text>
    </comment>
    <comment ref="B77" authorId="0" shapeId="0">
      <text>
        <r>
          <rPr>
            <b/>
            <sz val="8"/>
            <color indexed="81"/>
            <rFont val="Tahoma"/>
            <family val="2"/>
          </rPr>
          <t>basantag:</t>
        </r>
        <r>
          <rPr>
            <sz val="8"/>
            <color indexed="81"/>
            <rFont val="Tahoma"/>
            <family val="2"/>
          </rPr>
          <t xml:space="preserve">
Reference: Nyadi Feasibility Report
Assuming 0.5 kg per no.</t>
        </r>
      </text>
    </comment>
    <comment ref="K77"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77" authorId="0" shapeId="0">
      <text>
        <r>
          <rPr>
            <b/>
            <sz val="8"/>
            <color indexed="81"/>
            <rFont val="Tahoma"/>
            <family val="2"/>
          </rPr>
          <t>basantag:</t>
        </r>
        <r>
          <rPr>
            <sz val="8"/>
            <color indexed="81"/>
            <rFont val="Tahoma"/>
            <family val="2"/>
          </rPr>
          <t xml:space="preserve">
Reference: Nyadi Feasibility Report
Assuming 0.5 kg per no.</t>
        </r>
      </text>
    </comment>
    <comment ref="B78" authorId="0" shapeId="0">
      <text>
        <r>
          <rPr>
            <b/>
            <sz val="8"/>
            <color indexed="81"/>
            <rFont val="Tahoma"/>
            <family val="2"/>
          </rPr>
          <t>basantag:</t>
        </r>
        <r>
          <rPr>
            <sz val="8"/>
            <color indexed="81"/>
            <rFont val="Tahoma"/>
            <family val="2"/>
          </rPr>
          <t xml:space="preserve">
Reference: Nyadi Feasibility Report
Assuming 0.15 kg per no.</t>
        </r>
      </text>
    </comment>
    <comment ref="K78"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78" authorId="0" shapeId="0">
      <text>
        <r>
          <rPr>
            <b/>
            <sz val="8"/>
            <color indexed="81"/>
            <rFont val="Tahoma"/>
            <family val="2"/>
          </rPr>
          <t>basantag:</t>
        </r>
        <r>
          <rPr>
            <sz val="8"/>
            <color indexed="81"/>
            <rFont val="Tahoma"/>
            <family val="2"/>
          </rPr>
          <t xml:space="preserve">
Reference: Nyadi Feasibility Report
Assuming 0.15 kg per no.</t>
        </r>
      </text>
    </comment>
    <comment ref="B79" authorId="0" shapeId="0">
      <text>
        <r>
          <rPr>
            <b/>
            <sz val="8"/>
            <color indexed="81"/>
            <rFont val="Tahoma"/>
            <family val="2"/>
          </rPr>
          <t>basantag:</t>
        </r>
        <r>
          <rPr>
            <sz val="8"/>
            <color indexed="81"/>
            <rFont val="Tahoma"/>
            <family val="2"/>
          </rPr>
          <t xml:space="preserve">
Assuming density of Glass = 2579kg per cu.m
Hence 1 sq.m of 3mm thick glass = 7.74 kg</t>
        </r>
      </text>
    </comment>
    <comment ref="K79" authorId="0" shapeId="0">
      <text>
        <r>
          <rPr>
            <b/>
            <sz val="8"/>
            <color indexed="81"/>
            <rFont val="Tahoma"/>
            <family val="2"/>
          </rPr>
          <t>basantag:</t>
        </r>
        <r>
          <rPr>
            <sz val="8"/>
            <color indexed="81"/>
            <rFont val="Tahoma"/>
            <family val="2"/>
          </rPr>
          <t xml:space="preserve">
Assuming the transporation of glass to be similar to cement</t>
        </r>
      </text>
    </comment>
    <comment ref="L79" authorId="0" shapeId="0">
      <text>
        <r>
          <rPr>
            <b/>
            <sz val="8"/>
            <color indexed="81"/>
            <rFont val="Tahoma"/>
            <family val="2"/>
          </rPr>
          <t>basantag:</t>
        </r>
        <r>
          <rPr>
            <sz val="8"/>
            <color indexed="81"/>
            <rFont val="Tahoma"/>
            <family val="2"/>
          </rPr>
          <t xml:space="preserve">
Assuming density of Glass = 2579kg per cu.m
Hence 1 sq.m of 3mm thick glass = 7.74 kg</t>
        </r>
      </text>
    </comment>
    <comment ref="K80" authorId="0" shapeId="0">
      <text>
        <r>
          <rPr>
            <b/>
            <sz val="8"/>
            <color indexed="81"/>
            <rFont val="Tahoma"/>
            <family val="2"/>
          </rPr>
          <t>basantag:</t>
        </r>
        <r>
          <rPr>
            <sz val="8"/>
            <color indexed="81"/>
            <rFont val="Tahoma"/>
            <family val="2"/>
          </rPr>
          <t xml:space="preserve">
Assuming the transporation of gum to be similar to cement</t>
        </r>
      </text>
    </comment>
    <comment ref="K82" authorId="0" shapeId="0">
      <text>
        <r>
          <rPr>
            <b/>
            <sz val="8"/>
            <color indexed="81"/>
            <rFont val="Tahoma"/>
            <family val="2"/>
          </rPr>
          <t>basantag:</t>
        </r>
        <r>
          <rPr>
            <sz val="8"/>
            <color indexed="81"/>
            <rFont val="Tahoma"/>
            <family val="2"/>
          </rPr>
          <t xml:space="preserve">
Assuming the transporation of gelatine to be similar to reinforcement</t>
        </r>
      </text>
    </comment>
    <comment ref="V82" authorId="3" shapeId="0">
      <text>
        <r>
          <rPr>
            <b/>
            <sz val="8"/>
            <color indexed="81"/>
            <rFont val="Tahoma"/>
            <family val="2"/>
          </rPr>
          <t>basanta:</t>
        </r>
        <r>
          <rPr>
            <sz val="8"/>
            <color indexed="81"/>
            <rFont val="Tahoma"/>
            <family val="2"/>
          </rPr>
          <t xml:space="preserve">
Explosive Management Cost= NRs. 249.02</t>
        </r>
      </text>
    </comment>
    <comment ref="B83" authorId="0" shapeId="0">
      <text>
        <r>
          <rPr>
            <b/>
            <sz val="8"/>
            <color indexed="81"/>
            <rFont val="Tahoma"/>
            <family val="2"/>
          </rPr>
          <t>basantag:</t>
        </r>
        <r>
          <rPr>
            <sz val="8"/>
            <color indexed="81"/>
            <rFont val="Tahoma"/>
            <family val="2"/>
          </rPr>
          <t xml:space="preserve">
Reference: Nyadi Feasibility Report
Assuming 2 kg per no.</t>
        </r>
      </text>
    </comment>
    <comment ref="K83" authorId="0" shapeId="0">
      <text>
        <r>
          <rPr>
            <b/>
            <sz val="8"/>
            <color indexed="81"/>
            <rFont val="Tahoma"/>
            <family val="2"/>
          </rPr>
          <t>basantag:</t>
        </r>
        <r>
          <rPr>
            <sz val="8"/>
            <color indexed="81"/>
            <rFont val="Tahoma"/>
            <family val="2"/>
          </rPr>
          <t xml:space="preserve">
Assuming the transporation of detonator to be similar to cement</t>
        </r>
      </text>
    </comment>
    <comment ref="L83" authorId="0" shapeId="0">
      <text>
        <r>
          <rPr>
            <b/>
            <sz val="8"/>
            <color indexed="81"/>
            <rFont val="Tahoma"/>
            <family val="2"/>
          </rPr>
          <t>basantag:</t>
        </r>
        <r>
          <rPr>
            <sz val="8"/>
            <color indexed="81"/>
            <rFont val="Tahoma"/>
            <family val="2"/>
          </rPr>
          <t xml:space="preserve">
Reference: Nyadi Feasibility Report
Assuming 2 kg per no.</t>
        </r>
      </text>
    </comment>
    <comment ref="B84" authorId="0" shapeId="0">
      <text>
        <r>
          <rPr>
            <b/>
            <sz val="8"/>
            <color indexed="81"/>
            <rFont val="Tahoma"/>
            <family val="2"/>
          </rPr>
          <t>basantag:</t>
        </r>
        <r>
          <rPr>
            <sz val="8"/>
            <color indexed="81"/>
            <rFont val="Tahoma"/>
            <family val="2"/>
          </rPr>
          <t xml:space="preserve">
Reference: Nyadi Feasibility Report
Assuming 0.1 kg per m</t>
        </r>
      </text>
    </comment>
    <comment ref="K84" authorId="0" shapeId="0">
      <text>
        <r>
          <rPr>
            <b/>
            <sz val="8"/>
            <color indexed="81"/>
            <rFont val="Tahoma"/>
            <family val="2"/>
          </rPr>
          <t>basantag:</t>
        </r>
        <r>
          <rPr>
            <sz val="8"/>
            <color indexed="81"/>
            <rFont val="Tahoma"/>
            <family val="2"/>
          </rPr>
          <t xml:space="preserve">
Assuming the transporation of detonating chord to be similar to cement</t>
        </r>
      </text>
    </comment>
    <comment ref="L84" authorId="0" shapeId="0">
      <text>
        <r>
          <rPr>
            <b/>
            <sz val="8"/>
            <color indexed="81"/>
            <rFont val="Tahoma"/>
            <family val="2"/>
          </rPr>
          <t>basantag:</t>
        </r>
        <r>
          <rPr>
            <sz val="8"/>
            <color indexed="81"/>
            <rFont val="Tahoma"/>
            <family val="2"/>
          </rPr>
          <t xml:space="preserve">
Reference: Nyadi Feasibility Report
Assuming 0.1 kg per m</t>
        </r>
      </text>
    </comment>
    <comment ref="K85" authorId="0" shapeId="0">
      <text>
        <r>
          <rPr>
            <b/>
            <sz val="8"/>
            <color indexed="81"/>
            <rFont val="Tahoma"/>
            <family val="2"/>
          </rPr>
          <t>basantag:</t>
        </r>
        <r>
          <rPr>
            <sz val="8"/>
            <color indexed="81"/>
            <rFont val="Tahoma"/>
            <family val="2"/>
          </rPr>
          <t xml:space="preserve">
Assuming the transporation of damite to be similar to reinforcement</t>
        </r>
      </text>
    </comment>
    <comment ref="B86" authorId="0" shapeId="0">
      <text>
        <r>
          <rPr>
            <b/>
            <sz val="8"/>
            <color indexed="81"/>
            <rFont val="Tahoma"/>
            <family val="2"/>
          </rPr>
          <t xml:space="preserve">basantag:
</t>
        </r>
        <r>
          <rPr>
            <sz val="8"/>
            <color indexed="81"/>
            <rFont val="Tahoma"/>
            <family val="2"/>
          </rPr>
          <t xml:space="preserve">
Length of Drill Rod = 36" = 0.914m
Thus weight per pcs:
Dia 5.00cm = 14.10 kg
Dia 2.50cm = 3.52 kg
Dia 1.25cm = 0.89 kg</t>
        </r>
      </text>
    </comment>
    <comment ref="K86" authorId="0" shapeId="0">
      <text>
        <r>
          <rPr>
            <b/>
            <sz val="8"/>
            <color indexed="81"/>
            <rFont val="Tahoma"/>
            <family val="2"/>
          </rPr>
          <t>basantag:</t>
        </r>
        <r>
          <rPr>
            <sz val="8"/>
            <color indexed="81"/>
            <rFont val="Tahoma"/>
            <family val="2"/>
          </rPr>
          <t xml:space="preserve">
Assuming the transporation of drill rod to be similar to reinforcement</t>
        </r>
      </text>
    </comment>
    <comment ref="L86" authorId="0" shapeId="0">
      <text>
        <r>
          <rPr>
            <b/>
            <sz val="8"/>
            <color indexed="81"/>
            <rFont val="Tahoma"/>
            <family val="2"/>
          </rPr>
          <t xml:space="preserve">basantag:
</t>
        </r>
        <r>
          <rPr>
            <sz val="8"/>
            <color indexed="81"/>
            <rFont val="Tahoma"/>
            <family val="2"/>
          </rPr>
          <t xml:space="preserve">
Length of Drill Rod = 36" = 0.914m
Thus weight per pcs:
Dia 5.00cm = 14.10 kg
Dia 2.50cm = 3.52 kg
Dia 1.25cm = 0.89 kg</t>
        </r>
      </text>
    </comment>
    <comment ref="B87" authorId="2" shapeId="0">
      <text>
        <r>
          <rPr>
            <b/>
            <sz val="9"/>
            <color indexed="81"/>
            <rFont val="Tahoma"/>
            <family val="2"/>
          </rPr>
          <t>DELL:</t>
        </r>
        <r>
          <rPr>
            <sz val="9"/>
            <color indexed="81"/>
            <rFont val="Tahoma"/>
            <family val="2"/>
          </rPr>
          <t xml:space="preserve">
Assuming each drill bit length = 0.5m</t>
        </r>
      </text>
    </comment>
    <comment ref="L87" authorId="2" shapeId="0">
      <text>
        <r>
          <rPr>
            <b/>
            <sz val="9"/>
            <color indexed="81"/>
            <rFont val="Tahoma"/>
            <family val="2"/>
          </rPr>
          <t>DELL:</t>
        </r>
        <r>
          <rPr>
            <sz val="9"/>
            <color indexed="81"/>
            <rFont val="Tahoma"/>
            <family val="2"/>
          </rPr>
          <t xml:space="preserve">
Assuming each drill bit length = 0.5m</t>
        </r>
      </text>
    </comment>
    <comment ref="B88" authorId="2" shapeId="0">
      <text>
        <r>
          <rPr>
            <b/>
            <sz val="9"/>
            <color indexed="81"/>
            <rFont val="Tahoma"/>
            <family val="2"/>
          </rPr>
          <t>DELL:</t>
        </r>
        <r>
          <rPr>
            <sz val="9"/>
            <color indexed="81"/>
            <rFont val="Tahoma"/>
            <family val="2"/>
          </rPr>
          <t xml:space="preserve">
Assuming each drill bit length = 0.5m</t>
        </r>
      </text>
    </comment>
    <comment ref="L88" authorId="2" shapeId="0">
      <text>
        <r>
          <rPr>
            <b/>
            <sz val="9"/>
            <color indexed="81"/>
            <rFont val="Tahoma"/>
            <family val="2"/>
          </rPr>
          <t>DELL:</t>
        </r>
        <r>
          <rPr>
            <sz val="9"/>
            <color indexed="81"/>
            <rFont val="Tahoma"/>
            <family val="2"/>
          </rPr>
          <t xml:space="preserve">
Assuming each drill bit length = 0.5m</t>
        </r>
      </text>
    </comment>
    <comment ref="B89" authorId="2" shapeId="0">
      <text>
        <r>
          <rPr>
            <b/>
            <sz val="9"/>
            <color indexed="81"/>
            <rFont val="Tahoma"/>
            <family val="2"/>
          </rPr>
          <t>DELL:</t>
        </r>
        <r>
          <rPr>
            <sz val="9"/>
            <color indexed="81"/>
            <rFont val="Tahoma"/>
            <family val="2"/>
          </rPr>
          <t xml:space="preserve">
Assuming One Pack of Welding rod = 600 gms</t>
        </r>
      </text>
    </comment>
    <comment ref="K89" authorId="0" shapeId="0">
      <text>
        <r>
          <rPr>
            <b/>
            <sz val="8"/>
            <color indexed="81"/>
            <rFont val="Tahoma"/>
            <family val="2"/>
          </rPr>
          <t>basantag:</t>
        </r>
        <r>
          <rPr>
            <sz val="8"/>
            <color indexed="81"/>
            <rFont val="Tahoma"/>
            <family val="2"/>
          </rPr>
          <t xml:space="preserve">
Assuming the transporation of welding rod to be similar to reinforcement</t>
        </r>
      </text>
    </comment>
    <comment ref="L89" authorId="2" shapeId="0">
      <text>
        <r>
          <rPr>
            <b/>
            <sz val="9"/>
            <color indexed="81"/>
            <rFont val="Tahoma"/>
            <family val="2"/>
          </rPr>
          <t>DELL:</t>
        </r>
        <r>
          <rPr>
            <sz val="9"/>
            <color indexed="81"/>
            <rFont val="Tahoma"/>
            <family val="2"/>
          </rPr>
          <t xml:space="preserve">
Assuming One Pack of Welding rod = 600 gms</t>
        </r>
      </text>
    </comment>
    <comment ref="B90" authorId="0" shapeId="0">
      <text>
        <r>
          <rPr>
            <b/>
            <sz val="8"/>
            <color indexed="81"/>
            <rFont val="Tahoma"/>
            <family val="2"/>
          </rPr>
          <t>basantag:</t>
        </r>
        <r>
          <rPr>
            <sz val="8"/>
            <color indexed="81"/>
            <rFont val="Tahoma"/>
            <family val="2"/>
          </rPr>
          <t xml:space="preserve">
Assuming the weight of pipe per meter is 1.75 kg</t>
        </r>
      </text>
    </comment>
    <comment ref="K90" authorId="0" shapeId="0">
      <text>
        <r>
          <rPr>
            <b/>
            <sz val="8"/>
            <color indexed="81"/>
            <rFont val="Tahoma"/>
            <family val="2"/>
          </rPr>
          <t>basantag:</t>
        </r>
        <r>
          <rPr>
            <sz val="8"/>
            <color indexed="81"/>
            <rFont val="Tahoma"/>
            <family val="2"/>
          </rPr>
          <t xml:space="preserve">
Assuming the transporation to be comparable with that of GI. CI, Pipes &amp; fittings</t>
        </r>
      </text>
    </comment>
    <comment ref="L90" authorId="0" shapeId="0">
      <text>
        <r>
          <rPr>
            <b/>
            <sz val="8"/>
            <color indexed="81"/>
            <rFont val="Tahoma"/>
            <family val="2"/>
          </rPr>
          <t>basantag:</t>
        </r>
        <r>
          <rPr>
            <sz val="8"/>
            <color indexed="81"/>
            <rFont val="Tahoma"/>
            <family val="2"/>
          </rPr>
          <t xml:space="preserve">
Assuming the weight of pipe per meter is 1.75 kg</t>
        </r>
      </text>
    </comment>
    <comment ref="B92" authorId="2" shapeId="0">
      <text>
        <r>
          <rPr>
            <b/>
            <sz val="9"/>
            <color indexed="81"/>
            <rFont val="Tahoma"/>
            <family val="2"/>
          </rPr>
          <t>DELL:</t>
        </r>
        <r>
          <rPr>
            <sz val="9"/>
            <color indexed="81"/>
            <rFont val="Tahoma"/>
            <family val="2"/>
          </rPr>
          <t xml:space="preserve">
Assuming 25mm dia and 600mm length</t>
        </r>
      </text>
    </comment>
    <comment ref="K92" authorId="0" shapeId="0">
      <text>
        <r>
          <rPr>
            <b/>
            <sz val="8"/>
            <color indexed="81"/>
            <rFont val="Tahoma"/>
            <family val="2"/>
          </rPr>
          <t>basantag:</t>
        </r>
        <r>
          <rPr>
            <sz val="8"/>
            <color indexed="81"/>
            <rFont val="Tahoma"/>
            <family val="2"/>
          </rPr>
          <t xml:space="preserve">
Assuming the transporation of cement capsule to be similar to that of cement</t>
        </r>
      </text>
    </comment>
    <comment ref="L92" authorId="2" shapeId="0">
      <text>
        <r>
          <rPr>
            <b/>
            <sz val="9"/>
            <color indexed="81"/>
            <rFont val="Tahoma"/>
            <family val="2"/>
          </rPr>
          <t>DELL:</t>
        </r>
        <r>
          <rPr>
            <sz val="9"/>
            <color indexed="81"/>
            <rFont val="Tahoma"/>
            <family val="2"/>
          </rPr>
          <t xml:space="preserve">
Assuming 25mm dia and 600mm length</t>
        </r>
      </text>
    </comment>
    <comment ref="B93" authorId="2" shapeId="0">
      <text>
        <r>
          <rPr>
            <b/>
            <sz val="9"/>
            <color indexed="81"/>
            <rFont val="Tahoma"/>
            <family val="2"/>
          </rPr>
          <t>DELL:</t>
        </r>
        <r>
          <rPr>
            <sz val="9"/>
            <color indexed="81"/>
            <rFont val="Tahoma"/>
            <family val="2"/>
          </rPr>
          <t xml:space="preserve">
Weight of packer = 2.3kg for Model 12 - Tigre Tierra
Source : http://www.aardvarkpackers.com/Inflatable-Packers/tigre-tierra-specifications.html</t>
        </r>
      </text>
    </comment>
    <comment ref="K93" authorId="0" shapeId="0">
      <text>
        <r>
          <rPr>
            <b/>
            <sz val="8"/>
            <color indexed="81"/>
            <rFont val="Tahoma"/>
            <family val="2"/>
          </rPr>
          <t>basantag:</t>
        </r>
        <r>
          <rPr>
            <sz val="8"/>
            <color indexed="81"/>
            <rFont val="Tahoma"/>
            <family val="2"/>
          </rPr>
          <t xml:space="preserve">
Assuming the transporation of packers to be similar to that of cement</t>
        </r>
      </text>
    </comment>
    <comment ref="L93" authorId="2" shapeId="0">
      <text>
        <r>
          <rPr>
            <b/>
            <sz val="9"/>
            <color indexed="81"/>
            <rFont val="Tahoma"/>
            <family val="2"/>
          </rPr>
          <t>DELL:</t>
        </r>
        <r>
          <rPr>
            <sz val="9"/>
            <color indexed="81"/>
            <rFont val="Tahoma"/>
            <family val="2"/>
          </rPr>
          <t xml:space="preserve">
Weight of packer = 2.3kg for Model 12 - Tigre Tierra
Source : http://www.aardvarkpackers.com/Inflatable-Packers/tigre-tierra-specifications.html</t>
        </r>
      </text>
    </comment>
    <comment ref="B94" authorId="2" shapeId="0">
      <text>
        <r>
          <rPr>
            <b/>
            <sz val="9"/>
            <color indexed="81"/>
            <rFont val="Tahoma"/>
            <family val="2"/>
          </rPr>
          <t>DELL:</t>
        </r>
        <r>
          <rPr>
            <sz val="9"/>
            <color indexed="81"/>
            <rFont val="Tahoma"/>
            <family val="2"/>
          </rPr>
          <t xml:space="preserve">
Assuming the weight of bearing plate to be 4.50kg (6" x 6" x 1")</t>
        </r>
      </text>
    </comment>
    <comment ref="L94" authorId="2" shapeId="0">
      <text>
        <r>
          <rPr>
            <b/>
            <sz val="9"/>
            <color indexed="81"/>
            <rFont val="Tahoma"/>
            <family val="2"/>
          </rPr>
          <t>DELL:</t>
        </r>
        <r>
          <rPr>
            <sz val="9"/>
            <color indexed="81"/>
            <rFont val="Tahoma"/>
            <family val="2"/>
          </rPr>
          <t xml:space="preserve">
Assuming the weight of bearing plate to be 4.50kg (6" x 6" x 1")</t>
        </r>
      </text>
    </comment>
  </commentList>
</comments>
</file>

<file path=xl/comments4.xml><?xml version="1.0" encoding="utf-8"?>
<comments xmlns="http://schemas.openxmlformats.org/spreadsheetml/2006/main">
  <authors>
    <author>Ranjita Khatri</author>
  </authors>
  <commentList>
    <comment ref="K5" authorId="0" shapeId="0">
      <text>
        <r>
          <rPr>
            <b/>
            <sz val="9"/>
            <color indexed="81"/>
            <rFont val="Tahoma"/>
            <family val="2"/>
          </rPr>
          <t>Ranjita Khatri:</t>
        </r>
        <r>
          <rPr>
            <sz val="9"/>
            <color indexed="81"/>
            <rFont val="Tahoma"/>
            <family val="2"/>
          </rPr>
          <t xml:space="preserve">
8 times usage</t>
        </r>
      </text>
    </comment>
    <comment ref="K6" authorId="0" shapeId="0">
      <text>
        <r>
          <rPr>
            <b/>
            <sz val="9"/>
            <color indexed="81"/>
            <rFont val="Tahoma"/>
            <family val="2"/>
          </rPr>
          <t>Ranjita Khatri:</t>
        </r>
        <r>
          <rPr>
            <sz val="9"/>
            <color indexed="81"/>
            <rFont val="Tahoma"/>
            <family val="2"/>
          </rPr>
          <t xml:space="preserve">
12 times usage
</t>
        </r>
      </text>
    </comment>
  </commentList>
</comments>
</file>

<file path=xl/comments5.xml><?xml version="1.0" encoding="utf-8"?>
<comments xmlns="http://schemas.openxmlformats.org/spreadsheetml/2006/main">
  <authors>
    <author>DELL</author>
  </authors>
  <commentList>
    <comment ref="K11" authorId="0" shapeId="0">
      <text>
        <r>
          <rPr>
            <b/>
            <sz val="9"/>
            <color indexed="81"/>
            <rFont val="Tahoma"/>
            <family val="2"/>
          </rPr>
          <t>DELL:</t>
        </r>
        <r>
          <rPr>
            <sz val="9"/>
            <color indexed="81"/>
            <rFont val="Tahoma"/>
            <family val="2"/>
          </rPr>
          <t xml:space="preserve">
Assumptions:
Dia of drill hole = 32mm
Dia of drill rod  = 25mm
Length of hole = 1m
Vol. of grout = Vol. of drill hole - Vol. of rod
Density of cement = 1440kg/cum
Dry vol. = 2 times wet vol.</t>
        </r>
      </text>
    </comment>
  </commentList>
</comments>
</file>

<file path=xl/comments6.xml><?xml version="1.0" encoding="utf-8"?>
<comments xmlns="http://schemas.openxmlformats.org/spreadsheetml/2006/main">
  <authors>
    <author>basanta</author>
  </authors>
  <commentList>
    <comment ref="L116" authorId="0" shapeId="0">
      <text>
        <r>
          <rPr>
            <b/>
            <sz val="8"/>
            <color indexed="81"/>
            <rFont val="Tahoma"/>
            <family val="2"/>
          </rPr>
          <t xml:space="preserve">basanta:
</t>
        </r>
        <r>
          <rPr>
            <sz val="8"/>
            <color indexed="81"/>
            <rFont val="Tahoma"/>
            <family val="2"/>
          </rPr>
          <t xml:space="preserve">Rate = Cost of Boulders (Including royalty + 7km lead in earthen road) + Dressing into required size
Royalty of Boulders = NRs. 0.50 per cubic feet = NRs. 35.31 x 0.50 per cum
Cost for lead of 7km with velocity 10kph = 0.50 x unskilled labour + 2.7 x (2x10/7) x diesel + 0.21 x (2x10/7+0.75) x truck
Cost for dressing of Stone </t>
        </r>
        <r>
          <rPr>
            <b/>
            <sz val="8"/>
            <color indexed="81"/>
            <rFont val="Tahoma"/>
            <family val="2"/>
          </rPr>
          <t xml:space="preserve">
</t>
        </r>
        <r>
          <rPr>
            <sz val="8"/>
            <color indexed="81"/>
            <rFont val="Tahoma"/>
            <family val="2"/>
          </rPr>
          <t>Norms Reference : 8.02.02 (DoR)</t>
        </r>
        <r>
          <rPr>
            <b/>
            <sz val="8"/>
            <color indexed="81"/>
            <rFont val="Tahoma"/>
            <family val="2"/>
          </rPr>
          <t xml:space="preserve">
</t>
        </r>
        <r>
          <rPr>
            <sz val="8"/>
            <color indexed="81"/>
            <rFont val="Tahoma"/>
            <family val="2"/>
          </rPr>
          <t xml:space="preserve">
Making Blocks of required size out of stratified rocks including hammer dressing, hauling   distance 10m. and   stacking.
5.88 md of unskilled labour per m³</t>
        </r>
      </text>
    </comment>
    <comment ref="L117" authorId="0" shapeId="0">
      <text>
        <r>
          <rPr>
            <b/>
            <sz val="8"/>
            <color indexed="81"/>
            <rFont val="Tahoma"/>
            <family val="2"/>
          </rPr>
          <t xml:space="preserve">basanta:
</t>
        </r>
        <r>
          <rPr>
            <sz val="8"/>
            <color indexed="81"/>
            <rFont val="Tahoma"/>
            <family val="2"/>
          </rPr>
          <t xml:space="preserve">Rate = Cost of Boulders (Including royalty + 7km lead in earthen road) + Dressing into required size
Royalty of Boulders = NRs. 0.50 per cubic feet = NRs. 35.31 x 0.50 per cum
Cost for lead of 7km with velocity 10kph = 0.50 x unskilled labour + 2.7 x (2x10/7) x diesel + 0.21 x (2x10/7+0.75) x truck
Cost for dressing of Stone </t>
        </r>
        <r>
          <rPr>
            <b/>
            <sz val="8"/>
            <color indexed="81"/>
            <rFont val="Tahoma"/>
            <family val="2"/>
          </rPr>
          <t xml:space="preserve">
</t>
        </r>
        <r>
          <rPr>
            <sz val="8"/>
            <color indexed="81"/>
            <rFont val="Tahoma"/>
            <family val="2"/>
          </rPr>
          <t>Norms Reference : 8.02.02 (DoR)</t>
        </r>
        <r>
          <rPr>
            <b/>
            <sz val="8"/>
            <color indexed="81"/>
            <rFont val="Tahoma"/>
            <family val="2"/>
          </rPr>
          <t xml:space="preserve">
</t>
        </r>
        <r>
          <rPr>
            <sz val="8"/>
            <color indexed="81"/>
            <rFont val="Tahoma"/>
            <family val="2"/>
          </rPr>
          <t xml:space="preserve">
Making Blocks of required size out of stratified rocks including hammer dressing, hauling   distance 10m. and   stacking.
5.88 md of unskilled labour per m³</t>
        </r>
      </text>
    </comment>
    <comment ref="L138" authorId="0" shapeId="0">
      <text>
        <r>
          <rPr>
            <b/>
            <sz val="8"/>
            <color indexed="81"/>
            <rFont val="Tahoma"/>
            <family val="2"/>
          </rPr>
          <t xml:space="preserve">basanta:
</t>
        </r>
        <r>
          <rPr>
            <sz val="8"/>
            <color indexed="81"/>
            <rFont val="Tahoma"/>
            <family val="2"/>
          </rPr>
          <t xml:space="preserve">Rate = Cost of Boulders (Including royalty + 7km lead in earthen road) + Dressing into required size
Royalty of Boulders = NRs. 0.50 per cubic feet = NRs. 35.31 x 0.50 per cum
Cost for lead of 7km with velocity 10kph = 0.50 x unskilled labour + 2.7 x (2x10/7) x diesel + 0.21 x (2x10/7+0.75) x truck
Cost for dressing of Stone </t>
        </r>
        <r>
          <rPr>
            <b/>
            <sz val="8"/>
            <color indexed="81"/>
            <rFont val="Tahoma"/>
            <family val="2"/>
          </rPr>
          <t xml:space="preserve">
</t>
        </r>
        <r>
          <rPr>
            <sz val="8"/>
            <color indexed="81"/>
            <rFont val="Tahoma"/>
            <family val="2"/>
          </rPr>
          <t>Norms Reference : 8.02.02 (DoR)</t>
        </r>
        <r>
          <rPr>
            <b/>
            <sz val="8"/>
            <color indexed="81"/>
            <rFont val="Tahoma"/>
            <family val="2"/>
          </rPr>
          <t xml:space="preserve">
</t>
        </r>
        <r>
          <rPr>
            <sz val="8"/>
            <color indexed="81"/>
            <rFont val="Tahoma"/>
            <family val="2"/>
          </rPr>
          <t xml:space="preserve">
Making Blocks of required size out of stratified rocks including hammer dressing, hauling   distance 10m. and   stacking.
5.88 md of unskilled labour per m³</t>
        </r>
      </text>
    </comment>
    <comment ref="L139" authorId="0" shapeId="0">
      <text>
        <r>
          <rPr>
            <b/>
            <sz val="8"/>
            <color indexed="81"/>
            <rFont val="Tahoma"/>
            <family val="2"/>
          </rPr>
          <t xml:space="preserve">basanta:
</t>
        </r>
        <r>
          <rPr>
            <sz val="8"/>
            <color indexed="81"/>
            <rFont val="Tahoma"/>
            <family val="2"/>
          </rPr>
          <t xml:space="preserve">Rate = Cost of Boulders (Including royalty + 7km lead in earthen road) + Dressing into required size
Royalty of Boulders = NRs. 0.50 per cubic feet = NRs. 35.31 x 0.50 per cum
Cost for lead of 7km with velocity 10kph = 0.50 x unskilled labour + 2.7 x (2x10/7) x diesel + 0.21 x (2x10/7+0.75) x truck
Cost for dressing of Stone </t>
        </r>
        <r>
          <rPr>
            <b/>
            <sz val="8"/>
            <color indexed="81"/>
            <rFont val="Tahoma"/>
            <family val="2"/>
          </rPr>
          <t xml:space="preserve">
</t>
        </r>
        <r>
          <rPr>
            <sz val="8"/>
            <color indexed="81"/>
            <rFont val="Tahoma"/>
            <family val="2"/>
          </rPr>
          <t>Norms Reference : 8.02.02 (DoR)</t>
        </r>
        <r>
          <rPr>
            <b/>
            <sz val="8"/>
            <color indexed="81"/>
            <rFont val="Tahoma"/>
            <family val="2"/>
          </rPr>
          <t xml:space="preserve">
</t>
        </r>
        <r>
          <rPr>
            <sz val="8"/>
            <color indexed="81"/>
            <rFont val="Tahoma"/>
            <family val="2"/>
          </rPr>
          <t xml:space="preserve">
Making Blocks of required size out of stratified rocks including hammer dressing, hauling   distance 10m. and   stacking.
5.88 md of unskilled labour per m³</t>
        </r>
      </text>
    </comment>
    <comment ref="L159" authorId="0" shapeId="0">
      <text>
        <r>
          <rPr>
            <b/>
            <sz val="8"/>
            <color indexed="81"/>
            <rFont val="Tahoma"/>
            <family val="2"/>
          </rPr>
          <t xml:space="preserve">basanta:
</t>
        </r>
        <r>
          <rPr>
            <sz val="8"/>
            <color indexed="81"/>
            <rFont val="Tahoma"/>
            <family val="2"/>
          </rPr>
          <t xml:space="preserve">Rate = Cost of Boulders (Including royalty + 7km lead in earthen road) + Dressing into required size
Royalty of Boulders = NRs. 0.50 per cubic feet = NRs. 35.31 x 0.50 per cum
Cost for lead of 7km with velocity 10kph = 0.50 x unskilled labour + 2.7 x (2x10/7) x diesel + 0.21 x (2x10/7+0.75) x truck
Cost for dressing of Stone </t>
        </r>
        <r>
          <rPr>
            <b/>
            <sz val="8"/>
            <color indexed="81"/>
            <rFont val="Tahoma"/>
            <family val="2"/>
          </rPr>
          <t xml:space="preserve">
</t>
        </r>
        <r>
          <rPr>
            <sz val="8"/>
            <color indexed="81"/>
            <rFont val="Tahoma"/>
            <family val="2"/>
          </rPr>
          <t>Norms Reference : 8.02.02 (DoR)</t>
        </r>
        <r>
          <rPr>
            <b/>
            <sz val="8"/>
            <color indexed="81"/>
            <rFont val="Tahoma"/>
            <family val="2"/>
          </rPr>
          <t xml:space="preserve">
</t>
        </r>
        <r>
          <rPr>
            <sz val="8"/>
            <color indexed="81"/>
            <rFont val="Tahoma"/>
            <family val="2"/>
          </rPr>
          <t xml:space="preserve">
Making Blocks of required size out of stratified rocks including hammer dressing, hauling   distance 10m. and   stacking.
5.88 md of unskilled labour per m³</t>
        </r>
      </text>
    </comment>
    <comment ref="L160" authorId="0" shapeId="0">
      <text>
        <r>
          <rPr>
            <b/>
            <sz val="8"/>
            <color indexed="81"/>
            <rFont val="Tahoma"/>
            <family val="2"/>
          </rPr>
          <t xml:space="preserve">basanta:
</t>
        </r>
        <r>
          <rPr>
            <sz val="8"/>
            <color indexed="81"/>
            <rFont val="Tahoma"/>
            <family val="2"/>
          </rPr>
          <t xml:space="preserve">Rate = Cost of Boulders (Including royalty + 7km lead in earthen road) + Dressing into required size
Royalty of Boulders = NRs. 0.50 per cubic feet = NRs. 35.31 x 0.50 per cum
Cost for lead of 7km with velocity 10kph = 0.50 x unskilled labour + 2.7 x (2x10/7) x diesel + 0.21 x (2x10/7+0.75) x truck
Cost for dressing of Stone </t>
        </r>
        <r>
          <rPr>
            <b/>
            <sz val="8"/>
            <color indexed="81"/>
            <rFont val="Tahoma"/>
            <family val="2"/>
          </rPr>
          <t xml:space="preserve">
</t>
        </r>
        <r>
          <rPr>
            <sz val="8"/>
            <color indexed="81"/>
            <rFont val="Tahoma"/>
            <family val="2"/>
          </rPr>
          <t>Norms Reference : 8.02.02 (DoR)</t>
        </r>
        <r>
          <rPr>
            <b/>
            <sz val="8"/>
            <color indexed="81"/>
            <rFont val="Tahoma"/>
            <family val="2"/>
          </rPr>
          <t xml:space="preserve">
</t>
        </r>
        <r>
          <rPr>
            <sz val="8"/>
            <color indexed="81"/>
            <rFont val="Tahoma"/>
            <family val="2"/>
          </rPr>
          <t xml:space="preserve">
Making Blocks of required size out of stratified rocks including hammer dressing, hauling   distance 10m. and   stacking.
5.88 md of unskilled labour per m³</t>
        </r>
      </text>
    </comment>
    <comment ref="L181" authorId="0" shapeId="0">
      <text>
        <r>
          <rPr>
            <b/>
            <sz val="8"/>
            <color indexed="81"/>
            <rFont val="Tahoma"/>
            <family val="2"/>
          </rPr>
          <t xml:space="preserve">basanta:
</t>
        </r>
        <r>
          <rPr>
            <sz val="8"/>
            <color indexed="81"/>
            <rFont val="Tahoma"/>
            <family val="2"/>
          </rPr>
          <t xml:space="preserve">Rate = Cost of Boulders (Including royalty + 7km lead in earthen road) + Dressing into required size
Royalty of Boulders = NRs. 0.50 per cubic feet = NRs. 35.31 x 0.50 per cum
Cost for lead of 7km with velocity 10kph = 0.50 x unskilled labour + 2.7 x (2x10/7) x diesel + 0.21 x (2x10/7+0.75) x truck
Cost for dressing of Stone </t>
        </r>
        <r>
          <rPr>
            <b/>
            <sz val="8"/>
            <color indexed="81"/>
            <rFont val="Tahoma"/>
            <family val="2"/>
          </rPr>
          <t xml:space="preserve">
</t>
        </r>
        <r>
          <rPr>
            <sz val="8"/>
            <color indexed="81"/>
            <rFont val="Tahoma"/>
            <family val="2"/>
          </rPr>
          <t>Norms Reference : 8.02.02 (DoR)</t>
        </r>
        <r>
          <rPr>
            <b/>
            <sz val="8"/>
            <color indexed="81"/>
            <rFont val="Tahoma"/>
            <family val="2"/>
          </rPr>
          <t xml:space="preserve">
</t>
        </r>
        <r>
          <rPr>
            <sz val="8"/>
            <color indexed="81"/>
            <rFont val="Tahoma"/>
            <family val="2"/>
          </rPr>
          <t xml:space="preserve">
Making Blocks of required size out of stratified rocks including hammer dressing, hauling   distance 10m. and   stacking.
5.88 md of unskilled labour per m³</t>
        </r>
      </text>
    </comment>
    <comment ref="L182" authorId="0" shapeId="0">
      <text>
        <r>
          <rPr>
            <b/>
            <sz val="8"/>
            <color indexed="81"/>
            <rFont val="Tahoma"/>
            <family val="2"/>
          </rPr>
          <t xml:space="preserve">basanta:
</t>
        </r>
        <r>
          <rPr>
            <sz val="8"/>
            <color indexed="81"/>
            <rFont val="Tahoma"/>
            <family val="2"/>
          </rPr>
          <t xml:space="preserve">Rate = Cost of Boulders (Including royalty + 7km lead in earthen road) + Dressing into required size
Royalty of Boulders = NRs. 0.50 per cubic feet = NRs. 35.31 x 0.50 per cum
Cost for lead of 7km with velocity 10kph = 0.50 x unskilled labour + 2.7 x (2x10/7) x diesel + 0.21 x (2x10/7+0.75) x truck
Cost for dressing of Stone </t>
        </r>
        <r>
          <rPr>
            <b/>
            <sz val="8"/>
            <color indexed="81"/>
            <rFont val="Tahoma"/>
            <family val="2"/>
          </rPr>
          <t xml:space="preserve">
</t>
        </r>
        <r>
          <rPr>
            <sz val="8"/>
            <color indexed="81"/>
            <rFont val="Tahoma"/>
            <family val="2"/>
          </rPr>
          <t>Norms Reference : 8.02.02 (DoR)</t>
        </r>
        <r>
          <rPr>
            <b/>
            <sz val="8"/>
            <color indexed="81"/>
            <rFont val="Tahoma"/>
            <family val="2"/>
          </rPr>
          <t xml:space="preserve">
</t>
        </r>
        <r>
          <rPr>
            <sz val="8"/>
            <color indexed="81"/>
            <rFont val="Tahoma"/>
            <family val="2"/>
          </rPr>
          <t xml:space="preserve">
Making Blocks of required size out of stratified rocks including hammer dressing, hauling   distance 10m. and   stacking.
5.88 md of unskilled labour per m³</t>
        </r>
      </text>
    </comment>
  </commentList>
</comments>
</file>

<file path=xl/comments7.xml><?xml version="1.0" encoding="utf-8"?>
<comments xmlns="http://schemas.openxmlformats.org/spreadsheetml/2006/main">
  <authors>
    <author>basantag</author>
  </authors>
  <commentList>
    <comment ref="M28" authorId="0" shapeId="0">
      <text>
        <r>
          <rPr>
            <b/>
            <sz val="8"/>
            <color indexed="81"/>
            <rFont val="Tahoma"/>
            <family val="2"/>
          </rPr>
          <t>basantag:</t>
        </r>
        <r>
          <rPr>
            <sz val="8"/>
            <color indexed="81"/>
            <rFont val="Tahoma"/>
            <family val="2"/>
          </rPr>
          <t xml:space="preserve">
Assuming 0.85litre primer</t>
        </r>
      </text>
    </comment>
    <comment ref="M48" authorId="0" shapeId="0">
      <text>
        <r>
          <rPr>
            <b/>
            <sz val="8"/>
            <color indexed="81"/>
            <rFont val="Tahoma"/>
            <family val="2"/>
          </rPr>
          <t>basantag:</t>
        </r>
        <r>
          <rPr>
            <sz val="8"/>
            <color indexed="81"/>
            <rFont val="Tahoma"/>
            <family val="2"/>
          </rPr>
          <t xml:space="preserve">
Assuming 0.85litre primer</t>
        </r>
      </text>
    </comment>
  </commentList>
</comments>
</file>

<file path=xl/comments8.xml><?xml version="1.0" encoding="utf-8"?>
<comments xmlns="http://schemas.openxmlformats.org/spreadsheetml/2006/main">
  <authors>
    <author>basantag</author>
  </authors>
  <commentList>
    <comment ref="L74" authorId="0" shapeId="0">
      <text>
        <r>
          <rPr>
            <b/>
            <sz val="8"/>
            <color indexed="81"/>
            <rFont val="Tahoma"/>
            <family val="2"/>
          </rPr>
          <t>basantag:</t>
        </r>
        <r>
          <rPr>
            <sz val="8"/>
            <color indexed="81"/>
            <rFont val="Tahoma"/>
            <family val="2"/>
          </rPr>
          <t xml:space="preserve">
Rate of Indian Mosquito Net @ Besisahar</t>
        </r>
      </text>
    </comment>
  </commentList>
</comments>
</file>

<file path=xl/comments9.xml><?xml version="1.0" encoding="utf-8"?>
<comments xmlns="http://schemas.openxmlformats.org/spreadsheetml/2006/main">
  <authors>
    <author>basantag</author>
    <author>Ranjita Khatri</author>
  </authors>
  <commentList>
    <comment ref="K4" authorId="0" shapeId="0">
      <text>
        <r>
          <rPr>
            <b/>
            <sz val="8"/>
            <color indexed="81"/>
            <rFont val="Tahoma"/>
            <family val="2"/>
          </rPr>
          <t>basantag:</t>
        </r>
        <r>
          <rPr>
            <sz val="8"/>
            <color indexed="81"/>
            <rFont val="Tahoma"/>
            <family val="2"/>
          </rPr>
          <t xml:space="preserve">
500 kg per cum</t>
        </r>
      </text>
    </comment>
    <comment ref="K5" authorId="0" shapeId="0">
      <text>
        <r>
          <rPr>
            <b/>
            <sz val="8"/>
            <color indexed="81"/>
            <rFont val="Tahoma"/>
            <family val="2"/>
          </rPr>
          <t>basantag:</t>
        </r>
        <r>
          <rPr>
            <sz val="8"/>
            <color indexed="81"/>
            <rFont val="Tahoma"/>
            <family val="2"/>
          </rPr>
          <t xml:space="preserve">
4% of cement</t>
        </r>
      </text>
    </comment>
    <comment ref="K10" authorId="0" shapeId="0">
      <text>
        <r>
          <rPr>
            <b/>
            <sz val="8"/>
            <color indexed="81"/>
            <rFont val="Tahoma"/>
            <family val="2"/>
          </rPr>
          <t>basantag:</t>
        </r>
        <r>
          <rPr>
            <sz val="8"/>
            <color indexed="81"/>
            <rFont val="Tahoma"/>
            <family val="2"/>
          </rPr>
          <t xml:space="preserve">
10% of cement</t>
        </r>
      </text>
    </comment>
    <comment ref="K11" authorId="0" shapeId="0">
      <text>
        <r>
          <rPr>
            <b/>
            <sz val="8"/>
            <color indexed="81"/>
            <rFont val="Tahoma"/>
            <family val="2"/>
          </rPr>
          <t>basantag:</t>
        </r>
        <r>
          <rPr>
            <sz val="8"/>
            <color indexed="81"/>
            <rFont val="Tahoma"/>
            <family val="2"/>
          </rPr>
          <t xml:space="preserve">
1 % of cement</t>
        </r>
      </text>
    </comment>
    <comment ref="L11" authorId="0" shapeId="0">
      <text>
        <r>
          <rPr>
            <b/>
            <sz val="8"/>
            <color indexed="81"/>
            <rFont val="Tahoma"/>
            <family val="2"/>
          </rPr>
          <t>basantag:</t>
        </r>
        <r>
          <rPr>
            <sz val="8"/>
            <color indexed="81"/>
            <rFont val="Tahoma"/>
            <family val="2"/>
          </rPr>
          <t xml:space="preserve">
As per GNM</t>
        </r>
      </text>
    </comment>
    <comment ref="L20" authorId="1" shapeId="0">
      <text>
        <r>
          <rPr>
            <b/>
            <sz val="9"/>
            <color indexed="81"/>
            <rFont val="Tahoma"/>
            <family val="2"/>
          </rPr>
          <t>Ranjita Khatri:</t>
        </r>
        <r>
          <rPr>
            <sz val="9"/>
            <color indexed="81"/>
            <rFont val="Tahoma"/>
            <family val="2"/>
          </rPr>
          <t xml:space="preserve">
per sqm</t>
        </r>
      </text>
    </comment>
    <comment ref="L21" authorId="1" shapeId="0">
      <text>
        <r>
          <rPr>
            <b/>
            <sz val="9"/>
            <color indexed="81"/>
            <rFont val="Tahoma"/>
            <family val="2"/>
          </rPr>
          <t>Ranjita Khatri:</t>
        </r>
        <r>
          <rPr>
            <sz val="9"/>
            <color indexed="81"/>
            <rFont val="Tahoma"/>
            <family val="2"/>
          </rPr>
          <t xml:space="preserve">
For 50mm thick Shotcrete</t>
        </r>
      </text>
    </comment>
    <comment ref="K27" authorId="0" shapeId="0">
      <text>
        <r>
          <rPr>
            <b/>
            <sz val="8"/>
            <color indexed="81"/>
            <rFont val="Tahoma"/>
            <family val="2"/>
          </rPr>
          <t>basantag:</t>
        </r>
        <r>
          <rPr>
            <sz val="8"/>
            <color indexed="81"/>
            <rFont val="Tahoma"/>
            <family val="2"/>
          </rPr>
          <t xml:space="preserve">
500 kg per cum</t>
        </r>
      </text>
    </comment>
    <comment ref="K28" authorId="0" shapeId="0">
      <text>
        <r>
          <rPr>
            <b/>
            <sz val="8"/>
            <color indexed="81"/>
            <rFont val="Tahoma"/>
            <family val="2"/>
          </rPr>
          <t>basantag:</t>
        </r>
        <r>
          <rPr>
            <sz val="8"/>
            <color indexed="81"/>
            <rFont val="Tahoma"/>
            <family val="2"/>
          </rPr>
          <t xml:space="preserve">
4% of cement</t>
        </r>
      </text>
    </comment>
    <comment ref="K33" authorId="0" shapeId="0">
      <text>
        <r>
          <rPr>
            <b/>
            <sz val="8"/>
            <color indexed="81"/>
            <rFont val="Tahoma"/>
            <family val="2"/>
          </rPr>
          <t>basantag:</t>
        </r>
        <r>
          <rPr>
            <sz val="8"/>
            <color indexed="81"/>
            <rFont val="Tahoma"/>
            <family val="2"/>
          </rPr>
          <t xml:space="preserve">
50 kg per cum</t>
        </r>
      </text>
    </comment>
    <comment ref="L33" authorId="0" shapeId="0">
      <text>
        <r>
          <rPr>
            <b/>
            <sz val="8"/>
            <color indexed="81"/>
            <rFont val="Tahoma"/>
            <family val="2"/>
          </rPr>
          <t>basantag:</t>
        </r>
        <r>
          <rPr>
            <sz val="8"/>
            <color indexed="81"/>
            <rFont val="Tahoma"/>
            <family val="2"/>
          </rPr>
          <t xml:space="preserve">
As per GNM</t>
        </r>
      </text>
    </comment>
    <comment ref="K34" authorId="0" shapeId="0">
      <text>
        <r>
          <rPr>
            <b/>
            <sz val="8"/>
            <color indexed="81"/>
            <rFont val="Tahoma"/>
            <family val="2"/>
          </rPr>
          <t>basantag:</t>
        </r>
        <r>
          <rPr>
            <sz val="8"/>
            <color indexed="81"/>
            <rFont val="Tahoma"/>
            <family val="2"/>
          </rPr>
          <t xml:space="preserve">
10% of cement</t>
        </r>
      </text>
    </comment>
    <comment ref="K35" authorId="0" shapeId="0">
      <text>
        <r>
          <rPr>
            <b/>
            <sz val="8"/>
            <color indexed="81"/>
            <rFont val="Tahoma"/>
            <family val="2"/>
          </rPr>
          <t>basantag:</t>
        </r>
        <r>
          <rPr>
            <sz val="8"/>
            <color indexed="81"/>
            <rFont val="Tahoma"/>
            <family val="2"/>
          </rPr>
          <t xml:space="preserve">
1 % of cement</t>
        </r>
      </text>
    </comment>
    <comment ref="L35" authorId="0" shapeId="0">
      <text>
        <r>
          <rPr>
            <b/>
            <sz val="8"/>
            <color indexed="81"/>
            <rFont val="Tahoma"/>
            <family val="2"/>
          </rPr>
          <t>basantag:</t>
        </r>
        <r>
          <rPr>
            <sz val="8"/>
            <color indexed="81"/>
            <rFont val="Tahoma"/>
            <family val="2"/>
          </rPr>
          <t xml:space="preserve">
As per GNM</t>
        </r>
      </text>
    </comment>
    <comment ref="K50" authorId="0" shapeId="0">
      <text>
        <r>
          <rPr>
            <b/>
            <sz val="8"/>
            <color indexed="81"/>
            <rFont val="Tahoma"/>
            <family val="2"/>
          </rPr>
          <t>basantag:</t>
        </r>
        <r>
          <rPr>
            <sz val="8"/>
            <color indexed="81"/>
            <rFont val="Tahoma"/>
            <family val="2"/>
          </rPr>
          <t xml:space="preserve">
500 kg per cum</t>
        </r>
      </text>
    </comment>
    <comment ref="K51" authorId="0" shapeId="0">
      <text>
        <r>
          <rPr>
            <b/>
            <sz val="8"/>
            <color indexed="81"/>
            <rFont val="Tahoma"/>
            <family val="2"/>
          </rPr>
          <t>basantag:</t>
        </r>
        <r>
          <rPr>
            <sz val="8"/>
            <color indexed="81"/>
            <rFont val="Tahoma"/>
            <family val="2"/>
          </rPr>
          <t xml:space="preserve">
4% of cement</t>
        </r>
      </text>
    </comment>
    <comment ref="K56" authorId="0" shapeId="0">
      <text>
        <r>
          <rPr>
            <b/>
            <sz val="8"/>
            <color indexed="81"/>
            <rFont val="Tahoma"/>
            <family val="2"/>
          </rPr>
          <t>basantag:</t>
        </r>
        <r>
          <rPr>
            <sz val="8"/>
            <color indexed="81"/>
            <rFont val="Tahoma"/>
            <family val="2"/>
          </rPr>
          <t xml:space="preserve">
10% of cement</t>
        </r>
      </text>
    </comment>
    <comment ref="K57" authorId="0" shapeId="0">
      <text>
        <r>
          <rPr>
            <b/>
            <sz val="8"/>
            <color indexed="81"/>
            <rFont val="Tahoma"/>
            <family val="2"/>
          </rPr>
          <t>basantag:</t>
        </r>
        <r>
          <rPr>
            <sz val="8"/>
            <color indexed="81"/>
            <rFont val="Tahoma"/>
            <family val="2"/>
          </rPr>
          <t xml:space="preserve">
1 % of cement</t>
        </r>
      </text>
    </comment>
    <comment ref="K75" authorId="0" shapeId="0">
      <text>
        <r>
          <rPr>
            <b/>
            <sz val="8"/>
            <color indexed="81"/>
            <rFont val="Tahoma"/>
            <family val="2"/>
          </rPr>
          <t>basantag:</t>
        </r>
        <r>
          <rPr>
            <sz val="8"/>
            <color indexed="81"/>
            <rFont val="Tahoma"/>
            <family val="2"/>
          </rPr>
          <t xml:space="preserve">
500 kg per cum</t>
        </r>
      </text>
    </comment>
    <comment ref="K76" authorId="0" shapeId="0">
      <text>
        <r>
          <rPr>
            <b/>
            <sz val="8"/>
            <color indexed="81"/>
            <rFont val="Tahoma"/>
            <family val="2"/>
          </rPr>
          <t>basantag:</t>
        </r>
        <r>
          <rPr>
            <sz val="8"/>
            <color indexed="81"/>
            <rFont val="Tahoma"/>
            <family val="2"/>
          </rPr>
          <t xml:space="preserve">
4% of cement</t>
        </r>
      </text>
    </comment>
    <comment ref="K81" authorId="0" shapeId="0">
      <text>
        <r>
          <rPr>
            <b/>
            <sz val="8"/>
            <color indexed="81"/>
            <rFont val="Tahoma"/>
            <family val="2"/>
          </rPr>
          <t>basantag:</t>
        </r>
        <r>
          <rPr>
            <sz val="8"/>
            <color indexed="81"/>
            <rFont val="Tahoma"/>
            <family val="2"/>
          </rPr>
          <t xml:space="preserve">
50 kg per cum</t>
        </r>
      </text>
    </comment>
    <comment ref="L81" authorId="0" shapeId="0">
      <text>
        <r>
          <rPr>
            <b/>
            <sz val="8"/>
            <color indexed="81"/>
            <rFont val="Tahoma"/>
            <family val="2"/>
          </rPr>
          <t>basantag:</t>
        </r>
        <r>
          <rPr>
            <sz val="8"/>
            <color indexed="81"/>
            <rFont val="Tahoma"/>
            <family val="2"/>
          </rPr>
          <t xml:space="preserve">
As per GNM</t>
        </r>
      </text>
    </comment>
    <comment ref="K82" authorId="0" shapeId="0">
      <text>
        <r>
          <rPr>
            <b/>
            <sz val="8"/>
            <color indexed="81"/>
            <rFont val="Tahoma"/>
            <family val="2"/>
          </rPr>
          <t>basantag:</t>
        </r>
        <r>
          <rPr>
            <sz val="8"/>
            <color indexed="81"/>
            <rFont val="Tahoma"/>
            <family val="2"/>
          </rPr>
          <t xml:space="preserve">
10% of cement</t>
        </r>
      </text>
    </comment>
    <comment ref="K83" authorId="0" shapeId="0">
      <text>
        <r>
          <rPr>
            <b/>
            <sz val="8"/>
            <color indexed="81"/>
            <rFont val="Tahoma"/>
            <family val="2"/>
          </rPr>
          <t>basantag:</t>
        </r>
        <r>
          <rPr>
            <sz val="8"/>
            <color indexed="81"/>
            <rFont val="Tahoma"/>
            <family val="2"/>
          </rPr>
          <t xml:space="preserve">
1 % of cement</t>
        </r>
      </text>
    </comment>
    <comment ref="L83" authorId="0" shapeId="0">
      <text>
        <r>
          <rPr>
            <b/>
            <sz val="8"/>
            <color indexed="81"/>
            <rFont val="Tahoma"/>
            <family val="2"/>
          </rPr>
          <t>basantag:</t>
        </r>
        <r>
          <rPr>
            <sz val="8"/>
            <color indexed="81"/>
            <rFont val="Tahoma"/>
            <family val="2"/>
          </rPr>
          <t xml:space="preserve">
As per GNM</t>
        </r>
      </text>
    </comment>
  </commentList>
</comments>
</file>

<file path=xl/sharedStrings.xml><?xml version="1.0" encoding="utf-8"?>
<sst xmlns="http://schemas.openxmlformats.org/spreadsheetml/2006/main" count="15688" uniqueCount="1034">
  <si>
    <t>Item No.</t>
  </si>
  <si>
    <t>Description of Item</t>
  </si>
  <si>
    <t>Unit</t>
  </si>
  <si>
    <t>Labour (A)</t>
  </si>
  <si>
    <t>Material (B)</t>
  </si>
  <si>
    <t>Equipment (C)</t>
  </si>
  <si>
    <t>Category</t>
  </si>
  <si>
    <t>Quantity</t>
  </si>
  <si>
    <t>Rate</t>
  </si>
  <si>
    <t>Amount</t>
  </si>
  <si>
    <t>Type</t>
  </si>
  <si>
    <t>cum</t>
  </si>
  <si>
    <t>LS</t>
  </si>
  <si>
    <t>Sub-total (A+B+C)</t>
  </si>
  <si>
    <t>Total</t>
  </si>
  <si>
    <t>Per unit cost without VAT</t>
  </si>
  <si>
    <t>NRs.</t>
  </si>
  <si>
    <t>US$</t>
  </si>
  <si>
    <t>ADOPTED</t>
  </si>
  <si>
    <t xml:space="preserve"> ( Rounded upto immediate NRs. 0.50 )</t>
  </si>
  <si>
    <t>Total of A</t>
  </si>
  <si>
    <t>Total of B</t>
  </si>
  <si>
    <t>Total of C</t>
  </si>
  <si>
    <t>REFERENCE :</t>
  </si>
  <si>
    <t>Profit and Overhead 15%</t>
  </si>
  <si>
    <t xml:space="preserve">Miscellaneous </t>
  </si>
  <si>
    <t>REMARKS :</t>
  </si>
  <si>
    <t>GI wire (8 Gauge-Commercial)</t>
  </si>
  <si>
    <t>kg</t>
  </si>
  <si>
    <t>Binding wire</t>
  </si>
  <si>
    <t>Reinforcement</t>
  </si>
  <si>
    <t>Cement</t>
  </si>
  <si>
    <t>t</t>
  </si>
  <si>
    <t>40 mm aggregates (Crusher Run)</t>
  </si>
  <si>
    <t>m3</t>
  </si>
  <si>
    <t>20 mm aggregates (Crusher Run)</t>
  </si>
  <si>
    <t>10 mm aggregates (Crusher Run)</t>
  </si>
  <si>
    <t>River Sand</t>
  </si>
  <si>
    <t>Graded material</t>
  </si>
  <si>
    <t>Sal Timber (local)</t>
  </si>
  <si>
    <t>Planks of local wood (1" - 1.5" thick)</t>
  </si>
  <si>
    <t>Stone</t>
  </si>
  <si>
    <t>Nails</t>
  </si>
  <si>
    <t>Gelatine</t>
  </si>
  <si>
    <t>Detonator</t>
  </si>
  <si>
    <t>Nos.</t>
  </si>
  <si>
    <t>Detonating Cord</t>
  </si>
  <si>
    <t>m</t>
  </si>
  <si>
    <t>Plywood(12mm)</t>
  </si>
  <si>
    <t>CGI Sheet (24 gauge)</t>
  </si>
  <si>
    <t>22x24 SWG Nut bolt</t>
  </si>
  <si>
    <t>8 mm J hooks</t>
  </si>
  <si>
    <t>Bitumen washer</t>
  </si>
  <si>
    <t>Screw</t>
  </si>
  <si>
    <t>Hold fast</t>
  </si>
  <si>
    <t>75 mm hinges</t>
  </si>
  <si>
    <t>Locking Sets</t>
  </si>
  <si>
    <t>Handle (Small Sized)</t>
  </si>
  <si>
    <t>White lime (White Cement)</t>
  </si>
  <si>
    <t xml:space="preserve">Gum </t>
  </si>
  <si>
    <t>Snow cem</t>
  </si>
  <si>
    <t>Enamel paint</t>
  </si>
  <si>
    <t>Lt.</t>
  </si>
  <si>
    <t>Red oxide</t>
  </si>
  <si>
    <t>Brick (Local Chimney Made)</t>
  </si>
  <si>
    <t>rm</t>
  </si>
  <si>
    <t>Barbed wire (12 Gauge)</t>
  </si>
  <si>
    <t>Diesel</t>
  </si>
  <si>
    <t>ltr</t>
  </si>
  <si>
    <t>Kerosene</t>
  </si>
  <si>
    <t>Petrol</t>
  </si>
  <si>
    <t>Natural Gravel</t>
  </si>
  <si>
    <t>Skilled Labour</t>
  </si>
  <si>
    <t>Unskilled Labour</t>
  </si>
  <si>
    <t>Semi Skilled Labour</t>
  </si>
  <si>
    <t>Foreman</t>
  </si>
  <si>
    <t>Driver</t>
  </si>
  <si>
    <t>Operator</t>
  </si>
  <si>
    <t>Engineer</t>
  </si>
  <si>
    <t>Overseer</t>
  </si>
  <si>
    <t>Draftsman</t>
  </si>
  <si>
    <t>md</t>
  </si>
  <si>
    <t>A</t>
  </si>
  <si>
    <t>B</t>
  </si>
  <si>
    <t xml:space="preserve">Materials </t>
  </si>
  <si>
    <t>Rates</t>
  </si>
  <si>
    <t>Helper</t>
  </si>
  <si>
    <t>Blaster</t>
  </si>
  <si>
    <t>Electrician</t>
  </si>
  <si>
    <t>Driller</t>
  </si>
  <si>
    <t>Surveyor</t>
  </si>
  <si>
    <t>Paved</t>
  </si>
  <si>
    <t>Gravel</t>
  </si>
  <si>
    <t>Earthen</t>
  </si>
  <si>
    <t>Velocity</t>
  </si>
  <si>
    <t>Travel time (T)</t>
  </si>
  <si>
    <t>Skilled</t>
  </si>
  <si>
    <t>Unskilled</t>
  </si>
  <si>
    <t>Place</t>
  </si>
  <si>
    <t>Basic Rates</t>
  </si>
  <si>
    <t>KM</t>
  </si>
  <si>
    <t>hr</t>
  </si>
  <si>
    <t>Reference</t>
  </si>
  <si>
    <t>NRs</t>
  </si>
  <si>
    <t>Lit.</t>
  </si>
  <si>
    <t>Transporation
Cost
(NRs.)</t>
  </si>
  <si>
    <t>Location</t>
  </si>
  <si>
    <t>Total Cost
(NRs.)</t>
  </si>
  <si>
    <t>km/hr</t>
  </si>
  <si>
    <t>Pavement Surface</t>
  </si>
  <si>
    <t>8.04.03 (8)</t>
  </si>
  <si>
    <t>8.04.03 (2)</t>
  </si>
  <si>
    <t>8.04.03 (3)</t>
  </si>
  <si>
    <t>ton</t>
  </si>
  <si>
    <t>8.04.03 (11)</t>
  </si>
  <si>
    <t>8.04.03 (4)</t>
  </si>
  <si>
    <t>8.04.03 (7)</t>
  </si>
  <si>
    <t>Tipper/ Truck</t>
  </si>
  <si>
    <t>8.04.03 (6)</t>
  </si>
  <si>
    <t>Geotextile</t>
  </si>
  <si>
    <t>8.04.03 (9)</t>
  </si>
  <si>
    <t>8.04.03 (10)</t>
  </si>
  <si>
    <t>SN</t>
  </si>
  <si>
    <t>PLACE</t>
  </si>
  <si>
    <t>KATHMANDU</t>
  </si>
  <si>
    <t>m³</t>
  </si>
  <si>
    <t xml:space="preserve">Man Power </t>
  </si>
  <si>
    <t>sqm</t>
  </si>
  <si>
    <t>Add 3% of labour costs for tools</t>
  </si>
  <si>
    <t>=</t>
  </si>
  <si>
    <t>1 US Dollar</t>
  </si>
  <si>
    <t>Clearing of grass, removing roots breaking sods, levelling the surface and disposal to 10m.</t>
  </si>
  <si>
    <t>2.03</t>
  </si>
  <si>
    <t>Felling and  uprooting of bamboo, clearing the area,  stacking of bamboo and disposing of wastes to 10m. (Volume of the excavated area should be measured.)</t>
  </si>
  <si>
    <t>2.04</t>
  </si>
  <si>
    <r>
      <t xml:space="preserve">Clearing and grubbing of forest including uprooting, carrying and disposing of vegetation, grass, bush, sapling  and trees of  girth upto 300mm (measured at a height of 1m above the ground level). lead 10m.
</t>
    </r>
    <r>
      <rPr>
        <i/>
        <sz val="9"/>
        <rFont val="Gill Sans MT"/>
        <family val="2"/>
      </rPr>
      <t xml:space="preserve">(a)Trees &amp; sapling less than 15 numbers per 100 sq.m </t>
    </r>
  </si>
  <si>
    <r>
      <t xml:space="preserve">Clearing and grubbing of forest including uprooting, carrying and disposing of vegetation, grass, bush, sapling  and trees of  girth upto 300mm (measured at a height of 1m above the ground level). lead 10m.
</t>
    </r>
    <r>
      <rPr>
        <i/>
        <sz val="9"/>
        <rFont val="Gill Sans MT"/>
        <family val="2"/>
      </rPr>
      <t xml:space="preserve">(b)Trees &amp; sapling more than 15 numbers per 100 sq.m </t>
    </r>
  </si>
  <si>
    <r>
      <t xml:space="preserve">Felling trees (the girth measured at a height of 1 m above ground level) including cuttting of  trunks and branches, removing the roots, stacking serviceable materials and disposal of unserviceable materials to 10m distance and back filling the depressions/pits
</t>
    </r>
    <r>
      <rPr>
        <i/>
        <sz val="9"/>
        <rFont val="Gill Sans MT"/>
        <family val="2"/>
      </rPr>
      <t>(a) above 300mm to 600mm</t>
    </r>
  </si>
  <si>
    <t>nos.</t>
  </si>
  <si>
    <r>
      <t xml:space="preserve">Felling trees (the girth measured at a height of 1 m above ground level) including cuttting of  trunks and branches, removing the roots, stacking serviceable materials and disposal of unserviceable materials to 10m distance and back filling the depressions/pits
</t>
    </r>
    <r>
      <rPr>
        <i/>
        <sz val="9"/>
        <rFont val="Gill Sans MT"/>
        <family val="2"/>
      </rPr>
      <t>(c) above 900mm to 1800mm</t>
    </r>
  </si>
  <si>
    <r>
      <t xml:space="preserve">Felling trees (the girth measured at a height of 1 m above ground level) including cuttting of  trunks and branches, removing the roots, stacking serviceable materials and disposal of unserviceable materials to 10m distance and back filling the depressions/pits
</t>
    </r>
    <r>
      <rPr>
        <i/>
        <sz val="9"/>
        <rFont val="Gill Sans MT"/>
        <family val="2"/>
      </rPr>
      <t>(d) above 1800mm to 2400mm</t>
    </r>
  </si>
  <si>
    <r>
      <t xml:space="preserve">Felling trees (the girth measured at a height of 1 m above ground level) including cuttting of  trunks and branches, removing the roots, stacking serviceable materials and disposal of unserviceable materials to 10m distance and back filling the depressions/pits
</t>
    </r>
    <r>
      <rPr>
        <i/>
        <sz val="9"/>
        <rFont val="Gill Sans MT"/>
        <family val="2"/>
      </rPr>
      <t>(b) above 600mm to 900mm</t>
    </r>
  </si>
  <si>
    <r>
      <t xml:space="preserve">Felling trees (the girth measured at a height of 1 m above ground level) including cuttting of  trunks and branches, removing the roots, stacking serviceable materials and disposal of unserviceable materials to 10m distance and back filling the depressions/pits
</t>
    </r>
    <r>
      <rPr>
        <i/>
        <sz val="9"/>
        <rFont val="Gill Sans MT"/>
        <family val="2"/>
      </rPr>
      <t>(e) above2400mm to 3000mm</t>
    </r>
  </si>
  <si>
    <r>
      <t xml:space="preserve">Felling trees (the girth measured at a height of 1 m above ground level) including cuttting of  trunks and branches, removing the roots, stacking serviceable materials and disposal of unserviceable materials to 10m distance and back filling the depressions/pits
</t>
    </r>
    <r>
      <rPr>
        <i/>
        <sz val="9"/>
        <rFont val="Gill Sans MT"/>
        <family val="2"/>
      </rPr>
      <t>(f) above 3000mm</t>
    </r>
  </si>
  <si>
    <t>Dressing and levelling of the construction surface including cutting and filling  of small undulation.</t>
  </si>
  <si>
    <t>2.05</t>
  </si>
  <si>
    <t>2.08</t>
  </si>
  <si>
    <t>Spreading,Shaping and light compacting of top soil on slopes.</t>
  </si>
  <si>
    <t>SUMMARY OF RATES</t>
  </si>
  <si>
    <t>ITEM</t>
  </si>
  <si>
    <t>UNIT</t>
  </si>
  <si>
    <t>SITE CLEARANCE AND PREPARATION</t>
  </si>
  <si>
    <t>Excavation in soft soil including disposal upto 10m and lift upto 1.5 m etc. all complete as per specification.</t>
  </si>
  <si>
    <t>Excavation in Hard soil/ Gravels/ Boulder Mixed soil including disposal upto 10m and lift upto 1.5 m etc. all complete as per specification.</t>
  </si>
  <si>
    <t>9.01.a</t>
  </si>
  <si>
    <t>9.01.b</t>
  </si>
  <si>
    <t>Excavation in Soft rock including disposal upto 10m and lift upto 1.5 m etc. all complete as per specification.</t>
  </si>
  <si>
    <t>9.01.c</t>
  </si>
  <si>
    <t>Excavation in Hard rock without blasting including disposal upto 10m and lift upto 1.5 m etc. all complete as per specification.</t>
  </si>
  <si>
    <t>9.01.d.i</t>
  </si>
  <si>
    <t>Excavation in Hard rock with blasting (Manual drilling) including disposal upto 10m and lift upto 1.5 m etc. all complete as per specification.</t>
  </si>
  <si>
    <t>blaster</t>
  </si>
  <si>
    <t>Gelatin</t>
  </si>
  <si>
    <t>Fuse Wire</t>
  </si>
  <si>
    <t>Excavation in Hard rock with blasting (Mechanical drilling) including disposal upto 10m and lift upto 1.5 m etc. all complete as per specification.</t>
  </si>
  <si>
    <t>Compressor &amp; drill</t>
  </si>
  <si>
    <t>9.01.d.ii.1</t>
  </si>
  <si>
    <t>9.01.d.ii.2</t>
  </si>
  <si>
    <t>9.01.d.iii.1</t>
  </si>
  <si>
    <t>Excavation in Hard rock using chemicals (Manual drilling) including disposal upto 10m and lift upto 1.5 m etc. all complete as per specification.</t>
  </si>
  <si>
    <t>Chemicals</t>
  </si>
  <si>
    <t>9.01.d.iii.2</t>
  </si>
  <si>
    <t>Excavation in Hard rock using chemicals (Mechanical drilling) including disposal upto 10m and lift upto 1.5 m etc. all complete as per specification.</t>
  </si>
  <si>
    <r>
      <t xml:space="preserve">Excavation for foundation through all types of soil including relevant lift and disposal upto 20m. 
</t>
    </r>
    <r>
      <rPr>
        <i/>
        <sz val="9"/>
        <rFont val="Gill Sans MT"/>
        <family val="2"/>
      </rPr>
      <t>(a) Depth up to 1.50m</t>
    </r>
  </si>
  <si>
    <t>9.07.01</t>
  </si>
  <si>
    <r>
      <t xml:space="preserve">Excavation for foundation through all types of soil including relevant lift and disposal upto 20m. 
</t>
    </r>
    <r>
      <rPr>
        <i/>
        <sz val="9"/>
        <rFont val="Gill Sans MT"/>
        <family val="2"/>
      </rPr>
      <t xml:space="preserve">(b) Depth more than 1.5m upto 3m </t>
    </r>
  </si>
  <si>
    <r>
      <t xml:space="preserve">Excavation for foundation through all types of soil including relevant lift and disposal upto 20m. 
</t>
    </r>
    <r>
      <rPr>
        <i/>
        <sz val="9"/>
        <rFont val="Gill Sans MT"/>
        <family val="2"/>
      </rPr>
      <t xml:space="preserve">(c) Depth more than 3m upto 4.5m  </t>
    </r>
  </si>
  <si>
    <r>
      <t xml:space="preserve">Excavation for foundation through all types of soil including relevant lift and disposal upto 20m. 
</t>
    </r>
    <r>
      <rPr>
        <i/>
        <sz val="9"/>
        <rFont val="Gill Sans MT"/>
        <family val="2"/>
      </rPr>
      <t xml:space="preserve">(d) Depth more than 4.5upto 6m  </t>
    </r>
  </si>
  <si>
    <r>
      <t xml:space="preserve">Excavation for foundation through all types of soil including relevant lift and disposal upto 20m. 
</t>
    </r>
    <r>
      <rPr>
        <i/>
        <sz val="9"/>
        <rFont val="Gill Sans MT"/>
        <family val="2"/>
      </rPr>
      <t xml:space="preserve">(e) Depth more than 6m  </t>
    </r>
  </si>
  <si>
    <t xml:space="preserve">Increase by 30% for every additional meter depth of foundation over the rate for the previous depth. </t>
  </si>
  <si>
    <t>EXCAVATION</t>
  </si>
  <si>
    <t>Timber(Planks, struts etc)</t>
  </si>
  <si>
    <t>Spiker / Nails</t>
  </si>
  <si>
    <t>The cost of "Providing and fixing, sheeting, shorting, struting, shoring, bracing, stuffing and making coffer dam during foundation excavation and removing  upto 10m and lift upto 1.5 m etc. all complete as per specification." has been included under the Miscellaneous item.</t>
  </si>
  <si>
    <t>9.09</t>
  </si>
  <si>
    <r>
      <t xml:space="preserve">Excavation for foundation through all types of soil including relevant lift and disposal upto 20m and also including dewatering during foundation excavation &amp; foundation works. 
</t>
    </r>
    <r>
      <rPr>
        <i/>
        <sz val="9"/>
        <rFont val="Gill Sans MT"/>
        <family val="2"/>
      </rPr>
      <t>(a) Depth up to 1.50m</t>
    </r>
  </si>
  <si>
    <t>1)Assuming the ratio of water table and depth of excavation to be 0.8 to 1.0 and type of soil to be gravel 
2)The cost of "Providing and fixing, sheeting, shorting, struting, shoring, bracing, stuffing and making coffer dam during foundation excavation and removing  upto 10m and lift upto 1.5 m etc. all complete as per specification." has been included under the Miscellaneous item.</t>
  </si>
  <si>
    <t>9.07.01 &amp; 9.08</t>
  </si>
  <si>
    <t>(Additional 120% for dewatering &amp; Rate for support)</t>
  </si>
  <si>
    <t>(Rate for support, shoring etc.)</t>
  </si>
  <si>
    <r>
      <t xml:space="preserve">Excavation for foundation through all types of soil including relevant lift and disposal upto 20m and also including dewatering during foundation excavation &amp; foundation works.  
</t>
    </r>
    <r>
      <rPr>
        <i/>
        <sz val="9"/>
        <rFont val="Gill Sans MT"/>
        <family val="2"/>
      </rPr>
      <t xml:space="preserve">(b) Depth more than 1.5m upto 3m </t>
    </r>
  </si>
  <si>
    <r>
      <t xml:space="preserve">Excavation for foundation through all types of soil including relevant lift and disposal upto 20m and also including dewatering during foundation excavation &amp; foundation works.
</t>
    </r>
    <r>
      <rPr>
        <i/>
        <sz val="9"/>
        <rFont val="Gill Sans MT"/>
        <family val="2"/>
      </rPr>
      <t xml:space="preserve">(c) Depth more than 3m upto 4.5m  </t>
    </r>
  </si>
  <si>
    <r>
      <t xml:space="preserve">Excavation for foundation through all types of soil including relevant lift and disposal upto 20m and also including dewatering during foundation excavation &amp; foundation works.
</t>
    </r>
    <r>
      <rPr>
        <i/>
        <sz val="9"/>
        <rFont val="Gill Sans MT"/>
        <family val="2"/>
      </rPr>
      <t xml:space="preserve">(d) Depth more than 4.5upto 6m  </t>
    </r>
  </si>
  <si>
    <r>
      <t xml:space="preserve">Excavation for foundation through all types of soil including relevant lift and disposal upto 20m and also including dewatering during foundation excavation &amp; foundation works.
</t>
    </r>
    <r>
      <rPr>
        <i/>
        <sz val="9"/>
        <rFont val="Gill Sans MT"/>
        <family val="2"/>
      </rPr>
      <t xml:space="preserve">(e) Depth more than 6m  </t>
    </r>
  </si>
  <si>
    <t>9.11.a</t>
  </si>
  <si>
    <t>9.11.b</t>
  </si>
  <si>
    <t>9.11.c</t>
  </si>
  <si>
    <t>Excavation and disposal of slides in soft soil including manually haulage distance upto 50m all complete as per specification.</t>
  </si>
  <si>
    <t>Excavation and disposal of slides in hard soil/gravels/ boulder mixed soil including manually haulage distance upto 50m all complete as per specification.</t>
  </si>
  <si>
    <t>SUB ITEM</t>
  </si>
  <si>
    <t>Earthen Track</t>
  </si>
  <si>
    <t>Travel time</t>
  </si>
  <si>
    <t>Transporation of excavated soil with loading and unloading 
(Haulage distance = 1km)</t>
  </si>
  <si>
    <t>lit.</t>
  </si>
  <si>
    <t>Tipper</t>
  </si>
  <si>
    <t>Transporation of excavated rock with loading and unloading 
(Haulage distance = 1km)</t>
  </si>
  <si>
    <t>8.04.03.1.a</t>
  </si>
  <si>
    <t>8.04.03.1.b</t>
  </si>
  <si>
    <t>Transporation of excavated soil with loading and unloading 
(Haulage distance = 2km)</t>
  </si>
  <si>
    <t>Transporation of excavated rock with loading and unloading 
(Haulage distance = 2km)</t>
  </si>
  <si>
    <t>Formation of embankment including compaction in layers not exceeding 150mm. Compacted depth, watering and haulage 10m. etc. all complete as per specification.</t>
  </si>
  <si>
    <t>9.05</t>
  </si>
  <si>
    <t>suitable material</t>
  </si>
  <si>
    <t>cu.m</t>
  </si>
  <si>
    <t>fuel</t>
  </si>
  <si>
    <t>water</t>
  </si>
  <si>
    <t>Roller (8-10T)</t>
  </si>
  <si>
    <t xml:space="preserve">Average 2 km lead has been provided for the excavated materials </t>
  </si>
  <si>
    <t>9.06</t>
  </si>
  <si>
    <t>Formation of rockfilled embankment including compaction  in layers not exceeding 450mm.  watering and haulage 10m. etc. all complete as per specification.</t>
  </si>
  <si>
    <t>Rock material</t>
  </si>
  <si>
    <t xml:space="preserve">Back filling in layers in foundaion pits, trenches , etc, including compaction and watering etc. complete, lead 10m.  
</t>
  </si>
  <si>
    <t>2(25) ka Old Norms</t>
  </si>
  <si>
    <t>24.11</t>
  </si>
  <si>
    <t>Back fill with graded filter materials in layer with  necessary watering and compaction, lead 30m, lift 1.5m.</t>
  </si>
  <si>
    <t>Graded Filter Materials</t>
  </si>
  <si>
    <t>C</t>
  </si>
  <si>
    <t>FILLING</t>
  </si>
  <si>
    <t>Remarks</t>
  </si>
  <si>
    <t>18.01.a</t>
  </si>
  <si>
    <t>Planks</t>
  </si>
  <si>
    <t>Struts, baillies etc</t>
  </si>
  <si>
    <t>Nails, spikes etc</t>
  </si>
  <si>
    <t>Providing , Preparing and Installing form work including necessary supports and removing after completion for foundation and footings.(Scrap value neglected)</t>
  </si>
  <si>
    <t>Plywood</t>
  </si>
  <si>
    <t>18.02.01.a.i</t>
  </si>
  <si>
    <t>18.02.01.a.ii</t>
  </si>
  <si>
    <t>18.02.01.a.iii</t>
  </si>
  <si>
    <t>18.02.01.a.iv</t>
  </si>
  <si>
    <t xml:space="preserve">Increase the rate  by 10% for every additional meter height to the rate for the previous height </t>
  </si>
  <si>
    <t>Providing , Preparing and Installing form work &amp; removing after completion for Slab &amp; beam structure (Scrap value neglected)</t>
  </si>
  <si>
    <t xml:space="preserve">skilled </t>
  </si>
  <si>
    <t xml:space="preserve">unskilled </t>
  </si>
  <si>
    <t>18.05.a</t>
  </si>
  <si>
    <t>Providing , Preparing and Installing form work &amp; removing after completion for archstructure (Scrap value neglected)</t>
  </si>
  <si>
    <t>18.06.a</t>
  </si>
  <si>
    <t>D</t>
  </si>
  <si>
    <t>FORMWORK</t>
  </si>
  <si>
    <t>20.01.a.ii</t>
  </si>
  <si>
    <t>Providing and placing machine mixed cement concrete C15 for the foundation and footing etc. including compaction, curing, testing and  lead  30m. etc. all complete as per specification and drawing.</t>
  </si>
  <si>
    <t>lit</t>
  </si>
  <si>
    <t xml:space="preserve">Skilled </t>
  </si>
  <si>
    <t xml:space="preserve">Cement </t>
  </si>
  <si>
    <t>Aggregate 20-40mm</t>
  </si>
  <si>
    <t>Coarse sand</t>
  </si>
  <si>
    <t>Water</t>
  </si>
  <si>
    <t>Mixer (0.28/ 0.20 m3 )</t>
  </si>
  <si>
    <t>Vibrator</t>
  </si>
  <si>
    <t>Aggregate 10-20mm</t>
  </si>
  <si>
    <t>Aggregate 10mm &amp; down</t>
  </si>
  <si>
    <t>Providing and placing manually mixed cement concrete C15 for the foundation and footing etc. including compaction, curing, testing and  lead  30m. etc. all complete as per specification and drawing.</t>
  </si>
  <si>
    <t>20.01.b.ii</t>
  </si>
  <si>
    <t>Providing and placing machine mixed cement concrete C25 for the foundation and footing etc. including compaction, curing, testing and  lead  30m. etc. all complete as per specification and drawing.</t>
  </si>
  <si>
    <t>Providing and placing manually mixed cement concrete C25 for the foundation and footing etc. including compaction, curing, testing and  lead  30m. etc. all complete as per specification and drawing.</t>
  </si>
  <si>
    <t>20.01.a.v</t>
  </si>
  <si>
    <t>20.01.b.v</t>
  </si>
  <si>
    <t>Providing and placing machine mixed cement concrete C25 for the abutement, pier, wall etc. including compaction, curing, testing and  lead  30m. etc. all complete as per specification and drawing.</t>
  </si>
  <si>
    <t>20.02.a.iv</t>
  </si>
  <si>
    <t>Providing and placing manually mixed cement concrete C25 for the abutement, pier, wall etc. including compaction, curing, testing and  lead  30m. etc. all complete as per specification and drawing.</t>
  </si>
  <si>
    <t>20.02.b.iv</t>
  </si>
  <si>
    <t>20.03.a.iv</t>
  </si>
  <si>
    <t>20.03.b.iv</t>
  </si>
  <si>
    <t>E</t>
  </si>
  <si>
    <t>CONCRETING WORKS</t>
  </si>
  <si>
    <t>20.07.i</t>
  </si>
  <si>
    <r>
      <t xml:space="preserve"> Providing and laying  Reinforcement including cutting, bending, binding,  fixing in position and lead 30m. etc. all complete as per specification and drawing. 
</t>
    </r>
    <r>
      <rPr>
        <i/>
        <sz val="9"/>
        <rFont val="Gill Sans MT"/>
        <family val="2"/>
      </rPr>
      <t>(Diameter upto 8mm)</t>
    </r>
  </si>
  <si>
    <r>
      <t xml:space="preserve"> Providing and laying  Reinforcement including cutting, bending, binding,  fixing in position and lead 30m. etc. all complete as per specification and drawing. 
</t>
    </r>
    <r>
      <rPr>
        <i/>
        <sz val="9"/>
        <rFont val="Gill Sans MT"/>
        <family val="2"/>
      </rPr>
      <t>(Diameter above 8mm  and  upto 16mm.)</t>
    </r>
  </si>
  <si>
    <t>20.07.ii</t>
  </si>
  <si>
    <t>20.07.iii</t>
  </si>
  <si>
    <r>
      <t xml:space="preserve"> Providing and laying  Reinforcement including cutting, bending, binding,  fixing in position and lead 30m. etc. all complete as per specification and drawing. 
</t>
    </r>
    <r>
      <rPr>
        <i/>
        <sz val="9"/>
        <rFont val="Gill Sans MT"/>
        <family val="2"/>
      </rPr>
      <t>(Diameter above 16mm.)</t>
    </r>
  </si>
  <si>
    <t>F</t>
  </si>
  <si>
    <t>REINFORCEMENT BARS</t>
  </si>
  <si>
    <t>25.01</t>
  </si>
  <si>
    <t>Providing and laying brick masonry in machine mixed cement mortar (cement : sand = 1:3) including preparation of mortar as per specification, lead 30 m.</t>
  </si>
  <si>
    <t>Bricks</t>
  </si>
  <si>
    <t>no</t>
  </si>
  <si>
    <t>Sand</t>
  </si>
  <si>
    <t>Concrete mixer</t>
  </si>
  <si>
    <t>(0.28 / 0.2 m³)</t>
  </si>
  <si>
    <t>Providing and laying brick masonry in machine mixed cement mortar (cement : sand = 1:4) including preparation of mortar as per specification, lead 30 m.</t>
  </si>
  <si>
    <t>Providing and laying brick masonry in machine mixed cement mortar (cement : sand = 1:6) including preparation of mortar as per specification, lead 30 m.</t>
  </si>
  <si>
    <t>25.02</t>
  </si>
  <si>
    <t>Providing and laying brick masonry in manually mixed cement mortar (cement : sand = 1:6) including preparation of mortar as per specification, lead 30 m.</t>
  </si>
  <si>
    <t>Providing and laying brick masonry in manually mixed cement mortar (cement : sand = 1:3) including preparation of mortar as per specification, lead 30 m.</t>
  </si>
  <si>
    <t>Add 3% of labour for tools &amp; plants</t>
  </si>
  <si>
    <t>Providing and laying brick masonry in manually mixed cement mortar (cement : sand = 1:4) including preparation of mortar as per specification, lead 30 m.</t>
  </si>
  <si>
    <t>G</t>
  </si>
  <si>
    <t>BRICKWORK</t>
  </si>
  <si>
    <t>25.04</t>
  </si>
  <si>
    <t>Providing and applying 12.5mm  thick cement plaster (cement : sand = 1:2) including mortar mixing, scaffolding, curing etc. complete as per specification lead 30 m (manual mixing)</t>
  </si>
  <si>
    <t>Cement  (0.6)</t>
  </si>
  <si>
    <t xml:space="preserve">Sand </t>
  </si>
  <si>
    <t>Providing and applying 12.5mm  thick cement plaster (cement : sand = 1:3) including mortar mixing, scaffolding, curing etc. complete as per specification lead 30 m (manual mixing)</t>
  </si>
  <si>
    <t>Providing and applying 12.5mm  thick cement plaster (cement : sand = 1:4) including mortar mixing, scaffolding, curing etc. complete as per specification lead 30 m (manual mixing)</t>
  </si>
  <si>
    <t>Providing and applying 12.5mm  thick cement plaster (cement : sand = 1:6) including mortar mixing, scaffolding, curing etc. complete as per specification lead 30 m (manual mixing)</t>
  </si>
  <si>
    <t>25.06</t>
  </si>
  <si>
    <t>Providing and applying 20mm  thick cement plaster (cement : sand = 1:6) including mortar mixing, scaffolding, curing etc. complete as per specification lead 30 m (manual mixing)</t>
  </si>
  <si>
    <t>Providing and applying 20mm  thick cement plaster (cement : sand = 1:2) including mortar mixing, scaffolding, curing etc. complete as per specification lead 30 m (manual mixing)</t>
  </si>
  <si>
    <t>Providing and applying 20mm  thick cement plaster (cement : sand = 1:3) including mortar mixing, scaffolding, curing etc. complete as per specification lead 30 m (manual mixing)</t>
  </si>
  <si>
    <t>Providing and applying 20mm  thick cement plaster (cement : sand = 1:4) including mortar mixing, scaffolding, curing etc. complete as per specification lead 30 m (manual mixing)</t>
  </si>
  <si>
    <t>H</t>
  </si>
  <si>
    <t>PLASTER</t>
  </si>
  <si>
    <t>26.01</t>
  </si>
  <si>
    <t xml:space="preserve"> Providing and laying dry stone masonry (coursed rubble) including dressing etc. complete as per specification, lead 30m.</t>
  </si>
  <si>
    <t xml:space="preserve">Block Stone </t>
  </si>
  <si>
    <t>Bond Stone</t>
  </si>
  <si>
    <t>26.04</t>
  </si>
  <si>
    <t>Providing and laying Random rubble masonry in cement mortar (cement : sand = 1:3) including scaffolding, curing, preparation of  mortar etc. complete, masoned height 0-5m,  lead 30m (manual mixing) mortar 35%</t>
  </si>
  <si>
    <t>Block Stone</t>
  </si>
  <si>
    <t>Providing and laying Random rubble masonry in cement mortar (cement : sand = 1:4) including scaffolding, curing, preparation of  mortar etc. complete, masoned height 0-5m,  lead 30m (manual mixing) mortar 35%</t>
  </si>
  <si>
    <t>26.05</t>
  </si>
  <si>
    <t>Providing and laying coursed rubble masonry in cement mortar (cement : sand = 1:3) including dressing, scaffolding, curing and preparation of  mortar etc. complete, masoned height 0-5m,  lead 30m (machine mixing) mortar 30%</t>
  </si>
  <si>
    <t>Providing and laying coursed rubble masonry in cement mortar (cement : sand = 1:4) including dressing, scaffolding, curing and preparation of  mortar etc. complete, masoned height 0-5m,  lead 30m (machine mixing) mortar 30%</t>
  </si>
  <si>
    <t>26.06</t>
  </si>
  <si>
    <t>Providing and laying coursed rubble masonry in cement mortar (cement : sand = 1:3) including dressing, scaffolding, curing and preparation of  mortar etc. complete, masoned height 0-5m,  lead 30m (manual mixing) mortar 30%</t>
  </si>
  <si>
    <t>Providing and laying coursed rubble masonry in cement mortar (cement : sand = 1:4)  including dressing, scaffolding, curing and preparation of  mortar etc. complete, masoned height 0-5m,  lead 30m (manual mixing) mortar 30%</t>
  </si>
  <si>
    <t>Providing, Mixing and Pointing cement mortar (cement : sand = 1:2) over mansory works including scaffolding etc.complete as per specification lead 30m (manual mixing)</t>
  </si>
  <si>
    <t>26.03</t>
  </si>
  <si>
    <t>Providing and laying Random rubble masonry in cement mortar (cement : sand = 1:3) including scaffolding, curing, preparation of  mortar etc. complete, masoned height 0-5m,  lead 30m (Using Concrete mixer) mortar 35%</t>
  </si>
  <si>
    <t>Providing and laying Random rubble masonry in cement mortar (cement : sand = 1:4) including scaffolding, curing, preparation of  mortar etc. complete, masoned height 0-5m,  lead 30m (Using Concrete mixer) mortar 35%</t>
  </si>
  <si>
    <t>I</t>
  </si>
  <si>
    <t>MASONRY WORKS</t>
  </si>
  <si>
    <t>Making gabion boxes (box size 2m x 1m x 1m) including cutting wire &amp; netting etc. Hexagonal mesh size 100 mm x 120 mm, mesh wire-10 SWG, selvedge wire-7 SWG; Gabion construction works including placing in position, tying gabion by tightening wire closing from the top, tying wire-12 SWG; and filling stones in gabion box and including supply of materials all complete</t>
  </si>
  <si>
    <t>24.01.02(b), 24.02.01(b) and 24.02.04</t>
  </si>
  <si>
    <t>10swg mesh wire</t>
  </si>
  <si>
    <t>kg.</t>
  </si>
  <si>
    <t>7swg selvedge wire</t>
  </si>
  <si>
    <t xml:space="preserve">Binding wire </t>
  </si>
  <si>
    <t>Block stones</t>
  </si>
  <si>
    <t>Bond stones</t>
  </si>
  <si>
    <t>24.01.02(a), 24.02.01(a) and 24.02.04</t>
  </si>
  <si>
    <t>Making gabion boxes (box size 3m x 1m x 1m) including cutting wire &amp; netting etc. Hexagonal mesh size 100 mm x 120 mm, mesh wire-10 SWG, selvedge wire-7 SWG; Gabion construction works including placing in position, tying gabion by tightening wire closing from the top, tying wire-12 SWG; and filling stones in gabion box, including supply of materials all complete</t>
  </si>
  <si>
    <t>24.01.02(i), 24.02.01(i) and 24.02.04</t>
  </si>
  <si>
    <t>Making gabion boxes (box size 2m x 1m x 0.5m) including cutting wire &amp; netting etc. Hexagonal mesh size 100 mm x 120 mm, mesh wire-10 SWG, selvedge wire-7 SWG; Gabion construction works including placing in position, tying gabion by tightening wire closing from the top, tying wire-12 SWG; and filling stones in gabion box, including supply of materials all complete</t>
  </si>
  <si>
    <t>24.01.02(h), 24.02.01(h) and 24.02.04</t>
  </si>
  <si>
    <t>Making gabion boxes (box size 3m x 1m x 0.5m) including cutting wire &amp; netting etc. Hexagonal mesh size 100 mm x 120 mm, mesh wire-10 SWG, selvedge wire-7 SWG; Gabion construction works including placing in position, tying gabion by tightening wire closing from the top, tying wire-12 SWG; and filling stones in gabion box, including supply of materials all complete</t>
  </si>
  <si>
    <t>Making gabion boxes (box size 3m x 1m x 0.3m) including cutting wire &amp; netting etc. Hexagonal mesh size 100 mm x 120 mm, mesh wire-10 SWG, selvedge wire-7 SWG; Gabion construction works including placing in position, tying gabion by tightening wire closing from the top, tying wire-12 SWG; and filling stones in gabion box, including supply of materials all complete</t>
  </si>
  <si>
    <t>24.01.02(k), 24.02.01(k) and 24.02.04</t>
  </si>
  <si>
    <t>J</t>
  </si>
  <si>
    <t>GABION WORKS</t>
  </si>
  <si>
    <t>Providing and performing cement grouting</t>
  </si>
  <si>
    <t>Mechanical mixer</t>
  </si>
  <si>
    <t>Grout injecting pump</t>
  </si>
  <si>
    <t>(300 lit/hr or 210 kg/hr)</t>
  </si>
  <si>
    <t>K</t>
  </si>
  <si>
    <t>GROUTING</t>
  </si>
  <si>
    <t>24.03.01</t>
  </si>
  <si>
    <t>24.03.02</t>
  </si>
  <si>
    <t>Providing &amp; laying Dry-stone pitching in protection work, lead 30m, lift 1.5m with stone size not less than 0.01cum including levelling all complete</t>
  </si>
  <si>
    <t>Providing &amp; laying boulder packing in protection work, lead 30m, lift 1.5m with stone weight not less than 40 kg including levelling all complete</t>
  </si>
  <si>
    <t>24.12.a</t>
  </si>
  <si>
    <t>Laying of dry stone rip rap for scour protection and river training works with stone weighing not less than 75 kg and packed with stones 20-40kg, lead 30m using mechanical means</t>
  </si>
  <si>
    <t>Boulders</t>
  </si>
  <si>
    <t>Hydraulic jack</t>
  </si>
  <si>
    <t>Power winch</t>
  </si>
  <si>
    <t>24.12.b</t>
  </si>
  <si>
    <t>Laying of dry stone rip rap for scour protection and river training works with stone weighing not less than 75 kg and packed with stones 20-40kg, lead 30m manually</t>
  </si>
  <si>
    <t>24.13</t>
  </si>
  <si>
    <t>Laying of Rip-rap protection work with boulders weighing 2000 kg minimum and packed with stones 20-40 kg, lead 30m, using crane.</t>
  </si>
  <si>
    <t>Crane (15Ton)</t>
  </si>
  <si>
    <t>L</t>
  </si>
  <si>
    <t>24.09</t>
  </si>
  <si>
    <t>Providing, laying and fixing of Geo-textile (filter fabrics), lead 30m</t>
  </si>
  <si>
    <t>M</t>
  </si>
  <si>
    <t>GEOTEXTILE</t>
  </si>
  <si>
    <t>EQUIPMENTS</t>
  </si>
  <si>
    <t>Equipment</t>
  </si>
  <si>
    <t>Air Compressor</t>
  </si>
  <si>
    <t>Concrete Mixer</t>
  </si>
  <si>
    <t>Concrete Vibrator</t>
  </si>
  <si>
    <t>Hand Drill</t>
  </si>
  <si>
    <t>Rock Driller (Pneumatic)</t>
  </si>
  <si>
    <t>Roller Steel tyred</t>
  </si>
  <si>
    <t>Truck</t>
  </si>
  <si>
    <t>Loader</t>
  </si>
  <si>
    <t>Wheel Loader</t>
  </si>
  <si>
    <t>Tractor with Trolley</t>
  </si>
  <si>
    <t>Crane</t>
  </si>
  <si>
    <t>Rammer</t>
  </si>
  <si>
    <t>Water Pump (6" dia)</t>
  </si>
  <si>
    <t>Water bowser</t>
  </si>
  <si>
    <t>Generator (upto 30 KVA)</t>
  </si>
  <si>
    <t>Generator (above 30 KVA)</t>
  </si>
  <si>
    <t>Backhoe Loader</t>
  </si>
  <si>
    <t>Roller Vibra Self-propelled (upto 6 ton)</t>
  </si>
  <si>
    <t>Mini Truck</t>
  </si>
  <si>
    <t>Drill rod</t>
  </si>
  <si>
    <t>Pusher Leg</t>
  </si>
  <si>
    <t>Compressor</t>
  </si>
  <si>
    <t>Aggregate</t>
  </si>
  <si>
    <t>Fan (Axial)</t>
  </si>
  <si>
    <t>PAVED</t>
  </si>
  <si>
    <t>GRAVEL</t>
  </si>
  <si>
    <t>EARTHEN</t>
  </si>
  <si>
    <t>DISTANCE (KM)</t>
  </si>
  <si>
    <t>Gabion - Mesh Wire (10 SWG)</t>
  </si>
  <si>
    <t>Gabion - Selvedge Wire (9 SWG)</t>
  </si>
  <si>
    <t>Gabion - Tying Wire (12 SWG)</t>
  </si>
  <si>
    <t>km</t>
  </si>
  <si>
    <t>Grout Pump</t>
  </si>
  <si>
    <t>Hydraulic Jack</t>
  </si>
  <si>
    <t>Power Winch</t>
  </si>
  <si>
    <t>Damite</t>
  </si>
  <si>
    <t>Excavator + Breaker</t>
  </si>
  <si>
    <t>Excavator (Track)</t>
  </si>
  <si>
    <t>Shotcrete M/C Boomtruck</t>
  </si>
  <si>
    <t>Silica Fumes</t>
  </si>
  <si>
    <t>NOT PROVIDED</t>
  </si>
  <si>
    <t>CGI Sheet roofing works with supply of materials complete</t>
  </si>
  <si>
    <t xml:space="preserve">CGI Sheet </t>
  </si>
  <si>
    <t>Bitumen washers</t>
  </si>
  <si>
    <t>m²</t>
  </si>
  <si>
    <t>Fixing and supply of steel tubular truss</t>
  </si>
  <si>
    <t>Metal black pipe</t>
  </si>
  <si>
    <t>Kg</t>
  </si>
  <si>
    <t>nut bolts</t>
  </si>
  <si>
    <t>Primer Paints</t>
  </si>
  <si>
    <t>Metal Pipe</t>
  </si>
  <si>
    <t>Primer</t>
  </si>
  <si>
    <t>Fixing and supply of steel tubular pipe for purlins</t>
  </si>
  <si>
    <t>Two coats of white washing</t>
  </si>
  <si>
    <t>Gum</t>
  </si>
  <si>
    <t>First and second coat of cement paint on plasterd surface</t>
  </si>
  <si>
    <t>Snowcem</t>
  </si>
  <si>
    <t>Two coats of enamel painting on one coat lining</t>
  </si>
  <si>
    <t>White Cement</t>
  </si>
  <si>
    <t>As used in BBDP</t>
  </si>
  <si>
    <t>Making salwood frame and fixing of door size 900 x 2100 mm (75mmX100mm)</t>
  </si>
  <si>
    <t>Sal wood</t>
  </si>
  <si>
    <t>250 mm Hold fast</t>
  </si>
  <si>
    <t>Screw and nails</t>
  </si>
  <si>
    <t>Making Shutter in 38 mm thick salwood frame (shutter size 1.07m x 1.982 m)</t>
  </si>
  <si>
    <t>100 mm Hinges</t>
  </si>
  <si>
    <t>150 mm bolts 250 mm long</t>
  </si>
  <si>
    <t>150 mm bolts 300 mm long</t>
  </si>
  <si>
    <t>Locking set</t>
  </si>
  <si>
    <t>Handles</t>
  </si>
  <si>
    <t>Screws, LS</t>
  </si>
  <si>
    <t>Making and fitting 3mm glazed shutter in 38 x 75 mm salwood frame</t>
  </si>
  <si>
    <t>3 mm glass</t>
  </si>
  <si>
    <t>75 mm Hinges</t>
  </si>
  <si>
    <t>100 mm bolts 300 mm long</t>
  </si>
  <si>
    <t>Making and fitting 24 gauge mosquito proof wire mesh shutter in 38mm thick salwood frame with shutter size 1.07 x 1.982 m</t>
  </si>
  <si>
    <t>GI wire mesh</t>
  </si>
  <si>
    <t>N</t>
  </si>
  <si>
    <t>ROOFING</t>
  </si>
  <si>
    <t>O</t>
  </si>
  <si>
    <t>PAINTING</t>
  </si>
  <si>
    <t>DOORS &amp; WINDOWS</t>
  </si>
  <si>
    <t>P</t>
  </si>
  <si>
    <t>Dollar Component</t>
  </si>
  <si>
    <t>Supervisor</t>
  </si>
  <si>
    <t>Drilling Helper</t>
  </si>
  <si>
    <t>Mechanics</t>
  </si>
  <si>
    <t>Welder</t>
  </si>
  <si>
    <t>Mobil</t>
  </si>
  <si>
    <t>Hydraulic oil</t>
  </si>
  <si>
    <t>Lubricant</t>
  </si>
  <si>
    <t>Ventilation Duct</t>
  </si>
  <si>
    <t>Bearing Plate</t>
  </si>
  <si>
    <t>Cement capsule</t>
  </si>
  <si>
    <t>Accelerator</t>
  </si>
  <si>
    <t>Anchor pin</t>
  </si>
  <si>
    <t>Structural Steel Ribs</t>
  </si>
  <si>
    <t>Welding rod</t>
  </si>
  <si>
    <t>pkt</t>
  </si>
  <si>
    <t xml:space="preserve">Drill bits (32 mm ) </t>
  </si>
  <si>
    <t>Packers</t>
  </si>
  <si>
    <t>Submersible pump</t>
  </si>
  <si>
    <t>Flexible hose Pipe</t>
  </si>
  <si>
    <t>Survey equipments</t>
  </si>
  <si>
    <r>
      <t>Rock bolts (</t>
    </r>
    <r>
      <rPr>
        <sz val="10"/>
        <color indexed="8"/>
        <rFont val="Calibri"/>
        <family val="2"/>
      </rPr>
      <t>Φ</t>
    </r>
    <r>
      <rPr>
        <sz val="10"/>
        <color indexed="8"/>
        <rFont val="Gill Sans MT"/>
        <family val="2"/>
      </rPr>
      <t>25 mm)</t>
    </r>
  </si>
  <si>
    <r>
      <t>Rock bolts (</t>
    </r>
    <r>
      <rPr>
        <sz val="10"/>
        <color indexed="8"/>
        <rFont val="Calibri"/>
        <family val="2"/>
      </rPr>
      <t>Φ</t>
    </r>
    <r>
      <rPr>
        <sz val="10"/>
        <color indexed="8"/>
        <rFont val="Gill Sans MT"/>
        <family val="2"/>
      </rPr>
      <t>20 mm)</t>
    </r>
  </si>
  <si>
    <t>Wiremesh</t>
  </si>
  <si>
    <t>8.04.03 (13)</t>
  </si>
  <si>
    <t>Tunnel Excavation in Good Rock</t>
  </si>
  <si>
    <t>Compressor Operator</t>
  </si>
  <si>
    <t>Helpers</t>
  </si>
  <si>
    <t>Helpers (Survey)</t>
  </si>
  <si>
    <t>Loader Operator</t>
  </si>
  <si>
    <t>Tipper driver</t>
  </si>
  <si>
    <t>Tipper Helper</t>
  </si>
  <si>
    <t>Unskilled labour</t>
  </si>
  <si>
    <t>Explosives</t>
  </si>
  <si>
    <t>Drill bits</t>
  </si>
  <si>
    <t>Blasting wire</t>
  </si>
  <si>
    <t>Air compressor, 650 CFM</t>
  </si>
  <si>
    <t>Hand Pneumatic Drill</t>
  </si>
  <si>
    <t xml:space="preserve">Axial flow Exhaust Fan </t>
  </si>
  <si>
    <t>Tunnel Excavation in Poor to Very Poor Rock</t>
  </si>
  <si>
    <t>Electric air compressor</t>
  </si>
  <si>
    <t>Open cut excavation in river bed material (Manual excavation)</t>
  </si>
  <si>
    <t>Open cut excavation in river bed material (Backhoe excavation)</t>
  </si>
  <si>
    <t>Skilled labour</t>
  </si>
  <si>
    <t>Backhoe operater</t>
  </si>
  <si>
    <t>Backhoe</t>
  </si>
  <si>
    <t>Open cut excavation in rock</t>
  </si>
  <si>
    <t>Compressor Operater</t>
  </si>
  <si>
    <r>
      <t>Rock bolts (</t>
    </r>
    <r>
      <rPr>
        <sz val="10"/>
        <color indexed="8"/>
        <rFont val="Calibri"/>
        <family val="2"/>
      </rPr>
      <t>Φ</t>
    </r>
    <r>
      <rPr>
        <sz val="10"/>
        <color indexed="8"/>
        <rFont val="Gill Sans MT"/>
        <family val="2"/>
      </rPr>
      <t>25 mm) - Expansion Type</t>
    </r>
  </si>
  <si>
    <r>
      <t>Rock bolts (</t>
    </r>
    <r>
      <rPr>
        <sz val="10"/>
        <color indexed="8"/>
        <rFont val="Calibri"/>
        <family val="2"/>
      </rPr>
      <t>Φ</t>
    </r>
    <r>
      <rPr>
        <sz val="10"/>
        <color indexed="8"/>
        <rFont val="Gill Sans MT"/>
        <family val="2"/>
      </rPr>
      <t>20 mm) - Expansion Type</t>
    </r>
  </si>
  <si>
    <t>Shotcrete (Plain)</t>
  </si>
  <si>
    <t>Mixer Operator</t>
  </si>
  <si>
    <t>Nozzleman</t>
  </si>
  <si>
    <t>Shotcrete Machine Operator</t>
  </si>
  <si>
    <t>Helper of tipper</t>
  </si>
  <si>
    <t>Portland Cement</t>
  </si>
  <si>
    <t>Aggregate (10mm and down grade)</t>
  </si>
  <si>
    <t xml:space="preserve">Shotcrete Machine </t>
  </si>
  <si>
    <t>Axial Flow Exhaust Fan</t>
  </si>
  <si>
    <t>Shotcrete (Steel fibre reinforced)</t>
  </si>
  <si>
    <t>Steel Fibre</t>
  </si>
  <si>
    <t>Wiremesh for shotcrete</t>
  </si>
  <si>
    <t>Wiremesh ( 20 % overlap )</t>
  </si>
  <si>
    <t>Structural Steel Support</t>
  </si>
  <si>
    <t xml:space="preserve">Supervisor </t>
  </si>
  <si>
    <t>Loader  Helper</t>
  </si>
  <si>
    <t>Welding gas</t>
  </si>
  <si>
    <t>pack</t>
  </si>
  <si>
    <t>Welding generator</t>
  </si>
  <si>
    <t>Welding Machine</t>
  </si>
  <si>
    <t>Consolidation grouting</t>
  </si>
  <si>
    <t>Gravel surfacing (Gravel bedding)</t>
  </si>
  <si>
    <t>Stone soling</t>
  </si>
  <si>
    <t>Stone filling</t>
  </si>
  <si>
    <t>Waterstop</t>
  </si>
  <si>
    <t>Q</t>
  </si>
  <si>
    <t>%
NRs</t>
  </si>
  <si>
    <t>%
US$</t>
  </si>
  <si>
    <t>NRs
Component
Rate</t>
  </si>
  <si>
    <t>US$
Component
Rate</t>
  </si>
  <si>
    <t>Raise climber</t>
  </si>
  <si>
    <t>R</t>
  </si>
  <si>
    <t>MISCELLANEOUS</t>
  </si>
  <si>
    <t>PVC Sheet</t>
  </si>
  <si>
    <t>Hydro cell</t>
  </si>
  <si>
    <t>Sealants</t>
  </si>
  <si>
    <t>Steel Railings</t>
  </si>
  <si>
    <t>Perforated Pipe</t>
  </si>
  <si>
    <r>
      <t xml:space="preserve">Mild Steel Pipe ( </t>
    </r>
    <r>
      <rPr>
        <sz val="9"/>
        <color indexed="8"/>
        <rFont val="Calibri"/>
        <family val="2"/>
      </rPr>
      <t xml:space="preserve">φ </t>
    </r>
    <r>
      <rPr>
        <sz val="9"/>
        <color indexed="8"/>
        <rFont val="Gill Sans MT"/>
        <family val="2"/>
      </rPr>
      <t>0.40m &amp; thickness 1cm)</t>
    </r>
  </si>
  <si>
    <t>Concrete mixer operator</t>
  </si>
  <si>
    <t>Aggregate (20mm and down grade)</t>
  </si>
  <si>
    <t>Boulder stone</t>
  </si>
  <si>
    <t>Concreter vibrator</t>
  </si>
  <si>
    <t>Agitator</t>
  </si>
  <si>
    <t>11-1-d (Based on Norms of Bhawan Bibhag)</t>
  </si>
  <si>
    <t>Screeding</t>
  </si>
  <si>
    <t>Punning</t>
  </si>
  <si>
    <t>S</t>
  </si>
  <si>
    <t>2.01.a</t>
  </si>
  <si>
    <t>2.01.b</t>
  </si>
  <si>
    <t xml:space="preserve">Providing and fixing, sheeting, shorting, struting, shoring, bracing, stuffing and making coffer dam during foundation excavation and foundation works and removing  after complete </t>
  </si>
  <si>
    <t>26.07</t>
  </si>
  <si>
    <t>20.03.a.ii</t>
  </si>
  <si>
    <t>20.03.b.ii</t>
  </si>
  <si>
    <t>As per GNM</t>
  </si>
  <si>
    <t>Super Plasticiser</t>
  </si>
  <si>
    <t>Shotcrete (Plain) - For Drop Shaft</t>
  </si>
  <si>
    <t>Shotcrete (Steel fibre reinforced) - For Drop Shaft</t>
  </si>
  <si>
    <t>Raiser Climber</t>
  </si>
  <si>
    <t>Water Seperator</t>
  </si>
  <si>
    <t>Lubricator + Accessories</t>
  </si>
  <si>
    <t>Platform with Loader</t>
  </si>
  <si>
    <t>Drill &amp; work Platform</t>
  </si>
  <si>
    <r>
      <t xml:space="preserve">GI Pipe </t>
    </r>
    <r>
      <rPr>
        <sz val="9"/>
        <rFont val="Calibri"/>
        <family val="2"/>
      </rPr>
      <t>φ 50mm (For grouting)</t>
    </r>
  </si>
  <si>
    <t>Welding Transformer</t>
  </si>
  <si>
    <r>
      <t xml:space="preserve">GI Pipe </t>
    </r>
    <r>
      <rPr>
        <sz val="9"/>
        <rFont val="Calibri"/>
        <family val="2"/>
      </rPr>
      <t>φ</t>
    </r>
    <r>
      <rPr>
        <sz val="9"/>
        <rFont val="Gill Sans MT"/>
        <family val="2"/>
      </rPr>
      <t xml:space="preserve"> 50mm</t>
    </r>
  </si>
  <si>
    <t>30mm GI Nipple</t>
  </si>
  <si>
    <t>Grout Cap</t>
  </si>
  <si>
    <t>Shotcreter</t>
  </si>
  <si>
    <t>Vent Fan</t>
  </si>
  <si>
    <t>Pipe fittings, Lines etc</t>
  </si>
  <si>
    <t>Wheel Loader for Rig</t>
  </si>
  <si>
    <t>Wheel Loader for Platform</t>
  </si>
  <si>
    <t>20.03.a.i</t>
  </si>
  <si>
    <t>20.03.b.i</t>
  </si>
  <si>
    <t>Providing and placing machine mixed cement concrete C20 for the foundation and footing etc. including compaction, curing, testing and  lead  30m. etc. all complete as per specification and drawing.</t>
  </si>
  <si>
    <t>Providing and placing manually mixed cement concrete C20 for the foundation and footing etc. including compaction, curing, testing and  lead  30m. etc. all complete as per specification and drawing.</t>
  </si>
  <si>
    <t>20.01.a.iv</t>
  </si>
  <si>
    <t>20.01.b.iv</t>
  </si>
  <si>
    <t>Gen</t>
  </si>
  <si>
    <t>Agg</t>
  </si>
  <si>
    <t>Sub</t>
  </si>
  <si>
    <t>House</t>
  </si>
  <si>
    <t>Tunnel</t>
  </si>
  <si>
    <t>Transport</t>
  </si>
  <si>
    <t>Fuel</t>
  </si>
  <si>
    <t>LOCAL</t>
  </si>
  <si>
    <t>GENERAL</t>
  </si>
  <si>
    <t>FUEL</t>
  </si>
  <si>
    <t>SUBSURFACE</t>
  </si>
  <si>
    <t>Conversion Factor</t>
  </si>
  <si>
    <r>
      <t>Rock bolts (</t>
    </r>
    <r>
      <rPr>
        <sz val="10"/>
        <color indexed="8"/>
        <rFont val="Calibri"/>
        <family val="2"/>
      </rPr>
      <t>Φ</t>
    </r>
    <r>
      <rPr>
        <sz val="10"/>
        <color indexed="8"/>
        <rFont val="Gill Sans MT"/>
        <family val="2"/>
      </rPr>
      <t>32 mm)</t>
    </r>
  </si>
  <si>
    <r>
      <t>Rock bolts (</t>
    </r>
    <r>
      <rPr>
        <sz val="10"/>
        <color indexed="8"/>
        <rFont val="Calibri"/>
        <family val="2"/>
      </rPr>
      <t>Φ</t>
    </r>
    <r>
      <rPr>
        <sz val="10"/>
        <color indexed="8"/>
        <rFont val="Gill Sans MT"/>
        <family val="2"/>
      </rPr>
      <t>32 mm) - Expansion Type</t>
    </r>
  </si>
  <si>
    <t>From</t>
  </si>
  <si>
    <t>To</t>
  </si>
  <si>
    <t>SITE</t>
  </si>
  <si>
    <t>Distance to Site</t>
  </si>
  <si>
    <t>Distance</t>
  </si>
  <si>
    <t>Structural Steel</t>
  </si>
  <si>
    <r>
      <t>Providing , Preparing and Installing form work including necessary supports and removing after completion for walls [Vertical plain surface].(Scrap value neglected)
(</t>
    </r>
    <r>
      <rPr>
        <i/>
        <sz val="9"/>
        <rFont val="Gill Sans MT"/>
        <family val="2"/>
      </rPr>
      <t>Height upto 3m)</t>
    </r>
  </si>
  <si>
    <r>
      <t>Providing , Preparing and Installing form work including necessary supports and removing after completion for walls [Vertical plain surface].(Scrap value neglected)
(</t>
    </r>
    <r>
      <rPr>
        <i/>
        <sz val="9"/>
        <rFont val="Gill Sans MT"/>
        <family val="2"/>
      </rPr>
      <t>Height more than 3m upto 6m)</t>
    </r>
  </si>
  <si>
    <r>
      <t>Providing , Preparing and Installing form work including necessary supports and removing after completion for walls [Vertical plain surface].(Scrap value neglected)
(</t>
    </r>
    <r>
      <rPr>
        <i/>
        <sz val="9"/>
        <rFont val="Gill Sans MT"/>
        <family val="2"/>
      </rPr>
      <t>Height more than 6m upto 9m)</t>
    </r>
  </si>
  <si>
    <r>
      <t>Providing , Preparing and Installing form work including necessary supports and removing after completion for walls [Vertical plain surface].(Scrap value neglected)
(</t>
    </r>
    <r>
      <rPr>
        <i/>
        <sz val="9"/>
        <rFont val="Gill Sans MT"/>
        <family val="2"/>
      </rPr>
      <t>Height more than 9m)</t>
    </r>
  </si>
  <si>
    <t>18.02.02.a.i</t>
  </si>
  <si>
    <t>18.02.02.a.ii</t>
  </si>
  <si>
    <t>18.02.02.a.iii</t>
  </si>
  <si>
    <t>18.02.02.a.iv</t>
  </si>
  <si>
    <r>
      <t>Providing , Preparing and Installing form work including necessary supports and removing after completion for walls [Vertical curved surface].(Scrap value neglected)
(</t>
    </r>
    <r>
      <rPr>
        <i/>
        <sz val="9"/>
        <rFont val="Gill Sans MT"/>
        <family val="2"/>
      </rPr>
      <t>Height upto 3m)</t>
    </r>
  </si>
  <si>
    <r>
      <t>Providing , Preparing and Installing form work including necessary supports and removing after completion for walls [Vertical curved surface].(Scrap value neglected)
(</t>
    </r>
    <r>
      <rPr>
        <i/>
        <sz val="9"/>
        <rFont val="Gill Sans MT"/>
        <family val="2"/>
      </rPr>
      <t>Height more than 3m upto 6m)</t>
    </r>
  </si>
  <si>
    <r>
      <t>Providing , Preparing and Installing form work including necessary supports and removing after completion for walls [Vertical curved surface].(Scrap value neglected)
(</t>
    </r>
    <r>
      <rPr>
        <i/>
        <sz val="9"/>
        <rFont val="Gill Sans MT"/>
        <family val="2"/>
      </rPr>
      <t>Height more than 6m upto 9m)</t>
    </r>
  </si>
  <si>
    <r>
      <t>Providing , Preparing and Installing form work including necessary supports and removing after completion for walls [Vertical curved surface].(Scrap value neglected)
(</t>
    </r>
    <r>
      <rPr>
        <i/>
        <sz val="9"/>
        <rFont val="Gill Sans MT"/>
        <family val="2"/>
      </rPr>
      <t>Height more than 9m)</t>
    </r>
  </si>
  <si>
    <t>18.03.01.a.i</t>
  </si>
  <si>
    <t>18.03.01.a.ii</t>
  </si>
  <si>
    <t>18.03.01.a.iii</t>
  </si>
  <si>
    <t>18.03.01.a.iv</t>
  </si>
  <si>
    <t>18.03.02.a.i</t>
  </si>
  <si>
    <r>
      <t>Providing , Preparing and Installing form work including necessary supports and removing after completion for columns [Circular surface].(Scrap value neglected)
(</t>
    </r>
    <r>
      <rPr>
        <i/>
        <sz val="9"/>
        <rFont val="Gill Sans MT"/>
        <family val="2"/>
      </rPr>
      <t>Height upto 3m)</t>
    </r>
  </si>
  <si>
    <t>18.03.02.a.ii</t>
  </si>
  <si>
    <r>
      <t>Providing , Preparing and Installing form work including necessary supports and removing after completion for columns [Circular surface].(Scrap value neglected)
(</t>
    </r>
    <r>
      <rPr>
        <i/>
        <sz val="9"/>
        <rFont val="Gill Sans MT"/>
        <family val="2"/>
      </rPr>
      <t>Height more than 3m upto 6m)</t>
    </r>
  </si>
  <si>
    <t>18.03.02.a.iii</t>
  </si>
  <si>
    <r>
      <t>Providing , Preparing and Installing form work including necessary supports and removing after completion for columns [Circular surface].(Scrap value neglected)
(</t>
    </r>
    <r>
      <rPr>
        <i/>
        <sz val="9"/>
        <rFont val="Gill Sans MT"/>
        <family val="2"/>
      </rPr>
      <t>Height more than 6m upto 9m)</t>
    </r>
  </si>
  <si>
    <t>18.03.02.a.iv</t>
  </si>
  <si>
    <r>
      <t>Providing , Preparing and Installing form work including necessary supports and removing after completion for columns [Circular surface].(Scrap value neglected)
(</t>
    </r>
    <r>
      <rPr>
        <i/>
        <sz val="9"/>
        <rFont val="Gill Sans MT"/>
        <family val="2"/>
      </rPr>
      <t>Height more than 9m)</t>
    </r>
  </si>
  <si>
    <r>
      <t>Providing , Preparing and Installing form work including necessary supports and removing after completion for columns [Square/ recatangular surface].(Scrap value neglected)
(</t>
    </r>
    <r>
      <rPr>
        <i/>
        <sz val="9"/>
        <rFont val="Gill Sans MT"/>
        <family val="2"/>
      </rPr>
      <t>Height more than 3m upto 6m)</t>
    </r>
  </si>
  <si>
    <r>
      <t>Providing , Preparing and Installing form work including necessary supports and removing after completion for columns [Square/ recatangular  surface].(Scrap value neglected)
(</t>
    </r>
    <r>
      <rPr>
        <i/>
        <sz val="9"/>
        <rFont val="Gill Sans MT"/>
        <family val="2"/>
      </rPr>
      <t>Height more than 6m upto 9m)</t>
    </r>
  </si>
  <si>
    <r>
      <t>Providing , Preparing and Installing form work including necessary supports and removing after completion for columns [Square/ recatangular  surface].(Scrap value neglected)
(</t>
    </r>
    <r>
      <rPr>
        <i/>
        <sz val="9"/>
        <rFont val="Gill Sans MT"/>
        <family val="2"/>
      </rPr>
      <t>Height more than 9m)</t>
    </r>
  </si>
  <si>
    <r>
      <t>Providing , Preparing and Installing form work including necessary supports and removing after completion for columns [Square/ recatangular surface].(Scrap value neglected)
(</t>
    </r>
    <r>
      <rPr>
        <i/>
        <sz val="9"/>
        <rFont val="Gill Sans MT"/>
        <family val="2"/>
      </rPr>
      <t>Height upto 3m)</t>
    </r>
  </si>
  <si>
    <t>Providing and placing machine mixed cement concrete C35 for the abutement, pier, wall etc. including compaction, curing, testing and  lead  30m. etc. all complete as per specification and drawing.</t>
  </si>
  <si>
    <t>Providing and placing manually mixed cement concrete C35 for the abutement, pier, wall etc. including compaction, curing, testing and  lead  30m. etc. all complete as per specification and drawing.</t>
  </si>
  <si>
    <t>Providing and placing machine mixed cement concrete C35 for the super structure, deckslab, girder etc.  including compaction, curing,  testing and lead 30m. etc. all complete as per specification and drawing.</t>
  </si>
  <si>
    <t>Providing and placing manually mixed cement concrete C35 for the super structure, deckslab, girder etc.  including compaction, curing,  testing and lead 30m. etc. all complete as per specification and drawing.</t>
  </si>
  <si>
    <t>Providing and placing manually mixed cement concrete C25 for the super structure, deckslab, girder etc.  including compaction, curing,  testing and lead 30m. etc. all complete as per specification and drawing.</t>
  </si>
  <si>
    <t>Providing and placing machine mixed cement concrete C25 for the super structure, deckslab, girder etc.  including compaction, curing,  testing and lead 30m. etc. all complete as per specification and drawing.</t>
  </si>
  <si>
    <t>Providing and placing manual mixed cement concrete C20 for the super structure, deckslab, girder etc.  including compaction, curing,  testing and lead 30m. etc. all complete as per specification and drawing.</t>
  </si>
  <si>
    <t>Providing and placing machine mixed cement concrete C20 for the super structure, deckslab, girder etc.  including compaction, curing,  testing and lead 30m. etc. all complete as per specification and drawing.</t>
  </si>
  <si>
    <t>Raise Climber Operator</t>
  </si>
  <si>
    <r>
      <t>Rockbolts (20</t>
    </r>
    <r>
      <rPr>
        <sz val="9"/>
        <rFont val="Calibri"/>
        <family val="2"/>
      </rPr>
      <t>Φ</t>
    </r>
    <r>
      <rPr>
        <sz val="9"/>
        <rFont val="Gill Sans MT"/>
        <family val="2"/>
      </rPr>
      <t>)   Length = 1.0m</t>
    </r>
  </si>
  <si>
    <t>[Additional 20% of labour cost as incentive for UG works]</t>
  </si>
  <si>
    <t>Add 15% for rebound loss including 20% incentive for UG works</t>
  </si>
  <si>
    <t>Drilling platform</t>
  </si>
  <si>
    <t>Hexagonal anchor coupling</t>
  </si>
  <si>
    <t>Anchor plate with hexagonal nut</t>
  </si>
  <si>
    <t>Admixture</t>
  </si>
  <si>
    <t>sand</t>
  </si>
  <si>
    <r>
      <t>Rock bolt 20</t>
    </r>
    <r>
      <rPr>
        <sz val="9"/>
        <rFont val="Calibri"/>
        <family val="2"/>
      </rPr>
      <t>Φ</t>
    </r>
  </si>
  <si>
    <t>Air compressor</t>
  </si>
  <si>
    <t>Jack hammer</t>
  </si>
  <si>
    <t>casing pipe and accessories</t>
  </si>
  <si>
    <t>Spare parts</t>
  </si>
  <si>
    <t>Grout pump</t>
  </si>
  <si>
    <t>Fan</t>
  </si>
  <si>
    <t>Tunnel light</t>
  </si>
  <si>
    <r>
      <t>Rockbolts (20</t>
    </r>
    <r>
      <rPr>
        <sz val="9"/>
        <rFont val="Calibri"/>
        <family val="2"/>
      </rPr>
      <t>Φ</t>
    </r>
    <r>
      <rPr>
        <sz val="9"/>
        <rFont val="Gill Sans MT"/>
        <family val="2"/>
      </rPr>
      <t>)   Length = 3.0m</t>
    </r>
  </si>
  <si>
    <r>
      <t>Rockbolts (25</t>
    </r>
    <r>
      <rPr>
        <sz val="9"/>
        <rFont val="Calibri"/>
        <family val="2"/>
      </rPr>
      <t>Φ</t>
    </r>
    <r>
      <rPr>
        <sz val="9"/>
        <rFont val="Gill Sans MT"/>
        <family val="2"/>
      </rPr>
      <t>)   Length = 1.0m</t>
    </r>
  </si>
  <si>
    <r>
      <t>Rock bolt 25</t>
    </r>
    <r>
      <rPr>
        <sz val="9"/>
        <rFont val="Calibri"/>
        <family val="2"/>
      </rPr>
      <t>Φ</t>
    </r>
  </si>
  <si>
    <r>
      <t>Rockbolts (25</t>
    </r>
    <r>
      <rPr>
        <sz val="9"/>
        <rFont val="Calibri"/>
        <family val="2"/>
      </rPr>
      <t>Φ</t>
    </r>
    <r>
      <rPr>
        <sz val="9"/>
        <rFont val="Gill Sans MT"/>
        <family val="2"/>
      </rPr>
      <t>)   Length = 1.5m</t>
    </r>
  </si>
  <si>
    <r>
      <t>Rockbolts (25</t>
    </r>
    <r>
      <rPr>
        <sz val="9"/>
        <rFont val="Calibri"/>
        <family val="2"/>
      </rPr>
      <t>Φ</t>
    </r>
    <r>
      <rPr>
        <sz val="9"/>
        <rFont val="Gill Sans MT"/>
        <family val="2"/>
      </rPr>
      <t>)   Length = 2.0m</t>
    </r>
  </si>
  <si>
    <r>
      <t>Rockbolts (25</t>
    </r>
    <r>
      <rPr>
        <sz val="9"/>
        <rFont val="Calibri"/>
        <family val="2"/>
      </rPr>
      <t>Φ</t>
    </r>
    <r>
      <rPr>
        <sz val="9"/>
        <rFont val="Gill Sans MT"/>
        <family val="2"/>
      </rPr>
      <t>)   Length = 2.5m</t>
    </r>
  </si>
  <si>
    <r>
      <t>Rockbolts (25</t>
    </r>
    <r>
      <rPr>
        <sz val="9"/>
        <rFont val="Calibri"/>
        <family val="2"/>
      </rPr>
      <t>Φ</t>
    </r>
    <r>
      <rPr>
        <sz val="9"/>
        <rFont val="Gill Sans MT"/>
        <family val="2"/>
      </rPr>
      <t>)   Length = 3.0m</t>
    </r>
  </si>
  <si>
    <r>
      <t>Rockbolts (25</t>
    </r>
    <r>
      <rPr>
        <sz val="9"/>
        <rFont val="Calibri"/>
        <family val="2"/>
      </rPr>
      <t>Φ</t>
    </r>
    <r>
      <rPr>
        <sz val="9"/>
        <rFont val="Gill Sans MT"/>
        <family val="2"/>
      </rPr>
      <t>)   Length = 4.0m</t>
    </r>
  </si>
  <si>
    <r>
      <t>Rockbolts (25</t>
    </r>
    <r>
      <rPr>
        <sz val="9"/>
        <rFont val="Calibri"/>
        <family val="2"/>
      </rPr>
      <t>Φ</t>
    </r>
    <r>
      <rPr>
        <sz val="9"/>
        <rFont val="Gill Sans MT"/>
        <family val="2"/>
      </rPr>
      <t>)   Length = 5.0m</t>
    </r>
  </si>
  <si>
    <r>
      <t>Rockbolts (25</t>
    </r>
    <r>
      <rPr>
        <sz val="9"/>
        <rFont val="Calibri"/>
        <family val="2"/>
      </rPr>
      <t>Φ</t>
    </r>
    <r>
      <rPr>
        <sz val="9"/>
        <rFont val="Gill Sans MT"/>
        <family val="2"/>
      </rPr>
      <t>)   Length = 6.0m</t>
    </r>
  </si>
  <si>
    <t>Machine Mixed Concrete works (Supply of materials &amp; haulage dist up to 30 m) in tunnel Concrete grade C15</t>
  </si>
  <si>
    <t>mt</t>
  </si>
  <si>
    <t xml:space="preserve">cum </t>
  </si>
  <si>
    <t>Mixer</t>
  </si>
  <si>
    <t>Dump truck</t>
  </si>
  <si>
    <t>Concrete pump</t>
  </si>
  <si>
    <t>Needle vibrator</t>
  </si>
  <si>
    <t>Lub+accessories</t>
  </si>
  <si>
    <t>Water separator</t>
  </si>
  <si>
    <t>Concrete Pump</t>
  </si>
  <si>
    <t>Machine Mixed Concrete works (Supply of materials &amp; haulage dist up to 30 m) in tunnel Concrete grade C20</t>
  </si>
  <si>
    <t>Plasticiser</t>
  </si>
  <si>
    <t>Plasticizers</t>
  </si>
  <si>
    <t>Machine Mixed Concrete works (Supply of materials &amp; haulage dist up to 30 m) in tunnel Concrete grade C25</t>
  </si>
  <si>
    <t>Machine Mixed Concrete works (Supply of materials &amp; haulage dist up to 30 m) in tunnel Concrete grade C35</t>
  </si>
  <si>
    <t>Curtain grouting</t>
  </si>
  <si>
    <t>Assuming curtain grouting = 1.5 x consoldation grouting</t>
  </si>
  <si>
    <t>Contact grouting/ Skin grouting</t>
  </si>
  <si>
    <t>Assuming contact grouting/ skin grouting = 2.0 x consoldation grouting</t>
  </si>
  <si>
    <t>NCEC Rate</t>
  </si>
  <si>
    <t>DoR Rate</t>
  </si>
  <si>
    <t>UNDERGROUND ITEMS</t>
  </si>
  <si>
    <t>ADDITIONALS</t>
  </si>
  <si>
    <t>T</t>
  </si>
  <si>
    <t>Machine Mixed Concrete works (Supply of materials &amp; haulage dist up to 30 m) in tunnel lining Concrete Grade C15</t>
  </si>
  <si>
    <t>Machine Mixed Concrete works (Supply of materials &amp; haulage dist up to 30 m) in tunnel lining Concrete Grade C20</t>
  </si>
  <si>
    <t>Machine Mixed Concrete works (Supply of materials &amp; haulage dist up to 30 m) in tunnel lining Concrete Grade C25</t>
  </si>
  <si>
    <t>Machine Mixed Concrete works (Supply of materials &amp; haulage dist up to 30 m) in tunnel lining Concrete Grade C35</t>
  </si>
  <si>
    <r>
      <t>Rockbolts (32</t>
    </r>
    <r>
      <rPr>
        <sz val="9"/>
        <rFont val="Calibri"/>
        <family val="2"/>
      </rPr>
      <t>Φ</t>
    </r>
    <r>
      <rPr>
        <sz val="9"/>
        <rFont val="Gill Sans MT"/>
        <family val="2"/>
      </rPr>
      <t>)   Length = 1.0m</t>
    </r>
  </si>
  <si>
    <r>
      <t>Rock bolt 32</t>
    </r>
    <r>
      <rPr>
        <sz val="9"/>
        <rFont val="Calibri"/>
        <family val="2"/>
      </rPr>
      <t>Φ</t>
    </r>
  </si>
  <si>
    <t>Rock bolt 32Φ</t>
  </si>
  <si>
    <t>Rockbolts (32Φ)   Length = 1.5m</t>
  </si>
  <si>
    <t>Rockbolts (32Φ)   Length = 2.0m</t>
  </si>
  <si>
    <t>Rockbolts (32Φ)   Length = 2.5m</t>
  </si>
  <si>
    <t>Rockbolts (32Φ)   Length = 3.0m</t>
  </si>
  <si>
    <t>Rockbolts (32Φ)   Length = 4.0m</t>
  </si>
  <si>
    <t>Rockbolts (32Φ)   Length = 5.0m</t>
  </si>
  <si>
    <t>Rockbolts (32Φ)   Length = 6.0m</t>
  </si>
  <si>
    <t>ASSUMPTIONS:</t>
  </si>
  <si>
    <t>Cost of Man Power in NRs. (Local Currency)</t>
  </si>
  <si>
    <t>Cost of Local Materials in NRs. (Local Currency)</t>
  </si>
  <si>
    <t>Cost of Materials excpet Local in US Dollar (Foreign Currency)</t>
  </si>
  <si>
    <t>DoR</t>
  </si>
  <si>
    <t>DoUDBC</t>
  </si>
  <si>
    <t>Kabeli A Hydroelectric Project</t>
  </si>
  <si>
    <t>Lower Manang Marshyangdi Hydropower Project</t>
  </si>
  <si>
    <t>Bheri Babai Diversion Project (Component B)</t>
  </si>
  <si>
    <t>Other Projects &amp; Contractors</t>
  </si>
  <si>
    <t>NORMS :</t>
  </si>
  <si>
    <t>Himal Hydro</t>
  </si>
  <si>
    <t>Jack Hammer</t>
  </si>
  <si>
    <t>Local Construction Materials assumed to be available near the project site</t>
  </si>
  <si>
    <t>items</t>
  </si>
  <si>
    <t>Addopted by NHP</t>
  </si>
  <si>
    <t>Addopted by UTH</t>
  </si>
  <si>
    <t>Height between 9 - 10m</t>
  </si>
  <si>
    <t>Height between 10 - 11m</t>
  </si>
  <si>
    <t>Height between 11 - 12m</t>
  </si>
  <si>
    <t>Height between 12 - 13m</t>
  </si>
  <si>
    <t>Height between 13 - 14m</t>
  </si>
  <si>
    <t>Height between 14 - 15m</t>
  </si>
  <si>
    <t>Height between 15 - 16m</t>
  </si>
  <si>
    <t>Height between 16 - 17m</t>
  </si>
  <si>
    <t>Height between 17 - 18m</t>
  </si>
  <si>
    <t>Height between 18 - 19m</t>
  </si>
  <si>
    <t>Height between 19 - 20m</t>
  </si>
  <si>
    <t>Height between 20 - 21m</t>
  </si>
  <si>
    <t>PROTECTION WORKS</t>
  </si>
  <si>
    <r>
      <t xml:space="preserve">Mild Steel Pipe ( </t>
    </r>
    <r>
      <rPr>
        <sz val="9"/>
        <color indexed="8"/>
        <rFont val="Calibri"/>
        <family val="2"/>
      </rPr>
      <t xml:space="preserve">φ </t>
    </r>
    <r>
      <rPr>
        <sz val="9"/>
        <color indexed="8"/>
        <rFont val="Gill Sans MT"/>
        <family val="2"/>
      </rPr>
      <t>0.30m &amp; thickness 1cm)</t>
    </r>
  </si>
  <si>
    <t>Plum Concrete M20/20 with 30% plum</t>
  </si>
  <si>
    <t>Invert cleaning and additional scaling</t>
  </si>
  <si>
    <t xml:space="preserve">EXCHANGE RATE </t>
  </si>
  <si>
    <t>Distance Reference :-</t>
  </si>
  <si>
    <t xml:space="preserve">Reinforcement </t>
  </si>
  <si>
    <t>Providing and laying dry stone masonry(coursed rubble) including dressing etc. complete as per specification, lead 30m</t>
  </si>
  <si>
    <t>skilled</t>
  </si>
  <si>
    <t>26.01, 2602,2603,2608 ,(a)</t>
  </si>
  <si>
    <t>stone</t>
  </si>
  <si>
    <t>U</t>
  </si>
  <si>
    <t>Dry Stone Soling</t>
  </si>
  <si>
    <t>Up to 1000 m</t>
  </si>
  <si>
    <t>Up to 500 m</t>
  </si>
  <si>
    <t>For each 200m additional distance</t>
  </si>
  <si>
    <t>Speed of truck (v)=</t>
  </si>
  <si>
    <t>km/h</t>
  </si>
  <si>
    <t>Length of Haulage (d)=</t>
  </si>
  <si>
    <t>Time req. for 1 cycle (T) =</t>
  </si>
  <si>
    <t>Unit weight of Soil=</t>
  </si>
  <si>
    <t>t/m3</t>
  </si>
  <si>
    <t>Total cap of truck=</t>
  </si>
  <si>
    <t>Total weight of truck=</t>
  </si>
  <si>
    <t>Using 8 ton dump truck</t>
  </si>
  <si>
    <t>Mucking of the excavated materails from the tunnel within 1000 m distance</t>
  </si>
  <si>
    <t>Ref DOR, beri babai diversion</t>
  </si>
  <si>
    <t>m-day</t>
  </si>
  <si>
    <t>Tata dump truck 8 ton</t>
  </si>
  <si>
    <t>unskilled</t>
  </si>
  <si>
    <t>compressor</t>
  </si>
  <si>
    <t>Wheel loader</t>
  </si>
  <si>
    <t>Ls</t>
  </si>
  <si>
    <t>Lab</t>
  </si>
  <si>
    <t>Mat</t>
  </si>
  <si>
    <t>Equpment</t>
  </si>
  <si>
    <t>%</t>
  </si>
  <si>
    <t>Piping &amp; ducting</t>
  </si>
  <si>
    <t>Local</t>
  </si>
  <si>
    <t>Forein</t>
  </si>
  <si>
    <t xml:space="preserve">Local </t>
  </si>
  <si>
    <t xml:space="preserve">Total of      A=   </t>
  </si>
  <si>
    <t>Total of   B =</t>
  </si>
  <si>
    <t>Total of     C=</t>
  </si>
  <si>
    <t>LC=</t>
  </si>
  <si>
    <t>FC=</t>
  </si>
  <si>
    <t>Mucking of the excavated materails from the tunnel within 500 m distance</t>
  </si>
  <si>
    <t>Mucking of the excavated materails from the tunnel for each additional 200 m</t>
  </si>
  <si>
    <t>Ventilation Fan</t>
  </si>
  <si>
    <t xml:space="preserve">Solu dudh koshi </t>
  </si>
  <si>
    <t>Ref DOR 18.06</t>
  </si>
  <si>
    <t>MS sheet 14 gauge and angle stiffners</t>
  </si>
  <si>
    <t>40 times usage</t>
  </si>
  <si>
    <t xml:space="preserve">Nuts &amp; bolts </t>
  </si>
  <si>
    <t>Machine tools</t>
  </si>
  <si>
    <t>30 time usage</t>
  </si>
  <si>
    <t>60 times usage</t>
  </si>
  <si>
    <t>40 time usage</t>
  </si>
  <si>
    <t>Ms pipes dua 40 mm</t>
  </si>
  <si>
    <t>90 time usage</t>
  </si>
  <si>
    <t>Clamps</t>
  </si>
  <si>
    <t>no.</t>
  </si>
  <si>
    <t>60 time usage</t>
  </si>
  <si>
    <t>MS sheet</t>
  </si>
  <si>
    <t>Nut Bolts</t>
  </si>
  <si>
    <t>MS Pipe</t>
  </si>
  <si>
    <t>set</t>
  </si>
  <si>
    <t>SAIL MA- ISHB 150</t>
  </si>
  <si>
    <t>Wheel barrow/Jack</t>
  </si>
  <si>
    <t>Spilce plate 100*100*10</t>
  </si>
  <si>
    <t>Nuts &amp; bolts</t>
  </si>
  <si>
    <t>concrete block</t>
  </si>
  <si>
    <t>Formwork</t>
  </si>
  <si>
    <t>Fabrication &amp; erection cost</t>
  </si>
  <si>
    <t>per set</t>
  </si>
  <si>
    <t>Wheel barrow</t>
  </si>
  <si>
    <t>20.01.a.i</t>
  </si>
  <si>
    <t>Providing and placing machine mixed cement concrete C10 for the foundation and footing etc. including compaction, curing, testing and  lead  30m. etc. all complete as per specification and drawing.</t>
  </si>
  <si>
    <t>Shotcrete (Plain) T=100mm</t>
  </si>
  <si>
    <t>Providing and laying 50mm HDPE pipe including drilling for weep holes</t>
  </si>
  <si>
    <t>Foundation drilling and grouting</t>
  </si>
  <si>
    <t>m-d</t>
  </si>
  <si>
    <t xml:space="preserve">Drilling machine </t>
  </si>
  <si>
    <t>DOR 30.04</t>
  </si>
  <si>
    <t>Technicians</t>
  </si>
  <si>
    <t>Core box</t>
  </si>
  <si>
    <t>and accessories</t>
  </si>
  <si>
    <t>Machine helper</t>
  </si>
  <si>
    <t>diesel</t>
  </si>
  <si>
    <t>Soft Rock</t>
  </si>
  <si>
    <t>DOR 30.04(ii)</t>
  </si>
  <si>
    <t>ls</t>
  </si>
  <si>
    <t>Hard Soil (Gravel,Boulder,cobblemixed soil. Etc mixed soil)</t>
  </si>
  <si>
    <t>Grouting as specified area depth or dia of hole</t>
  </si>
  <si>
    <t>Bentonite</t>
  </si>
  <si>
    <t>Grout mixer</t>
  </si>
  <si>
    <t>Pump operator</t>
  </si>
  <si>
    <t>Drilling for grouting depth above 10 m and dia 50 mm</t>
  </si>
  <si>
    <t xml:space="preserve">Providing and performing cement grouting </t>
  </si>
  <si>
    <t>300mm PVC waterstop</t>
  </si>
  <si>
    <t>Drilling for grouting depth upto 10 m and dia 50 mm (soft rock)</t>
  </si>
  <si>
    <t>Providing, preparing and installing steel formworks and removing after completion for arch structure/ tunnel</t>
  </si>
  <si>
    <t>Providing, preparing and installing steel fromwork including necessary support and removing after completion for walls</t>
  </si>
  <si>
    <t xml:space="preserve">Providing, preparing and installing timber fromwork including necessary support and removing after completion for slab and beam structure </t>
  </si>
  <si>
    <t>Planks 38mm thick and rafters</t>
  </si>
  <si>
    <t>Struts and battens</t>
  </si>
  <si>
    <t>6 times usage</t>
  </si>
  <si>
    <t>8 times usage</t>
  </si>
  <si>
    <t>V</t>
  </si>
  <si>
    <t>per sqm</t>
  </si>
  <si>
    <t>for t = 50mm</t>
  </si>
  <si>
    <t>for t = 100mm</t>
  </si>
  <si>
    <t>for t = 150mm</t>
  </si>
  <si>
    <t>for t = 200mm</t>
  </si>
  <si>
    <t>300mm PVC waterstopper</t>
  </si>
  <si>
    <t>W</t>
  </si>
  <si>
    <t>Water Stopper</t>
  </si>
  <si>
    <t>X</t>
  </si>
  <si>
    <t>Surface Shotcrete</t>
  </si>
  <si>
    <t>Y</t>
  </si>
  <si>
    <t>Surface Rock bolting</t>
  </si>
  <si>
    <t xml:space="preserve">Driller </t>
  </si>
  <si>
    <t>Driller Helper</t>
  </si>
  <si>
    <t>Drilling Platform</t>
  </si>
  <si>
    <t>Rock bolts</t>
  </si>
  <si>
    <t>Anchor Plate with hexagonal nut</t>
  </si>
  <si>
    <t>rated</t>
  </si>
  <si>
    <t>HDPE pipe of 50 mm</t>
  </si>
  <si>
    <t>Back fill with graded filter materials in layer with  necessary watering and compaction, lead 10m, lift 1.5m.</t>
  </si>
  <si>
    <t>BENI</t>
  </si>
  <si>
    <t>DISTANCE OF BENI FROM DIFFERENT PLACES</t>
  </si>
  <si>
    <t>CHITWAN</t>
  </si>
  <si>
    <t>From Google Map</t>
  </si>
  <si>
    <t>Glass (3mm thick)</t>
  </si>
  <si>
    <t>No lead has been provided to Local Materials based on assumption that the cost at Beni is sufficient to accommodate lead from quarry to working site</t>
  </si>
  <si>
    <t>GI pipe 50mm diameter</t>
  </si>
  <si>
    <t>100mm Hinges</t>
  </si>
  <si>
    <t>LAMJUNG</t>
  </si>
  <si>
    <t>MAKWANPUR</t>
  </si>
  <si>
    <t>DANG</t>
  </si>
  <si>
    <t>BAGLUNG</t>
  </si>
  <si>
    <t>GULMI</t>
  </si>
  <si>
    <t>KAPILVASTU</t>
  </si>
  <si>
    <t>KASKI</t>
  </si>
  <si>
    <t>PARSA</t>
  </si>
  <si>
    <t>Nyadi Hydropower Project (30 MW)</t>
  </si>
  <si>
    <t>Lower Hongu Khola Hydropower Project</t>
  </si>
  <si>
    <t>73/74</t>
  </si>
  <si>
    <t>72/73</t>
  </si>
  <si>
    <t>Water stop 6"</t>
  </si>
  <si>
    <t xml:space="preserve">Drill bits (20 mm ) </t>
  </si>
  <si>
    <t>Drill bits (25 mm )</t>
  </si>
  <si>
    <t xml:space="preserve">          </t>
  </si>
  <si>
    <t>24.12</t>
  </si>
  <si>
    <t>Laying of dry stone rip rap for scour protection and river training works  with stone weighing not less than 75kg and packed with stones 20-40kg, lead 30m.                              A. Using mechanical means</t>
  </si>
  <si>
    <t>Boulder/ stones</t>
  </si>
  <si>
    <t>power winch</t>
  </si>
  <si>
    <t>Laying of dry stone rip rap for scour protection and river training works  with stone weighing not less than 75kg and packed with stones 20-40kg, lead 30m.                              A. Without using mechanical means</t>
  </si>
  <si>
    <t xml:space="preserve">Laying of  rip rap  protection works  with boulder weighing 200kg minimum and packed with stones 20-40kg, lead 30m, using crane.                            </t>
  </si>
  <si>
    <t>Crane 15t- capacity</t>
  </si>
  <si>
    <t>30.04</t>
  </si>
  <si>
    <t>Technician</t>
  </si>
  <si>
    <t>Labour</t>
  </si>
  <si>
    <t>Drill bit</t>
  </si>
  <si>
    <t>Core- box</t>
  </si>
  <si>
    <t>Drilling machine and accessories</t>
  </si>
  <si>
    <t>EXPLORATORY DRILLING</t>
  </si>
  <si>
    <t xml:space="preserve"> i) Soft soil</t>
  </si>
  <si>
    <t xml:space="preserve">Drilling / Boring for sub-soil investigation drilling depth range 12-15m.                             </t>
  </si>
  <si>
    <t>ii) Hard soil (Gravel, boulder, cobble, etc. mixed soil)</t>
  </si>
  <si>
    <t xml:space="preserve">Drilling / Boring for sub-soil investigation drilling depth range 12-15m.                              </t>
  </si>
  <si>
    <t>iii) Soft Rock</t>
  </si>
  <si>
    <t xml:space="preserve">Drilling / Boring for sub-soil investigation drilling depth range 12-15m.                         </t>
  </si>
  <si>
    <t>iv) Hard Rock</t>
  </si>
  <si>
    <t>District Rate of fiscal Years</t>
  </si>
  <si>
    <t>SCREEDING &amp; PUNNING</t>
  </si>
  <si>
    <t>Brickworks</t>
  </si>
  <si>
    <t>Plaster</t>
  </si>
  <si>
    <t>Painting</t>
  </si>
  <si>
    <t>Rate of brick works is comparatively less</t>
  </si>
  <si>
    <t>Ms sheet 14 gauge &amp; angle stiffners</t>
  </si>
  <si>
    <t>Nuts &amp; bolts 6mm dia</t>
  </si>
  <si>
    <t xml:space="preserve">MS pipes dia. 40mm </t>
  </si>
  <si>
    <t>18.03.02.b.i</t>
  </si>
  <si>
    <t>18.03.02.b.ii</t>
  </si>
  <si>
    <t>18.03.02.b.iii</t>
  </si>
  <si>
    <t>Shotcrete (Plain) T=50mm</t>
  </si>
  <si>
    <t>Rate of Geotextile is comparatively high</t>
  </si>
  <si>
    <t xml:space="preserve">Machine Mixed Plum concrete -  40% plum (Supply of materials &amp; haulage dist up to 30 m) Concrete grade C15 </t>
  </si>
  <si>
    <t>M T</t>
  </si>
  <si>
    <t>Boulder (225mm)</t>
  </si>
  <si>
    <t>Cu m</t>
  </si>
  <si>
    <t>20-40 mm</t>
  </si>
  <si>
    <t>10-20 mm</t>
  </si>
  <si>
    <t>5-10 mm</t>
  </si>
  <si>
    <t>2.5 % of cost added for mix design and quality control</t>
  </si>
  <si>
    <t>Boulder</t>
  </si>
  <si>
    <t>Aggregate 40mm down</t>
  </si>
  <si>
    <t>S.N.</t>
  </si>
  <si>
    <t>Description</t>
  </si>
  <si>
    <t>Site Clearance</t>
  </si>
  <si>
    <t>Excavation</t>
  </si>
  <si>
    <t xml:space="preserve">Soft Soil </t>
  </si>
  <si>
    <t>Boulder Mixed Soil</t>
  </si>
  <si>
    <t>Rock</t>
  </si>
  <si>
    <t>Filling</t>
  </si>
  <si>
    <t>Concreting Works</t>
  </si>
  <si>
    <t>C10</t>
  </si>
  <si>
    <t>C15</t>
  </si>
  <si>
    <t>C20</t>
  </si>
  <si>
    <t>C25</t>
  </si>
  <si>
    <t>C35</t>
  </si>
  <si>
    <t>C60</t>
  </si>
  <si>
    <t>Reinforcement Bars</t>
  </si>
  <si>
    <t>Brickwork</t>
  </si>
  <si>
    <t>Masonry Works</t>
  </si>
  <si>
    <t>Gabion Works</t>
  </si>
  <si>
    <t>Stone riprap for protection works</t>
  </si>
  <si>
    <t>Roofing</t>
  </si>
  <si>
    <t>Doors and windows</t>
  </si>
  <si>
    <t>Screeding and Punning</t>
  </si>
  <si>
    <t>Surface Works</t>
  </si>
  <si>
    <t>Underground Works</t>
  </si>
  <si>
    <t>In good rock</t>
  </si>
  <si>
    <t>In poor to very poor rock</t>
  </si>
  <si>
    <t>shaft excavation</t>
  </si>
  <si>
    <t>Plain shotcrete</t>
  </si>
  <si>
    <t>for 50mm thickness</t>
  </si>
  <si>
    <t>for 100mm thickness</t>
  </si>
  <si>
    <t>Fiber reinforced shotcrete</t>
  </si>
  <si>
    <t>for 120mm thickness</t>
  </si>
  <si>
    <t>for 200mm thickness</t>
  </si>
  <si>
    <t xml:space="preserve">shotcreting in shaft </t>
  </si>
  <si>
    <t>Units</t>
  </si>
  <si>
    <t>Rockbolt</t>
  </si>
  <si>
    <t>Grouted pattern rockbolt of dia 20mm, length 2.2m</t>
  </si>
  <si>
    <t>Concrete</t>
  </si>
  <si>
    <t>Mucking</t>
  </si>
  <si>
    <t>Formworks</t>
  </si>
  <si>
    <t>Steel Ribs</t>
  </si>
  <si>
    <t>ton/nos.</t>
  </si>
  <si>
    <t>Distance from Beni to Headworks of RMHEP</t>
  </si>
  <si>
    <t>76/77</t>
  </si>
  <si>
    <t>Escalation Rate per year</t>
  </si>
  <si>
    <r>
      <t>Rockbolts (20</t>
    </r>
    <r>
      <rPr>
        <sz val="9"/>
        <rFont val="Calibri"/>
        <family val="2"/>
      </rPr>
      <t>Φ</t>
    </r>
    <r>
      <rPr>
        <sz val="9"/>
        <rFont val="Gill Sans MT"/>
        <family val="2"/>
      </rPr>
      <t>)   Length = 2.2m</t>
    </r>
  </si>
  <si>
    <t>as per NOC.</t>
  </si>
  <si>
    <t>astar paint</t>
  </si>
  <si>
    <t>IN BUNDLE</t>
  </si>
  <si>
    <t>STEEL</t>
  </si>
  <si>
    <t>Diseal</t>
  </si>
  <si>
    <t>l</t>
  </si>
  <si>
    <t>Diesel for excavator</t>
  </si>
  <si>
    <t>Diesel for tipper</t>
  </si>
  <si>
    <t>Excavator</t>
  </si>
  <si>
    <t>9.01.02 a-1</t>
  </si>
  <si>
    <t>Excavation (using hydraulic excavator) including disposal upto 10m and lift upto 1.5 m etc. , trimming bottom and side slopes in accordance with requirements of lines, grades and cross sections all complete as per specification. (for soil/Gravel/B.M.S. with lead upto 1 Km)</t>
  </si>
  <si>
    <t>9.01.02 b-1</t>
  </si>
  <si>
    <t>Excavation (using hydraulic excavator) including disposal upto 10m and lift upto 1.5 m etc. , trimming bottom and side slopes in accordance with requirements of lines, grades and cross sections all complete as per specification. (for ordinary rock with lead upto 1 Km)</t>
  </si>
  <si>
    <t>Rate analysis Norm by DoR on 2072</t>
  </si>
  <si>
    <t>9.01.02 c</t>
  </si>
  <si>
    <t>Excavation (using hydraulic excavator) including disposal upto 10m and lift upto 1.5 m etc. , trimming bottom and side slopes in accordance with requirements of lines, grades and cross sections all complete as per specification. (for hardrock without blasting)</t>
  </si>
  <si>
    <t>BHAIRAHAWA</t>
  </si>
  <si>
    <t>BIRJUNG</t>
  </si>
  <si>
    <t>NEPALGUNJ</t>
  </si>
  <si>
    <t>Bhairahawa</t>
  </si>
  <si>
    <t>Birjung</t>
  </si>
  <si>
    <t>Nepalgunj</t>
  </si>
  <si>
    <t>Vertical Shaft excavation</t>
  </si>
  <si>
    <t>Surge Shaft excavation</t>
  </si>
  <si>
    <t>t=100mm</t>
  </si>
  <si>
    <t>t=150mm</t>
  </si>
  <si>
    <t>t=200mm</t>
  </si>
  <si>
    <t>t=50mm</t>
  </si>
  <si>
    <t>RATE
IN NRs</t>
  </si>
  <si>
    <t>RATE IN
US$</t>
  </si>
  <si>
    <t>REMARKS</t>
  </si>
  <si>
    <t>MATERIALS [Based on District Rate of Myagdi for FY 2077 / 078]</t>
  </si>
  <si>
    <t>MANPOWER [Based on District Rate of Myagdi for FY 2077 / 078]</t>
  </si>
  <si>
    <t>Cost of Equipments in NRs. (Local Currency)</t>
  </si>
  <si>
    <t>Providing and placing steel ribs (ISHB 150)</t>
  </si>
  <si>
    <t xml:space="preserve">       ton</t>
  </si>
  <si>
    <t>Adopted</t>
  </si>
  <si>
    <t xml:space="preserve">Spiling (L= 6 m, 25 mm dia or as specified grouted) in fractured rock , drill dia &lt; 120 mm including drilling and grouting works </t>
  </si>
  <si>
    <t>nos</t>
  </si>
  <si>
    <t>Pneumatic driller</t>
  </si>
  <si>
    <t>Rock dowel rod</t>
  </si>
  <si>
    <t>Fiber Shotcrete for t = 100mm</t>
  </si>
  <si>
    <t>2022.09.01(2079.05.16)</t>
  </si>
  <si>
    <t>24:00 hrs</t>
  </si>
  <si>
    <t>2022.07.04(2079.03.20)</t>
  </si>
  <si>
    <t>2022.06.25(2079.03.11)</t>
  </si>
  <si>
    <t>2022.06.19(2079.03.05)</t>
  </si>
  <si>
    <t>2022.06.09(2079.02.26)</t>
  </si>
  <si>
    <t>2022.06.02(2079.02.19)</t>
  </si>
  <si>
    <t>t=75mm</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</si>
</sst>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3" formatCode="_(* #,##0.00_);_(* \(#,##0.00\);_(* &quot;-&quot;??_);_(@_)"/>
    <numFmt numFmtId="164" formatCode="_-* #,##0.00_-;\-* #,##0.00_-;_-* &quot;-&quot;??_-;_-@_-"/>
    <numFmt numFmtId="165" formatCode="0.0"/>
    <numFmt numFmtId="166" formatCode="0.000"/>
    <numFmt numFmtId="167" formatCode="&quot;NRs. &quot;\ 0.00"/>
    <numFmt numFmtId="168" formatCode="0.00\ &quot;km&quot;"/>
    <numFmt numFmtId="169" formatCode="0.00\ &quot;km/hr&quot;"/>
    <numFmt numFmtId="170" formatCode="0.00\ &quot;hr&quot;"/>
    <numFmt numFmtId="171" formatCode="&quot;Height = &quot;0&quot;m&quot;"/>
    <numFmt numFmtId="172" formatCode="&quot;Length of rock bolt = &quot;0.0&quot;m&quot;"/>
    <numFmt numFmtId="173" formatCode="0&quot;)&quot;"/>
    <numFmt numFmtId="174" formatCode="0\ &quot;rm&quot;"/>
    <numFmt numFmtId="175" formatCode="#,##0.00\ &quot;/m³&quot;"/>
    <numFmt numFmtId="176" formatCode="0\ &quot;sq m&quot;"/>
    <numFmt numFmtId="177" formatCode="0.00\ &quot;rm&quot;"/>
    <numFmt numFmtId="178" formatCode="&quot;tw =&quot;\ 0.00\ &quot;mm&quot;"/>
    <numFmt numFmtId="179" formatCode="&quot;a =&quot;\ 0.00\ &quot;cm²&quot;"/>
    <numFmt numFmtId="180" formatCode="&quot;wt =&quot;\ 0.00\ &quot;kg/m&quot;"/>
    <numFmt numFmtId="181" formatCode="#,##0.00\ &quot;/set&quot;"/>
    <numFmt numFmtId="182" formatCode="#,##0.00\ &quot;/ton&quot;"/>
    <numFmt numFmtId="183" formatCode="#,##0.00\ &quot;/m&quot;"/>
    <numFmt numFmtId="184" formatCode="#,##0.00\ &quot;/no&quot;"/>
    <numFmt numFmtId="185" formatCode="#,##0.00\ &quot;/kg&quot;"/>
    <numFmt numFmtId="186" formatCode="0.0000000"/>
    <numFmt numFmtId="187" formatCode="&quot;L =&quot;\ 0.00\ &quot;m&quot;"/>
  </numFmts>
  <fonts count="39">
    <font>
      <sz val="11"/>
      <color theme="1"/>
      <name val="Calibri"/>
      <family val="2"/>
      <scheme val="minor"/>
    </font>
    <font>
      <sz val="9"/>
      <name val="Gill Sans MT"/>
      <family val="2"/>
    </font>
    <font>
      <sz val="9"/>
      <color indexed="8"/>
      <name val="Gill Sans MT"/>
      <family val="2"/>
    </font>
    <font>
      <b/>
      <sz val="9"/>
      <name val="Gill Sans MT"/>
      <family val="2"/>
    </font>
    <font>
      <sz val="10"/>
      <color indexed="8"/>
      <name val="Gill Sans MT"/>
      <family val="2"/>
    </font>
    <font>
      <sz val="8"/>
      <color indexed="81"/>
      <name val="Tahoma"/>
      <family val="2"/>
    </font>
    <font>
      <b/>
      <sz val="8"/>
      <color indexed="81"/>
      <name val="Tahoma"/>
      <family val="2"/>
    </font>
    <font>
      <i/>
      <sz val="9"/>
      <name val="Gill Sans MT"/>
      <family val="2"/>
    </font>
    <font>
      <sz val="10"/>
      <color indexed="8"/>
      <name val="Calibri"/>
      <family val="2"/>
    </font>
    <font>
      <sz val="9"/>
      <color indexed="81"/>
      <name val="Tahoma"/>
      <family val="2"/>
    </font>
    <font>
      <b/>
      <sz val="9"/>
      <color indexed="81"/>
      <name val="Tahoma"/>
      <family val="2"/>
    </font>
    <font>
      <sz val="9"/>
      <color indexed="8"/>
      <name val="Calibri"/>
      <family val="2"/>
    </font>
    <font>
      <sz val="9"/>
      <name val="Calibri"/>
      <family val="2"/>
    </font>
    <font>
      <sz val="10"/>
      <name val="Gill Sans MT"/>
      <family val="2"/>
    </font>
    <font>
      <sz val="10"/>
      <name val="Arial"/>
      <family val="2"/>
    </font>
    <font>
      <sz val="8"/>
      <name val="Gill Sans MT"/>
      <family val="2"/>
    </font>
    <font>
      <b/>
      <sz val="10"/>
      <name val="Arial"/>
      <family val="2"/>
    </font>
    <font>
      <b/>
      <sz val="8"/>
      <name val="Gill Sans MT"/>
      <family val="2"/>
    </font>
    <font>
      <b/>
      <sz val="8"/>
      <name val="Arial"/>
      <family val="2"/>
    </font>
    <font>
      <sz val="8"/>
      <name val="Arial"/>
      <family val="2"/>
    </font>
    <font>
      <sz val="11"/>
      <color theme="1"/>
      <name val="Calibri"/>
      <family val="2"/>
      <scheme val="minor"/>
    </font>
    <font>
      <sz val="9"/>
      <color theme="1"/>
      <name val="Gill Sans MT"/>
      <family val="2"/>
    </font>
    <font>
      <sz val="10"/>
      <color theme="1"/>
      <name val="Gill Sans MT"/>
      <family val="2"/>
    </font>
    <font>
      <b/>
      <sz val="10"/>
      <color theme="1"/>
      <name val="Gill Sans MT"/>
      <family val="2"/>
    </font>
    <font>
      <b/>
      <sz val="9"/>
      <color theme="1"/>
      <name val="Gill Sans MT"/>
      <family val="2"/>
    </font>
    <font>
      <sz val="9"/>
      <color rgb="FF000000"/>
      <name val="Arial"/>
      <family val="2"/>
    </font>
    <font>
      <sz val="9"/>
      <color rgb="FF0070C0"/>
      <name val="Gill Sans MT"/>
      <family val="2"/>
    </font>
    <font>
      <b/>
      <sz val="10"/>
      <color rgb="FFFF0000"/>
      <name val="Arial"/>
      <family val="2"/>
    </font>
    <font>
      <sz val="8"/>
      <color rgb="FFFF0000"/>
      <name val="Gill Sans MT"/>
      <family val="2"/>
    </font>
    <font>
      <sz val="8"/>
      <color rgb="FF00B0F0"/>
      <name val="Gill Sans MT"/>
      <family val="2"/>
    </font>
    <font>
      <sz val="8"/>
      <color theme="1"/>
      <name val="Calibri"/>
      <family val="2"/>
      <scheme val="minor"/>
    </font>
    <font>
      <b/>
      <sz val="8"/>
      <color rgb="FF7030A0"/>
      <name val="Arial"/>
      <family val="2"/>
    </font>
    <font>
      <sz val="8"/>
      <color theme="1"/>
      <name val="Gill Sans MT"/>
      <family val="2"/>
    </font>
    <font>
      <i/>
      <sz val="10"/>
      <color theme="1"/>
      <name val="Gill Sans MT"/>
      <family val="2"/>
    </font>
    <font>
      <b/>
      <i/>
      <sz val="10"/>
      <color theme="1"/>
      <name val="Gill Sans MT"/>
      <family val="2"/>
    </font>
    <font>
      <sz val="10"/>
      <color rgb="FFFF0000"/>
      <name val="Gill Sans MT"/>
      <family val="2"/>
    </font>
    <font>
      <sz val="10"/>
      <color theme="0"/>
      <name val="Gill Sans MT"/>
      <family val="2"/>
    </font>
    <font>
      <sz val="9"/>
      <color theme="5" tint="0.59999389629810485"/>
      <name val="Gill Sans MT"/>
      <family val="2"/>
    </font>
    <font>
      <sz val="12"/>
      <color rgb="FF212529"/>
      <name val="Roboto"/>
    </font>
  </fonts>
  <fills count="15">
    <fill>
      <patternFill patternType="none"/>
    </fill>
    <fill>
      <patternFill patternType="gray125"/>
    </fill>
    <fill>
      <patternFill patternType="solid">
        <fgColor theme="0" tint="-0.249977111117893"/>
        <bgColor indexed="64"/>
      </patternFill>
    </fill>
    <fill>
      <patternFill patternType="solid">
        <fgColor theme="9"/>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79998168889431442"/>
        <bgColor indexed="64"/>
      </patternFill>
    </fill>
    <fill>
      <patternFill patternType="solid">
        <fgColor rgb="FFFFFFFF"/>
        <bgColor indexed="64"/>
      </patternFill>
    </fill>
  </fills>
  <borders count="54">
    <border>
      <left/>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DEE2E6"/>
      </right>
      <top style="medium">
        <color rgb="FFDEE2E6"/>
      </top>
      <bottom/>
      <diagonal/>
    </border>
    <border>
      <left style="medium">
        <color rgb="FFDEE2E6"/>
      </left>
      <right style="medium">
        <color rgb="FFDEE2E6"/>
      </right>
      <top style="medium">
        <color rgb="FFDEE2E6"/>
      </top>
      <bottom/>
      <diagonal/>
    </border>
    <border>
      <left style="medium">
        <color rgb="FFDEE2E6"/>
      </left>
      <right style="medium">
        <color rgb="FFDEE2E6"/>
      </right>
      <top style="medium">
        <color rgb="FFDEE2E6"/>
      </top>
      <bottom style="medium">
        <color rgb="FFDEE2E6"/>
      </bottom>
      <diagonal/>
    </border>
    <border>
      <left/>
      <right style="medium">
        <color rgb="FFDEE2E6"/>
      </right>
      <top style="medium">
        <color rgb="FFDEE2E6"/>
      </top>
      <bottom style="medium">
        <color rgb="FFDEE2E6"/>
      </bottom>
      <diagonal/>
    </border>
  </borders>
  <cellStyleXfs count="4">
    <xf numFmtId="0" fontId="0" fillId="0" borderId="0"/>
    <xf numFmtId="43" fontId="20" fillId="0" borderId="0" applyFont="0" applyFill="0" applyBorder="0" applyAlignment="0" applyProtection="0"/>
    <xf numFmtId="0" fontId="14" fillId="0" borderId="0"/>
    <xf numFmtId="9" fontId="20" fillId="0" borderId="0" applyFont="0" applyFill="0" applyBorder="0" applyAlignment="0" applyProtection="0"/>
  </cellStyleXfs>
  <cellXfs count="847">
    <xf numFmtId="0" fontId="0" fillId="0" borderId="0" xfId="0"/>
    <xf numFmtId="0" fontId="21" fillId="0" borderId="0" xfId="0" applyFont="1"/>
    <xf numFmtId="0" fontId="1" fillId="0" borderId="1" xfId="0" applyFont="1" applyFill="1" applyBorder="1" applyAlignment="1">
      <alignment horizontal="right"/>
    </xf>
    <xf numFmtId="0" fontId="1" fillId="0" borderId="2" xfId="0" applyFont="1" applyBorder="1"/>
    <xf numFmtId="0" fontId="1" fillId="0" borderId="0" xfId="0" applyFont="1" applyBorder="1"/>
    <xf numFmtId="0" fontId="1" fillId="0" borderId="1" xfId="0" applyFont="1" applyBorder="1"/>
    <xf numFmtId="0" fontId="1" fillId="0" borderId="3" xfId="0" applyFont="1" applyBorder="1"/>
    <xf numFmtId="165" fontId="1" fillId="0" borderId="3" xfId="0" applyNumberFormat="1" applyFont="1" applyBorder="1"/>
    <xf numFmtId="0" fontId="1" fillId="0" borderId="3" xfId="0" applyFont="1" applyFill="1" applyBorder="1"/>
    <xf numFmtId="0" fontId="1" fillId="0" borderId="4" xfId="0" applyFont="1" applyBorder="1"/>
    <xf numFmtId="0" fontId="1" fillId="0" borderId="4" xfId="0" applyFont="1" applyFill="1" applyBorder="1"/>
    <xf numFmtId="0" fontId="1" fillId="0" borderId="1" xfId="0" applyFont="1" applyBorder="1" applyAlignment="1">
      <alignment horizontal="right"/>
    </xf>
    <xf numFmtId="0" fontId="1" fillId="0" borderId="2" xfId="0" applyFont="1" applyBorder="1" applyAlignment="1">
      <alignment horizontal="left"/>
    </xf>
    <xf numFmtId="0" fontId="1" fillId="0" borderId="5" xfId="0" applyFont="1" applyBorder="1" applyAlignment="1">
      <alignment horizontal="center"/>
    </xf>
    <xf numFmtId="0" fontId="1" fillId="0" borderId="5" xfId="0" applyFont="1" applyBorder="1"/>
    <xf numFmtId="165" fontId="1" fillId="0" borderId="5" xfId="0" applyNumberFormat="1" applyFont="1" applyBorder="1" applyAlignment="1">
      <alignment horizontal="center"/>
    </xf>
    <xf numFmtId="0" fontId="1" fillId="0" borderId="2" xfId="0" applyFont="1" applyBorder="1" applyAlignment="1">
      <alignment horizontal="right"/>
    </xf>
    <xf numFmtId="0" fontId="1" fillId="0" borderId="6" xfId="0" applyFont="1" applyBorder="1"/>
    <xf numFmtId="0" fontId="1" fillId="0" borderId="0" xfId="0" applyFont="1" applyBorder="1" applyAlignment="1">
      <alignment horizontal="center"/>
    </xf>
    <xf numFmtId="165" fontId="1" fillId="0" borderId="0" xfId="0" applyNumberFormat="1" applyFont="1" applyBorder="1" applyAlignment="1">
      <alignment horizontal="center"/>
    </xf>
    <xf numFmtId="0" fontId="1" fillId="0" borderId="7" xfId="0" applyFont="1" applyBorder="1"/>
    <xf numFmtId="0" fontId="3" fillId="0" borderId="0" xfId="0" applyFont="1" applyBorder="1" applyAlignment="1">
      <alignment horizontal="center"/>
    </xf>
    <xf numFmtId="0" fontId="21" fillId="0" borderId="0" xfId="0" applyFont="1" applyBorder="1"/>
    <xf numFmtId="0" fontId="1" fillId="0" borderId="3" xfId="0" applyFont="1" applyFill="1" applyBorder="1" applyAlignment="1">
      <alignment horizontal="right"/>
    </xf>
    <xf numFmtId="0" fontId="3" fillId="0" borderId="0" xfId="0" applyFont="1" applyBorder="1" applyAlignment="1">
      <alignment horizontal="center" vertical="center"/>
    </xf>
    <xf numFmtId="43" fontId="1" fillId="0" borderId="8" xfId="1" applyFont="1" applyBorder="1" applyAlignment="1">
      <alignment horizontal="center"/>
    </xf>
    <xf numFmtId="43" fontId="1" fillId="0" borderId="3" xfId="1" applyFont="1" applyBorder="1" applyAlignment="1">
      <alignment horizontal="center"/>
    </xf>
    <xf numFmtId="43" fontId="1" fillId="0" borderId="4" xfId="1" applyFont="1" applyBorder="1" applyAlignment="1">
      <alignment horizontal="center"/>
    </xf>
    <xf numFmtId="43" fontId="1" fillId="0" borderId="3" xfId="1" applyFont="1" applyFill="1" applyBorder="1" applyAlignment="1">
      <alignment horizontal="center"/>
    </xf>
    <xf numFmtId="166" fontId="1" fillId="0" borderId="7" xfId="0" applyNumberFormat="1" applyFont="1" applyBorder="1" applyAlignment="1">
      <alignment horizontal="center"/>
    </xf>
    <xf numFmtId="166" fontId="1" fillId="0" borderId="9" xfId="0" applyNumberFormat="1" applyFont="1" applyBorder="1" applyAlignment="1">
      <alignment horizontal="center"/>
    </xf>
    <xf numFmtId="0" fontId="1" fillId="0" borderId="10" xfId="0" applyFont="1" applyFill="1" applyBorder="1" applyAlignment="1">
      <alignment vertical="center" wrapText="1"/>
    </xf>
    <xf numFmtId="0" fontId="1" fillId="0" borderId="11" xfId="0" applyFont="1" applyFill="1" applyBorder="1" applyAlignment="1">
      <alignment vertical="center" wrapText="1"/>
    </xf>
    <xf numFmtId="0" fontId="1" fillId="0" borderId="12" xfId="0" applyFont="1" applyFill="1" applyBorder="1" applyAlignment="1">
      <alignment vertical="center"/>
    </xf>
    <xf numFmtId="0" fontId="1" fillId="0" borderId="1" xfId="0" applyFont="1" applyFill="1" applyBorder="1" applyAlignment="1">
      <alignment horizontal="center"/>
    </xf>
    <xf numFmtId="43" fontId="1" fillId="0" borderId="5" xfId="1" applyFont="1" applyBorder="1" applyAlignment="1">
      <alignment horizontal="center"/>
    </xf>
    <xf numFmtId="43" fontId="1" fillId="0" borderId="0" xfId="1" applyFont="1" applyBorder="1" applyAlignment="1">
      <alignment horizontal="center"/>
    </xf>
    <xf numFmtId="43" fontId="3" fillId="0" borderId="0" xfId="1" applyFont="1" applyFill="1" applyBorder="1" applyAlignment="1">
      <alignment horizontal="center"/>
    </xf>
    <xf numFmtId="0" fontId="21" fillId="0" borderId="7" xfId="0" applyFont="1" applyBorder="1"/>
    <xf numFmtId="0" fontId="21" fillId="2" borderId="8" xfId="0" applyFont="1" applyFill="1" applyBorder="1"/>
    <xf numFmtId="0" fontId="21" fillId="2" borderId="12" xfId="0" applyFont="1" applyFill="1" applyBorder="1"/>
    <xf numFmtId="0" fontId="21" fillId="2" borderId="10" xfId="0" applyFont="1" applyFill="1" applyBorder="1"/>
    <xf numFmtId="0" fontId="21" fillId="2" borderId="11" xfId="0" applyFont="1" applyFill="1" applyBorder="1"/>
    <xf numFmtId="0" fontId="21" fillId="2" borderId="13" xfId="0" applyFont="1" applyFill="1" applyBorder="1"/>
    <xf numFmtId="0" fontId="21" fillId="2" borderId="9" xfId="0" applyFont="1" applyFill="1" applyBorder="1"/>
    <xf numFmtId="0" fontId="3" fillId="2" borderId="6" xfId="0" applyFont="1" applyFill="1" applyBorder="1" applyAlignment="1">
      <alignment horizontal="center"/>
    </xf>
    <xf numFmtId="0" fontId="3" fillId="2" borderId="14" xfId="0" applyFont="1" applyFill="1" applyBorder="1" applyAlignment="1">
      <alignment horizontal="center"/>
    </xf>
    <xf numFmtId="0" fontId="3" fillId="2" borderId="2" xfId="0" applyFont="1" applyFill="1" applyBorder="1" applyAlignment="1">
      <alignment horizontal="center"/>
    </xf>
    <xf numFmtId="0" fontId="22" fillId="0" borderId="0" xfId="0" applyFont="1"/>
    <xf numFmtId="0" fontId="22" fillId="0" borderId="0" xfId="0" applyFont="1" applyAlignment="1">
      <alignment horizontal="center" vertical="center"/>
    </xf>
    <xf numFmtId="0" fontId="23" fillId="0" borderId="8" xfId="0" applyFont="1" applyBorder="1" applyAlignment="1">
      <alignment horizontal="center" vertical="center"/>
    </xf>
    <xf numFmtId="0" fontId="22" fillId="0" borderId="8" xfId="0" applyFont="1" applyBorder="1" applyAlignment="1">
      <alignment horizontal="center" vertical="center"/>
    </xf>
    <xf numFmtId="0" fontId="22" fillId="0" borderId="8" xfId="0" applyFont="1" applyBorder="1"/>
    <xf numFmtId="0" fontId="22" fillId="3" borderId="15" xfId="0" applyFont="1" applyFill="1" applyBorder="1" applyAlignment="1">
      <alignment horizontal="center" vertical="center"/>
    </xf>
    <xf numFmtId="0" fontId="22" fillId="3" borderId="8" xfId="0" applyFont="1" applyFill="1" applyBorder="1" applyAlignment="1">
      <alignment horizontal="center" vertical="center"/>
    </xf>
    <xf numFmtId="0" fontId="22" fillId="3" borderId="16" xfId="0" applyFont="1" applyFill="1" applyBorder="1" applyAlignment="1">
      <alignment horizontal="center" vertical="center"/>
    </xf>
    <xf numFmtId="0" fontId="22" fillId="3" borderId="17" xfId="0" applyFont="1" applyFill="1" applyBorder="1" applyAlignment="1">
      <alignment horizontal="center" vertical="center"/>
    </xf>
    <xf numFmtId="43" fontId="22" fillId="0" borderId="8" xfId="1" applyFont="1" applyBorder="1"/>
    <xf numFmtId="0" fontId="22" fillId="3" borderId="8" xfId="0" applyFont="1" applyFill="1" applyBorder="1" applyAlignment="1">
      <alignment horizontal="center"/>
    </xf>
    <xf numFmtId="0" fontId="1" fillId="0" borderId="0" xfId="0" applyFont="1" applyBorder="1" applyAlignment="1">
      <alignment horizontal="left"/>
    </xf>
    <xf numFmtId="0" fontId="23" fillId="0" borderId="8" xfId="0" applyFont="1" applyBorder="1" applyAlignment="1">
      <alignment horizontal="center" vertical="center" wrapText="1"/>
    </xf>
    <xf numFmtId="0" fontId="22" fillId="3" borderId="12" xfId="0" applyFont="1" applyFill="1" applyBorder="1"/>
    <xf numFmtId="0" fontId="22" fillId="3" borderId="10" xfId="0" applyFont="1" applyFill="1" applyBorder="1"/>
    <xf numFmtId="0" fontId="22" fillId="3" borderId="10" xfId="0" applyFont="1" applyFill="1" applyBorder="1" applyAlignment="1">
      <alignment horizontal="center" vertical="center"/>
    </xf>
    <xf numFmtId="0" fontId="22" fillId="3" borderId="11" xfId="0" applyFont="1" applyFill="1" applyBorder="1"/>
    <xf numFmtId="0" fontId="1" fillId="0" borderId="10"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21" fillId="2" borderId="10" xfId="0" applyFont="1" applyFill="1" applyBorder="1" applyAlignment="1">
      <alignment horizontal="center" vertical="center"/>
    </xf>
    <xf numFmtId="0" fontId="21" fillId="0" borderId="0" xfId="0" applyFont="1" applyBorder="1" applyAlignment="1">
      <alignment horizontal="center" vertical="center"/>
    </xf>
    <xf numFmtId="0" fontId="21" fillId="0" borderId="0" xfId="0" applyFont="1" applyAlignment="1">
      <alignment horizontal="center" vertical="center"/>
    </xf>
    <xf numFmtId="0" fontId="22" fillId="0" borderId="0" xfId="0" applyFont="1" applyAlignment="1">
      <alignment horizontal="right"/>
    </xf>
    <xf numFmtId="49" fontId="1" fillId="0" borderId="10" xfId="0" applyNumberFormat="1" applyFont="1" applyFill="1" applyBorder="1" applyAlignment="1">
      <alignment vertical="center" wrapText="1"/>
    </xf>
    <xf numFmtId="0" fontId="24" fillId="3" borderId="10" xfId="0" applyFont="1" applyFill="1" applyBorder="1"/>
    <xf numFmtId="0" fontId="24" fillId="3" borderId="11" xfId="0" applyFont="1" applyFill="1" applyBorder="1"/>
    <xf numFmtId="0" fontId="23" fillId="3" borderId="12" xfId="0" applyFont="1" applyFill="1" applyBorder="1"/>
    <xf numFmtId="0" fontId="24" fillId="2" borderId="8" xfId="0" applyFont="1" applyFill="1" applyBorder="1" applyAlignment="1">
      <alignment horizontal="center" vertical="center"/>
    </xf>
    <xf numFmtId="0" fontId="24" fillId="2" borderId="8" xfId="0" applyFont="1" applyFill="1" applyBorder="1" applyAlignment="1">
      <alignment horizontal="center" vertical="center" wrapText="1"/>
    </xf>
    <xf numFmtId="0" fontId="21" fillId="0" borderId="8" xfId="0" applyFont="1" applyBorder="1" applyAlignment="1">
      <alignment horizontal="center" vertical="center"/>
    </xf>
    <xf numFmtId="0" fontId="21" fillId="0" borderId="8" xfId="0" applyFont="1" applyBorder="1" applyAlignment="1">
      <alignment horizontal="justify" vertical="top" wrapText="1"/>
    </xf>
    <xf numFmtId="43" fontId="21" fillId="0" borderId="8" xfId="0" applyNumberFormat="1" applyFont="1" applyBorder="1" applyAlignment="1">
      <alignment horizontal="center" vertical="center"/>
    </xf>
    <xf numFmtId="0" fontId="21" fillId="4" borderId="8" xfId="0" applyFont="1" applyFill="1" applyBorder="1" applyAlignment="1">
      <alignment horizontal="center" vertical="center"/>
    </xf>
    <xf numFmtId="0" fontId="21" fillId="4" borderId="8" xfId="0" applyFont="1" applyFill="1" applyBorder="1"/>
    <xf numFmtId="0" fontId="1" fillId="0" borderId="3" xfId="0" applyFont="1" applyBorder="1" applyAlignment="1">
      <alignment vertical="center" wrapText="1"/>
    </xf>
    <xf numFmtId="0" fontId="21" fillId="0" borderId="8" xfId="0" applyFont="1" applyBorder="1"/>
    <xf numFmtId="43" fontId="21" fillId="0" borderId="8" xfId="0" applyNumberFormat="1" applyFont="1" applyBorder="1" applyAlignment="1">
      <alignment horizontal="center" vertical="center" wrapText="1"/>
    </xf>
    <xf numFmtId="0" fontId="1" fillId="0" borderId="0" xfId="0" applyFont="1" applyFill="1" applyBorder="1"/>
    <xf numFmtId="166" fontId="1" fillId="0" borderId="7" xfId="0" applyNumberFormat="1" applyFont="1" applyFill="1" applyBorder="1" applyAlignment="1">
      <alignment horizontal="center"/>
    </xf>
    <xf numFmtId="165" fontId="1" fillId="0" borderId="3" xfId="0" applyNumberFormat="1" applyFont="1" applyFill="1" applyBorder="1"/>
    <xf numFmtId="0" fontId="1" fillId="0" borderId="3" xfId="0" applyFont="1" applyFill="1" applyBorder="1" applyAlignment="1">
      <alignment vertical="center" wrapText="1"/>
    </xf>
    <xf numFmtId="166" fontId="1" fillId="0" borderId="9" xfId="0" applyNumberFormat="1" applyFont="1" applyFill="1" applyBorder="1" applyAlignment="1">
      <alignment horizontal="center"/>
    </xf>
    <xf numFmtId="43" fontId="1" fillId="0" borderId="4" xfId="1" applyFont="1" applyFill="1" applyBorder="1" applyAlignment="1">
      <alignment horizontal="center"/>
    </xf>
    <xf numFmtId="0" fontId="1" fillId="0" borderId="2" xfId="0" applyFont="1" applyFill="1" applyBorder="1" applyAlignment="1">
      <alignment horizontal="left"/>
    </xf>
    <xf numFmtId="0" fontId="1" fillId="0" borderId="0" xfId="0" applyFont="1" applyFill="1" applyBorder="1" applyAlignment="1">
      <alignment horizontal="left"/>
    </xf>
    <xf numFmtId="0" fontId="1" fillId="0" borderId="5" xfId="0" applyFont="1" applyFill="1" applyBorder="1" applyAlignment="1">
      <alignment horizontal="center"/>
    </xf>
    <xf numFmtId="43" fontId="1" fillId="0" borderId="8" xfId="1" applyFont="1" applyFill="1" applyBorder="1" applyAlignment="1">
      <alignment horizontal="center"/>
    </xf>
    <xf numFmtId="0" fontId="1" fillId="0" borderId="5" xfId="0" applyFont="1" applyFill="1" applyBorder="1"/>
    <xf numFmtId="0" fontId="1" fillId="0" borderId="2" xfId="0" applyFont="1" applyFill="1" applyBorder="1"/>
    <xf numFmtId="0" fontId="1" fillId="0" borderId="2" xfId="0" applyFont="1" applyFill="1" applyBorder="1" applyAlignment="1">
      <alignment horizontal="right"/>
    </xf>
    <xf numFmtId="43" fontId="1" fillId="0" borderId="5" xfId="1" applyFont="1" applyFill="1" applyBorder="1" applyAlignment="1">
      <alignment horizontal="center"/>
    </xf>
    <xf numFmtId="0" fontId="1" fillId="0" borderId="6" xfId="0" applyFont="1" applyFill="1" applyBorder="1"/>
    <xf numFmtId="165" fontId="1" fillId="0" borderId="5" xfId="0" applyNumberFormat="1" applyFont="1" applyFill="1" applyBorder="1" applyAlignment="1">
      <alignment horizontal="center"/>
    </xf>
    <xf numFmtId="0" fontId="1" fillId="0" borderId="0" xfId="0" applyFont="1" applyFill="1" applyBorder="1" applyAlignment="1">
      <alignment horizontal="center"/>
    </xf>
    <xf numFmtId="43" fontId="1" fillId="0" borderId="0" xfId="1" applyFont="1" applyFill="1" applyBorder="1" applyAlignment="1">
      <alignment horizontal="center"/>
    </xf>
    <xf numFmtId="0" fontId="1" fillId="0" borderId="7" xfId="0" applyFont="1" applyFill="1" applyBorder="1"/>
    <xf numFmtId="165" fontId="1" fillId="0" borderId="0" xfId="0" applyNumberFormat="1" applyFont="1" applyFill="1" applyBorder="1" applyAlignment="1">
      <alignment horizontal="center"/>
    </xf>
    <xf numFmtId="0" fontId="3" fillId="0" borderId="0" xfId="0" applyFont="1" applyFill="1" applyBorder="1" applyAlignment="1">
      <alignment horizontal="center"/>
    </xf>
    <xf numFmtId="0" fontId="21" fillId="0" borderId="7" xfId="0" applyFont="1" applyFill="1" applyBorder="1"/>
    <xf numFmtId="0" fontId="3" fillId="0" borderId="0" xfId="0" applyFont="1" applyFill="1" applyBorder="1" applyAlignment="1">
      <alignment horizontal="center" vertical="center"/>
    </xf>
    <xf numFmtId="0" fontId="23" fillId="3" borderId="10" xfId="0" applyFont="1" applyFill="1" applyBorder="1"/>
    <xf numFmtId="0" fontId="21" fillId="0" borderId="2"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1" xfId="0" applyFont="1" applyBorder="1" applyAlignment="1">
      <alignment vertical="top"/>
    </xf>
    <xf numFmtId="0" fontId="21" fillId="0" borderId="0" xfId="0" applyFont="1" applyBorder="1" applyAlignment="1">
      <alignment vertical="top"/>
    </xf>
    <xf numFmtId="0" fontId="21" fillId="0" borderId="7" xfId="0" applyFont="1" applyBorder="1" applyAlignment="1">
      <alignment vertical="top"/>
    </xf>
    <xf numFmtId="0" fontId="21" fillId="0" borderId="18" xfId="0" applyFont="1" applyBorder="1" applyAlignment="1">
      <alignment vertical="top"/>
    </xf>
    <xf numFmtId="0" fontId="21" fillId="0" borderId="13" xfId="0" applyFont="1" applyBorder="1" applyAlignment="1">
      <alignment vertical="top"/>
    </xf>
    <xf numFmtId="0" fontId="21" fillId="0" borderId="9" xfId="0" applyFont="1" applyBorder="1" applyAlignment="1">
      <alignment vertical="top"/>
    </xf>
    <xf numFmtId="0" fontId="21" fillId="0" borderId="0" xfId="0" applyFont="1" applyBorder="1" applyAlignment="1">
      <alignment horizontal="right" vertical="top"/>
    </xf>
    <xf numFmtId="168" fontId="21" fillId="0" borderId="0" xfId="0" applyNumberFormat="1" applyFont="1" applyBorder="1" applyAlignment="1">
      <alignment vertical="top"/>
    </xf>
    <xf numFmtId="169" fontId="21" fillId="0" borderId="0" xfId="0" applyNumberFormat="1" applyFont="1" applyBorder="1" applyAlignment="1">
      <alignment vertical="top"/>
    </xf>
    <xf numFmtId="170" fontId="21" fillId="0" borderId="0" xfId="0" applyNumberFormat="1" applyFont="1" applyBorder="1" applyAlignment="1">
      <alignment vertical="top"/>
    </xf>
    <xf numFmtId="0" fontId="1" fillId="0" borderId="3" xfId="0" applyFont="1" applyBorder="1" applyAlignment="1">
      <alignment horizontal="center"/>
    </xf>
    <xf numFmtId="0" fontId="1" fillId="0" borderId="0" xfId="0" applyFont="1" applyBorder="1" applyAlignment="1">
      <alignment horizontal="left" vertical="center"/>
    </xf>
    <xf numFmtId="0" fontId="1" fillId="0" borderId="1" xfId="0" applyFont="1" applyBorder="1" applyAlignment="1">
      <alignment horizontal="justify" vertical="top" wrapText="1"/>
    </xf>
    <xf numFmtId="49" fontId="21" fillId="0" borderId="0" xfId="0" applyNumberFormat="1" applyFont="1"/>
    <xf numFmtId="0" fontId="22" fillId="0" borderId="19" xfId="0" applyFont="1" applyFill="1" applyBorder="1" applyAlignment="1">
      <alignment horizontal="center" vertical="center"/>
    </xf>
    <xf numFmtId="0" fontId="22" fillId="0" borderId="4" xfId="0" applyFont="1" applyFill="1" applyBorder="1"/>
    <xf numFmtId="0" fontId="22" fillId="0" borderId="4" xfId="0" applyFont="1" applyFill="1" applyBorder="1" applyAlignment="1">
      <alignment horizontal="center" vertical="center"/>
    </xf>
    <xf numFmtId="43" fontId="22" fillId="0" borderId="19" xfId="1" applyFont="1" applyFill="1" applyBorder="1"/>
    <xf numFmtId="43" fontId="22" fillId="0" borderId="4" xfId="1" applyFont="1" applyFill="1" applyBorder="1"/>
    <xf numFmtId="43" fontId="22" fillId="0" borderId="20" xfId="1" applyFont="1" applyFill="1" applyBorder="1"/>
    <xf numFmtId="0" fontId="22" fillId="0" borderId="8" xfId="0" applyFont="1" applyFill="1" applyBorder="1"/>
    <xf numFmtId="0" fontId="22" fillId="0" borderId="8" xfId="0" applyFont="1" applyFill="1" applyBorder="1" applyAlignment="1">
      <alignment horizontal="center" vertical="center"/>
    </xf>
    <xf numFmtId="43" fontId="22" fillId="0" borderId="8" xfId="1" applyFont="1" applyFill="1" applyBorder="1"/>
    <xf numFmtId="0" fontId="22" fillId="0" borderId="0" xfId="0" applyFont="1" applyFill="1"/>
    <xf numFmtId="0" fontId="22" fillId="0" borderId="0" xfId="0" applyFont="1" applyFill="1" applyAlignment="1">
      <alignment horizontal="center" vertical="center"/>
    </xf>
    <xf numFmtId="43" fontId="22" fillId="0" borderId="0" xfId="1" applyFont="1" applyFill="1"/>
    <xf numFmtId="167" fontId="22" fillId="5" borderId="0" xfId="0" applyNumberFormat="1" applyFont="1" applyFill="1"/>
    <xf numFmtId="0" fontId="22" fillId="0" borderId="0" xfId="0" applyFont="1" applyBorder="1" applyAlignment="1">
      <alignment horizontal="center" vertical="center"/>
    </xf>
    <xf numFmtId="0" fontId="22" fillId="0" borderId="0" xfId="0" applyFont="1" applyBorder="1"/>
    <xf numFmtId="43" fontId="22" fillId="0" borderId="0" xfId="1" applyFont="1" applyBorder="1"/>
    <xf numFmtId="43" fontId="1" fillId="0" borderId="0" xfId="1" applyFont="1" applyFill="1" applyBorder="1" applyAlignment="1">
      <alignment horizontal="left"/>
    </xf>
    <xf numFmtId="0" fontId="1" fillId="0" borderId="3" xfId="0" applyFont="1" applyFill="1" applyBorder="1" applyAlignment="1">
      <alignment horizontal="center" vertical="center"/>
    </xf>
    <xf numFmtId="0" fontId="1" fillId="0" borderId="4" xfId="0" applyFont="1" applyBorder="1" applyAlignment="1">
      <alignment horizontal="center" vertical="center"/>
    </xf>
    <xf numFmtId="0" fontId="1" fillId="0" borderId="4" xfId="0" applyFont="1" applyFill="1" applyBorder="1" applyAlignment="1">
      <alignment horizontal="center" vertical="center"/>
    </xf>
    <xf numFmtId="0" fontId="21" fillId="0" borderId="8" xfId="0" applyFont="1" applyBorder="1" applyAlignment="1">
      <alignment horizontal="justify" vertical="top"/>
    </xf>
    <xf numFmtId="0" fontId="21" fillId="2" borderId="10" xfId="0" applyFont="1" applyFill="1" applyBorder="1" applyAlignment="1">
      <alignment horizontal="right"/>
    </xf>
    <xf numFmtId="10" fontId="21" fillId="2" borderId="10" xfId="3" applyNumberFormat="1" applyFont="1" applyFill="1" applyBorder="1" applyAlignment="1">
      <alignment horizontal="right" vertical="center" indent="1"/>
    </xf>
    <xf numFmtId="0" fontId="21" fillId="0" borderId="8" xfId="0" applyFont="1" applyBorder="1" applyAlignment="1">
      <alignment vertical="center"/>
    </xf>
    <xf numFmtId="10" fontId="21" fillId="0" borderId="8" xfId="0" applyNumberFormat="1" applyFont="1" applyBorder="1" applyAlignment="1">
      <alignment vertical="center"/>
    </xf>
    <xf numFmtId="43" fontId="1" fillId="0" borderId="3" xfId="0" applyNumberFormat="1" applyFont="1" applyFill="1" applyBorder="1"/>
    <xf numFmtId="43" fontId="1" fillId="6" borderId="3" xfId="1" applyFont="1" applyFill="1" applyBorder="1" applyAlignment="1">
      <alignment horizontal="center"/>
    </xf>
    <xf numFmtId="43" fontId="21" fillId="0" borderId="0" xfId="0" applyNumberFormat="1" applyFont="1"/>
    <xf numFmtId="166" fontId="1" fillId="6" borderId="7" xfId="0" applyNumberFormat="1" applyFont="1" applyFill="1" applyBorder="1" applyAlignment="1">
      <alignment horizontal="center"/>
    </xf>
    <xf numFmtId="166" fontId="1" fillId="7" borderId="7" xfId="0" applyNumberFormat="1" applyFont="1" applyFill="1" applyBorder="1" applyAlignment="1">
      <alignment horizontal="center"/>
    </xf>
    <xf numFmtId="165" fontId="1" fillId="7" borderId="3" xfId="0" applyNumberFormat="1" applyFont="1" applyFill="1" applyBorder="1"/>
    <xf numFmtId="0" fontId="22" fillId="0" borderId="21" xfId="0" applyFont="1" applyFill="1" applyBorder="1"/>
    <xf numFmtId="0" fontId="22" fillId="0" borderId="21" xfId="0" applyFont="1" applyFill="1" applyBorder="1" applyAlignment="1">
      <alignment horizontal="center" vertical="center"/>
    </xf>
    <xf numFmtId="43" fontId="22" fillId="0" borderId="21" xfId="1" applyFont="1" applyFill="1" applyBorder="1"/>
    <xf numFmtId="43" fontId="22" fillId="0" borderId="22" xfId="1" applyFont="1" applyFill="1" applyBorder="1"/>
    <xf numFmtId="0" fontId="22" fillId="0" borderId="23" xfId="0" applyFont="1" applyFill="1" applyBorder="1" applyAlignment="1">
      <alignment horizontal="left" vertical="center"/>
    </xf>
    <xf numFmtId="0" fontId="22" fillId="3" borderId="24" xfId="0" applyFont="1" applyFill="1" applyBorder="1" applyAlignment="1">
      <alignment horizontal="center" vertical="center"/>
    </xf>
    <xf numFmtId="0" fontId="22" fillId="0" borderId="9" xfId="0" applyFont="1" applyFill="1" applyBorder="1" applyAlignment="1">
      <alignment horizontal="center" vertical="center"/>
    </xf>
    <xf numFmtId="0" fontId="22" fillId="0" borderId="25" xfId="0" applyFont="1" applyFill="1" applyBorder="1"/>
    <xf numFmtId="0" fontId="22" fillId="0" borderId="25" xfId="0" applyFont="1" applyFill="1" applyBorder="1" applyAlignment="1">
      <alignment horizontal="center" vertical="center"/>
    </xf>
    <xf numFmtId="43" fontId="22" fillId="2" borderId="8" xfId="1" applyFont="1" applyFill="1" applyBorder="1"/>
    <xf numFmtId="43" fontId="22" fillId="2" borderId="26" xfId="1" applyFont="1" applyFill="1" applyBorder="1"/>
    <xf numFmtId="0" fontId="21" fillId="0" borderId="0" xfId="0" applyFont="1" applyFill="1"/>
    <xf numFmtId="0" fontId="1" fillId="0" borderId="3" xfId="0" applyFont="1" applyFill="1" applyBorder="1" applyAlignment="1">
      <alignment horizontal="center"/>
    </xf>
    <xf numFmtId="0" fontId="1" fillId="0" borderId="1" xfId="0" applyFont="1" applyFill="1" applyBorder="1"/>
    <xf numFmtId="171" fontId="21" fillId="0" borderId="8" xfId="0" applyNumberFormat="1" applyFont="1" applyBorder="1" applyAlignment="1">
      <alignment horizontal="left" vertical="top" wrapText="1" indent="2"/>
    </xf>
    <xf numFmtId="164" fontId="1" fillId="0" borderId="7" xfId="0" applyNumberFormat="1" applyFont="1" applyBorder="1"/>
    <xf numFmtId="0" fontId="1" fillId="6" borderId="12" xfId="0" applyFont="1" applyFill="1" applyBorder="1" applyAlignment="1">
      <alignment vertical="center"/>
    </xf>
    <xf numFmtId="49" fontId="21" fillId="6" borderId="0" xfId="0" applyNumberFormat="1" applyFont="1" applyFill="1"/>
    <xf numFmtId="0" fontId="1" fillId="6" borderId="10" xfId="0" applyFont="1" applyFill="1" applyBorder="1" applyAlignment="1">
      <alignment vertical="center" wrapText="1"/>
    </xf>
    <xf numFmtId="0" fontId="1" fillId="6" borderId="11" xfId="0" applyFont="1" applyFill="1" applyBorder="1" applyAlignment="1">
      <alignment vertical="center" wrapText="1"/>
    </xf>
    <xf numFmtId="0" fontId="1" fillId="6" borderId="1" xfId="0" applyFont="1" applyFill="1" applyBorder="1" applyAlignment="1">
      <alignment horizontal="center"/>
    </xf>
    <xf numFmtId="0" fontId="1" fillId="6" borderId="3" xfId="0" applyFont="1" applyFill="1" applyBorder="1" applyAlignment="1">
      <alignment horizontal="center" vertical="center"/>
    </xf>
    <xf numFmtId="0" fontId="1" fillId="6" borderId="0" xfId="0" applyFont="1" applyFill="1" applyBorder="1"/>
    <xf numFmtId="0" fontId="1" fillId="6" borderId="3" xfId="0" applyFont="1" applyFill="1" applyBorder="1"/>
    <xf numFmtId="0" fontId="1" fillId="6" borderId="1" xfId="0" applyFont="1" applyFill="1" applyBorder="1" applyAlignment="1">
      <alignment horizontal="right"/>
    </xf>
    <xf numFmtId="0" fontId="1" fillId="6" borderId="3" xfId="0" applyFont="1" applyFill="1" applyBorder="1" applyAlignment="1">
      <alignment horizontal="center"/>
    </xf>
    <xf numFmtId="165" fontId="1" fillId="6" borderId="3" xfId="0" applyNumberFormat="1" applyFont="1" applyFill="1" applyBorder="1"/>
    <xf numFmtId="0" fontId="1" fillId="6" borderId="1" xfId="0" applyFont="1" applyFill="1" applyBorder="1" applyAlignment="1">
      <alignment horizontal="justify" vertical="top" wrapText="1"/>
    </xf>
    <xf numFmtId="0" fontId="1" fillId="6" borderId="1" xfId="0" applyFont="1" applyFill="1" applyBorder="1"/>
    <xf numFmtId="0" fontId="1" fillId="6" borderId="4" xfId="0" applyFont="1" applyFill="1" applyBorder="1"/>
    <xf numFmtId="166" fontId="1" fillId="6" borderId="9" xfId="0" applyNumberFormat="1" applyFont="1" applyFill="1" applyBorder="1" applyAlignment="1">
      <alignment horizontal="center"/>
    </xf>
    <xf numFmtId="43" fontId="1" fillId="6" borderId="4" xfId="1" applyFont="1" applyFill="1" applyBorder="1" applyAlignment="1">
      <alignment horizontal="center"/>
    </xf>
    <xf numFmtId="0" fontId="1" fillId="6" borderId="2" xfId="0" applyFont="1" applyFill="1" applyBorder="1" applyAlignment="1">
      <alignment horizontal="left"/>
    </xf>
    <xf numFmtId="0" fontId="1" fillId="6" borderId="0" xfId="0" applyFont="1" applyFill="1" applyBorder="1" applyAlignment="1">
      <alignment horizontal="left"/>
    </xf>
    <xf numFmtId="0" fontId="1" fillId="6" borderId="5" xfId="0" applyFont="1" applyFill="1" applyBorder="1" applyAlignment="1">
      <alignment horizontal="center"/>
    </xf>
    <xf numFmtId="43" fontId="1" fillId="6" borderId="8" xfId="1" applyFont="1" applyFill="1" applyBorder="1" applyAlignment="1">
      <alignment horizontal="center"/>
    </xf>
    <xf numFmtId="0" fontId="1" fillId="6" borderId="5" xfId="0" applyFont="1" applyFill="1" applyBorder="1"/>
    <xf numFmtId="0" fontId="1" fillId="6" borderId="2" xfId="0" applyFont="1" applyFill="1" applyBorder="1"/>
    <xf numFmtId="0" fontId="1" fillId="6" borderId="2" xfId="0" applyFont="1" applyFill="1" applyBorder="1" applyAlignment="1">
      <alignment horizontal="right"/>
    </xf>
    <xf numFmtId="43" fontId="1" fillId="6" borderId="5" xfId="1" applyFont="1" applyFill="1" applyBorder="1" applyAlignment="1">
      <alignment horizontal="center"/>
    </xf>
    <xf numFmtId="0" fontId="1" fillId="6" borderId="6" xfId="0" applyFont="1" applyFill="1" applyBorder="1"/>
    <xf numFmtId="165" fontId="1" fillId="6" borderId="5" xfId="0" applyNumberFormat="1" applyFont="1" applyFill="1" applyBorder="1" applyAlignment="1">
      <alignment horizontal="center"/>
    </xf>
    <xf numFmtId="0" fontId="1" fillId="6" borderId="0" xfId="0" applyFont="1" applyFill="1" applyBorder="1" applyAlignment="1">
      <alignment horizontal="center"/>
    </xf>
    <xf numFmtId="43" fontId="1" fillId="6" borderId="0" xfId="1" applyFont="1" applyFill="1" applyBorder="1" applyAlignment="1">
      <alignment horizontal="center"/>
    </xf>
    <xf numFmtId="0" fontId="1" fillId="6" borderId="7" xfId="0" applyFont="1" applyFill="1" applyBorder="1"/>
    <xf numFmtId="165" fontId="1" fillId="6" borderId="0" xfId="0" applyNumberFormat="1" applyFont="1" applyFill="1" applyBorder="1" applyAlignment="1">
      <alignment horizontal="center"/>
    </xf>
    <xf numFmtId="0" fontId="1" fillId="6" borderId="3" xfId="0" applyFont="1" applyFill="1" applyBorder="1" applyAlignment="1">
      <alignment horizontal="right"/>
    </xf>
    <xf numFmtId="0" fontId="3" fillId="6" borderId="0" xfId="0" applyFont="1" applyFill="1" applyBorder="1" applyAlignment="1">
      <alignment horizontal="center"/>
    </xf>
    <xf numFmtId="43" fontId="3" fillId="6" borderId="0" xfId="1" applyFont="1" applyFill="1" applyBorder="1" applyAlignment="1">
      <alignment horizontal="center"/>
    </xf>
    <xf numFmtId="0" fontId="21" fillId="6" borderId="7" xfId="0" applyFont="1" applyFill="1" applyBorder="1"/>
    <xf numFmtId="0" fontId="3" fillId="6" borderId="0" xfId="0" applyFont="1" applyFill="1" applyBorder="1" applyAlignment="1">
      <alignment horizontal="center" vertical="center"/>
    </xf>
    <xf numFmtId="0" fontId="21" fillId="8" borderId="0" xfId="0" applyFont="1" applyFill="1"/>
    <xf numFmtId="43" fontId="21" fillId="2" borderId="11" xfId="0" applyNumberFormat="1" applyFont="1" applyFill="1" applyBorder="1"/>
    <xf numFmtId="43" fontId="1" fillId="8" borderId="3" xfId="1" applyFont="1" applyFill="1" applyBorder="1" applyAlignment="1">
      <alignment horizontal="center"/>
    </xf>
    <xf numFmtId="43" fontId="22" fillId="0" borderId="0" xfId="0" applyNumberFormat="1" applyFont="1" applyFill="1"/>
    <xf numFmtId="173" fontId="22" fillId="0" borderId="0" xfId="0" applyNumberFormat="1" applyFont="1" applyAlignment="1">
      <alignment horizontal="right"/>
    </xf>
    <xf numFmtId="173" fontId="22" fillId="0" borderId="0" xfId="0" applyNumberFormat="1" applyFont="1" applyAlignment="1">
      <alignment horizontal="right" vertical="center"/>
    </xf>
    <xf numFmtId="43" fontId="1" fillId="9" borderId="3" xfId="1" applyFont="1" applyFill="1" applyBorder="1" applyAlignment="1">
      <alignment horizontal="center"/>
    </xf>
    <xf numFmtId="0" fontId="23" fillId="0" borderId="8" xfId="0" applyFont="1" applyFill="1" applyBorder="1" applyAlignment="1">
      <alignment horizontal="left" vertical="center"/>
    </xf>
    <xf numFmtId="0" fontId="21" fillId="0" borderId="8" xfId="0" applyFont="1" applyFill="1" applyBorder="1" applyAlignment="1">
      <alignment horizontal="justify" vertical="top" wrapText="1"/>
    </xf>
    <xf numFmtId="0" fontId="21" fillId="0" borderId="8" xfId="0" applyFont="1" applyFill="1" applyBorder="1" applyAlignment="1">
      <alignment horizontal="center" vertical="center"/>
    </xf>
    <xf numFmtId="43" fontId="21" fillId="0" borderId="8" xfId="0" applyNumberFormat="1" applyFont="1" applyFill="1" applyBorder="1" applyAlignment="1">
      <alignment horizontal="center" vertical="center"/>
    </xf>
    <xf numFmtId="10" fontId="21" fillId="0" borderId="8" xfId="0" applyNumberFormat="1" applyFont="1" applyFill="1" applyBorder="1" applyAlignment="1">
      <alignment vertical="center"/>
    </xf>
    <xf numFmtId="4" fontId="25" fillId="0" borderId="48" xfId="0" applyNumberFormat="1" applyFont="1" applyBorder="1" applyAlignment="1">
      <alignment horizontal="right" vertical="top" wrapText="1"/>
    </xf>
    <xf numFmtId="4" fontId="25" fillId="0" borderId="49" xfId="0" applyNumberFormat="1" applyFont="1" applyBorder="1" applyAlignment="1">
      <alignment horizontal="right" vertical="top" wrapText="1"/>
    </xf>
    <xf numFmtId="0" fontId="21" fillId="0" borderId="14" xfId="0" applyFont="1" applyBorder="1"/>
    <xf numFmtId="0" fontId="21" fillId="0" borderId="27" xfId="0" applyFont="1" applyBorder="1" applyAlignment="1">
      <alignment horizontal="left" vertical="top" wrapText="1"/>
    </xf>
    <xf numFmtId="0" fontId="21" fillId="0" borderId="28" xfId="0" applyFont="1" applyBorder="1" applyAlignment="1">
      <alignment horizontal="left" vertical="center"/>
    </xf>
    <xf numFmtId="43" fontId="21" fillId="0" borderId="29" xfId="0" applyNumberFormat="1" applyFont="1" applyBorder="1" applyAlignment="1">
      <alignment horizontal="left" vertical="center"/>
    </xf>
    <xf numFmtId="0" fontId="21" fillId="0" borderId="16" xfId="0" applyFont="1" applyBorder="1" applyAlignment="1">
      <alignment horizontal="left" vertical="top" wrapText="1"/>
    </xf>
    <xf numFmtId="0" fontId="21" fillId="0" borderId="17" xfId="0" applyFont="1" applyBorder="1" applyAlignment="1">
      <alignment horizontal="left" vertical="center"/>
    </xf>
    <xf numFmtId="43" fontId="21" fillId="0" borderId="30" xfId="0" applyNumberFormat="1" applyFont="1" applyBorder="1" applyAlignment="1">
      <alignment horizontal="left" vertical="center"/>
    </xf>
    <xf numFmtId="0" fontId="22" fillId="10" borderId="8" xfId="0" applyFont="1" applyFill="1" applyBorder="1" applyAlignment="1">
      <alignment horizontal="center" vertical="center"/>
    </xf>
    <xf numFmtId="0" fontId="22" fillId="10" borderId="8" xfId="0" applyFont="1" applyFill="1" applyBorder="1"/>
    <xf numFmtId="43" fontId="26" fillId="0" borderId="8" xfId="0" applyNumberFormat="1" applyFont="1" applyBorder="1" applyAlignment="1">
      <alignment horizontal="center" vertical="center"/>
    </xf>
    <xf numFmtId="0" fontId="13" fillId="0" borderId="8" xfId="0" applyFont="1" applyBorder="1" applyAlignment="1">
      <alignment horizontal="justify" vertical="center"/>
    </xf>
    <xf numFmtId="43" fontId="22" fillId="6" borderId="8" xfId="1" applyFont="1" applyFill="1" applyBorder="1"/>
    <xf numFmtId="43" fontId="22" fillId="11" borderId="8" xfId="1" applyFont="1" applyFill="1" applyBorder="1"/>
    <xf numFmtId="43" fontId="22" fillId="0" borderId="0" xfId="0" applyNumberFormat="1" applyFont="1"/>
    <xf numFmtId="0" fontId="22" fillId="0" borderId="12" xfId="0" applyFont="1" applyBorder="1"/>
    <xf numFmtId="43" fontId="22" fillId="0" borderId="8" xfId="0" applyNumberFormat="1" applyFont="1" applyBorder="1"/>
    <xf numFmtId="43" fontId="22" fillId="0" borderId="8" xfId="1" applyNumberFormat="1" applyFont="1" applyFill="1" applyBorder="1"/>
    <xf numFmtId="0" fontId="21" fillId="0" borderId="13" xfId="0" applyFont="1" applyBorder="1" applyAlignment="1">
      <alignment horizontal="left" vertical="top"/>
    </xf>
    <xf numFmtId="0" fontId="21" fillId="0" borderId="9" xfId="0" applyFont="1" applyBorder="1" applyAlignment="1">
      <alignment horizontal="left" vertical="top"/>
    </xf>
    <xf numFmtId="0" fontId="21" fillId="9" borderId="8" xfId="0" applyFont="1" applyFill="1" applyBorder="1" applyAlignment="1">
      <alignment horizontal="justify" vertical="top" wrapText="1"/>
    </xf>
    <xf numFmtId="0" fontId="21" fillId="9" borderId="8" xfId="0" applyFont="1" applyFill="1" applyBorder="1" applyAlignment="1">
      <alignment horizontal="justify" vertical="top"/>
    </xf>
    <xf numFmtId="171" fontId="21" fillId="9" borderId="8" xfId="0" applyNumberFormat="1" applyFont="1" applyFill="1" applyBorder="1" applyAlignment="1">
      <alignment horizontal="left" vertical="top" wrapText="1" indent="2"/>
    </xf>
    <xf numFmtId="0" fontId="21" fillId="0" borderId="0" xfId="0" applyFont="1" applyAlignment="1">
      <alignment wrapText="1"/>
    </xf>
    <xf numFmtId="10" fontId="21" fillId="0" borderId="8" xfId="0" applyNumberFormat="1" applyFont="1" applyBorder="1" applyAlignment="1">
      <alignment horizontal="center" vertical="center"/>
    </xf>
    <xf numFmtId="0" fontId="14" fillId="0" borderId="0" xfId="0" applyFont="1"/>
    <xf numFmtId="0" fontId="14" fillId="0" borderId="0" xfId="2" applyFont="1" applyFill="1"/>
    <xf numFmtId="0" fontId="14" fillId="0" borderId="0" xfId="2" applyFill="1"/>
    <xf numFmtId="2" fontId="14" fillId="0" borderId="0" xfId="2" applyNumberFormat="1" applyFill="1"/>
    <xf numFmtId="0" fontId="27" fillId="0" borderId="0" xfId="2" applyFont="1" applyFill="1"/>
    <xf numFmtId="0" fontId="15" fillId="0" borderId="8" xfId="0" applyFont="1" applyBorder="1" applyAlignment="1">
      <alignment horizontal="center"/>
    </xf>
    <xf numFmtId="0" fontId="15" fillId="0" borderId="12" xfId="0" applyFont="1" applyBorder="1" applyAlignment="1">
      <alignment horizontal="center"/>
    </xf>
    <xf numFmtId="0" fontId="15" fillId="0" borderId="10" xfId="0" applyFont="1" applyBorder="1" applyAlignment="1">
      <alignment horizontal="center"/>
    </xf>
    <xf numFmtId="0" fontId="15" fillId="0" borderId="11" xfId="0" applyFont="1" applyBorder="1"/>
    <xf numFmtId="0" fontId="15" fillId="0" borderId="14" xfId="0" applyFont="1" applyBorder="1"/>
    <xf numFmtId="0" fontId="15" fillId="0" borderId="14" xfId="0" applyFont="1" applyBorder="1" applyAlignment="1">
      <alignment horizontal="center"/>
    </xf>
    <xf numFmtId="0" fontId="15" fillId="0" borderId="8" xfId="0" applyFont="1" applyBorder="1"/>
    <xf numFmtId="0" fontId="15" fillId="0" borderId="1" xfId="0" applyFont="1" applyFill="1" applyBorder="1" applyAlignment="1">
      <alignment horizontal="center"/>
    </xf>
    <xf numFmtId="0" fontId="15" fillId="0" borderId="0" xfId="0" applyFont="1" applyBorder="1"/>
    <xf numFmtId="0" fontId="15" fillId="0" borderId="6" xfId="0" applyFont="1" applyBorder="1" applyAlignment="1">
      <alignment horizontal="center"/>
    </xf>
    <xf numFmtId="0" fontId="15" fillId="0" borderId="1" xfId="0" applyFont="1" applyFill="1" applyBorder="1" applyAlignment="1">
      <alignment horizontal="right"/>
    </xf>
    <xf numFmtId="0" fontId="15" fillId="0" borderId="3" xfId="0" applyFont="1" applyBorder="1"/>
    <xf numFmtId="2" fontId="15" fillId="0" borderId="7" xfId="0" applyNumberFormat="1" applyFont="1" applyBorder="1" applyAlignment="1">
      <alignment horizontal="center"/>
    </xf>
    <xf numFmtId="2" fontId="15" fillId="0" borderId="3" xfId="0" applyNumberFormat="1" applyFont="1" applyBorder="1" applyAlignment="1">
      <alignment horizontal="center"/>
    </xf>
    <xf numFmtId="165" fontId="15" fillId="0" borderId="3" xfId="0" applyNumberFormat="1" applyFont="1" applyBorder="1" applyAlignment="1">
      <alignment vertical="top"/>
    </xf>
    <xf numFmtId="0" fontId="15" fillId="0" borderId="3" xfId="0" applyFont="1" applyFill="1" applyBorder="1" applyAlignment="1">
      <alignment vertical="top"/>
    </xf>
    <xf numFmtId="2" fontId="15" fillId="0" borderId="3" xfId="0" applyNumberFormat="1" applyFont="1" applyFill="1" applyBorder="1" applyAlignment="1">
      <alignment vertical="top"/>
    </xf>
    <xf numFmtId="2" fontId="15" fillId="0" borderId="3" xfId="0" applyNumberFormat="1" applyFont="1" applyFill="1" applyBorder="1" applyAlignment="1">
      <alignment horizontal="center" vertical="top"/>
    </xf>
    <xf numFmtId="165" fontId="15" fillId="0" borderId="3" xfId="0" applyNumberFormat="1" applyFont="1" applyFill="1" applyBorder="1" applyAlignment="1">
      <alignment horizontal="center" vertical="top"/>
    </xf>
    <xf numFmtId="0" fontId="15" fillId="0" borderId="3" xfId="0" applyFont="1" applyBorder="1" applyAlignment="1">
      <alignment horizontal="left" vertical="top" wrapText="1"/>
    </xf>
    <xf numFmtId="166" fontId="15" fillId="0" borderId="3" xfId="0" applyNumberFormat="1" applyFont="1" applyBorder="1" applyAlignment="1">
      <alignment horizontal="center" vertical="top"/>
    </xf>
    <xf numFmtId="2" fontId="15" fillId="0" borderId="3" xfId="0" applyNumberFormat="1" applyFont="1" applyBorder="1" applyAlignment="1">
      <alignment vertical="top"/>
    </xf>
    <xf numFmtId="2" fontId="14" fillId="0" borderId="0" xfId="0" applyNumberFormat="1" applyFont="1"/>
    <xf numFmtId="0" fontId="15" fillId="0" borderId="3" xfId="0" applyFont="1" applyBorder="1" applyAlignment="1">
      <alignment vertical="top" wrapText="1"/>
    </xf>
    <xf numFmtId="0" fontId="15" fillId="0" borderId="3" xfId="0" applyFont="1" applyFill="1" applyBorder="1" applyAlignment="1">
      <alignment horizontal="left"/>
    </xf>
    <xf numFmtId="0" fontId="15" fillId="0" borderId="3" xfId="0" applyFont="1" applyFill="1" applyBorder="1" applyAlignment="1">
      <alignment horizontal="center"/>
    </xf>
    <xf numFmtId="2" fontId="15" fillId="0" borderId="3" xfId="0" applyNumberFormat="1" applyFont="1" applyFill="1" applyBorder="1" applyAlignment="1">
      <alignment horizontal="center"/>
    </xf>
    <xf numFmtId="165" fontId="15" fillId="0" borderId="3" xfId="0" applyNumberFormat="1" applyFont="1" applyFill="1" applyBorder="1" applyAlignment="1">
      <alignment horizontal="center"/>
    </xf>
    <xf numFmtId="0" fontId="15" fillId="0" borderId="3" xfId="0" applyFont="1" applyFill="1" applyBorder="1"/>
    <xf numFmtId="2" fontId="15" fillId="0" borderId="3" xfId="0" applyNumberFormat="1" applyFont="1" applyBorder="1" applyAlignment="1">
      <alignment vertical="top" wrapText="1"/>
    </xf>
    <xf numFmtId="2" fontId="15" fillId="0" borderId="3" xfId="0" applyNumberFormat="1" applyFont="1" applyBorder="1" applyAlignment="1">
      <alignment vertical="center"/>
    </xf>
    <xf numFmtId="0" fontId="15" fillId="0" borderId="3" xfId="0" applyFont="1" applyFill="1" applyBorder="1" applyAlignment="1">
      <alignment vertical="top" wrapText="1"/>
    </xf>
    <xf numFmtId="2" fontId="15" fillId="0" borderId="3" xfId="0" applyNumberFormat="1" applyFont="1" applyBorder="1" applyAlignment="1">
      <alignment horizontal="center" vertical="top" wrapText="1"/>
    </xf>
    <xf numFmtId="2" fontId="15" fillId="0" borderId="3" xfId="0" applyNumberFormat="1" applyFont="1" applyFill="1" applyBorder="1" applyAlignment="1">
      <alignment horizontal="center" vertical="top" wrapText="1"/>
    </xf>
    <xf numFmtId="165" fontId="15" fillId="0" borderId="3" xfId="0" applyNumberFormat="1" applyFont="1" applyFill="1" applyBorder="1" applyAlignment="1">
      <alignment horizontal="center" vertical="top" wrapText="1"/>
    </xf>
    <xf numFmtId="166" fontId="15" fillId="0" borderId="3" xfId="0" applyNumberFormat="1" applyFont="1" applyBorder="1" applyAlignment="1">
      <alignment horizontal="center" vertical="center"/>
    </xf>
    <xf numFmtId="165" fontId="15" fillId="0" borderId="3" xfId="0" applyNumberFormat="1" applyFont="1" applyFill="1" applyBorder="1" applyAlignment="1">
      <alignment horizontal="center" vertical="center"/>
    </xf>
    <xf numFmtId="166" fontId="15" fillId="0" borderId="3" xfId="0" applyNumberFormat="1" applyFont="1" applyBorder="1" applyAlignment="1">
      <alignment horizontal="center"/>
    </xf>
    <xf numFmtId="0" fontId="15" fillId="0" borderId="3" xfId="0" applyFont="1" applyFill="1" applyBorder="1" applyAlignment="1">
      <alignment horizontal="center" vertical="top"/>
    </xf>
    <xf numFmtId="0" fontId="14" fillId="0" borderId="8" xfId="0" applyFont="1" applyBorder="1" applyAlignment="1">
      <alignment horizontal="centerContinuous"/>
    </xf>
    <xf numFmtId="0" fontId="0" fillId="0" borderId="8" xfId="0" applyBorder="1" applyAlignment="1">
      <alignment horizontal="centerContinuous"/>
    </xf>
    <xf numFmtId="0" fontId="13" fillId="0" borderId="0" xfId="0" applyFont="1"/>
    <xf numFmtId="166" fontId="15" fillId="0" borderId="3" xfId="0" applyNumberFormat="1" applyFont="1" applyBorder="1" applyAlignment="1">
      <alignment vertical="top"/>
    </xf>
    <xf numFmtId="0" fontId="14" fillId="0" borderId="8" xfId="0" applyFont="1" applyBorder="1" applyAlignment="1">
      <alignment horizontal="center"/>
    </xf>
    <xf numFmtId="0" fontId="14" fillId="0" borderId="8" xfId="0" applyFont="1" applyFill="1" applyBorder="1" applyAlignment="1">
      <alignment horizontal="center"/>
    </xf>
    <xf numFmtId="0" fontId="14" fillId="0" borderId="8" xfId="0" applyFont="1" applyBorder="1"/>
    <xf numFmtId="0" fontId="15" fillId="0" borderId="4" xfId="0" applyFont="1" applyBorder="1" applyAlignment="1">
      <alignment horizontal="right"/>
    </xf>
    <xf numFmtId="0" fontId="15" fillId="0" borderId="12" xfId="0" applyFont="1" applyBorder="1" applyAlignment="1">
      <alignment horizontal="left"/>
    </xf>
    <xf numFmtId="0" fontId="15" fillId="0" borderId="10" xfId="0" applyFont="1" applyBorder="1" applyAlignment="1">
      <alignment horizontal="left"/>
    </xf>
    <xf numFmtId="2" fontId="15" fillId="0" borderId="11" xfId="0" applyNumberFormat="1" applyFont="1" applyBorder="1" applyAlignment="1">
      <alignment horizontal="center"/>
    </xf>
    <xf numFmtId="0" fontId="15" fillId="0" borderId="5" xfId="0" applyFont="1" applyBorder="1"/>
    <xf numFmtId="0" fontId="15" fillId="0" borderId="5" xfId="0" applyFont="1" applyBorder="1" applyAlignment="1">
      <alignment horizontal="center"/>
    </xf>
    <xf numFmtId="165" fontId="15" fillId="0" borderId="5" xfId="0" applyNumberFormat="1" applyFont="1" applyBorder="1" applyAlignment="1">
      <alignment horizontal="center"/>
    </xf>
    <xf numFmtId="0" fontId="15" fillId="0" borderId="2" xfId="0" applyFont="1" applyBorder="1"/>
    <xf numFmtId="2" fontId="15" fillId="0" borderId="6" xfId="0" applyNumberFormat="1" applyFont="1" applyBorder="1"/>
    <xf numFmtId="2" fontId="0" fillId="0" borderId="8" xfId="0" applyNumberFormat="1" applyBorder="1"/>
    <xf numFmtId="165" fontId="0" fillId="0" borderId="8" xfId="0" applyNumberFormat="1" applyBorder="1"/>
    <xf numFmtId="0" fontId="0" fillId="0" borderId="8" xfId="0" applyBorder="1"/>
    <xf numFmtId="0" fontId="15" fillId="0" borderId="1" xfId="0" applyFont="1" applyBorder="1" applyAlignment="1">
      <alignment horizontal="right"/>
    </xf>
    <xf numFmtId="0" fontId="13" fillId="0" borderId="5" xfId="0" applyFont="1" applyBorder="1"/>
    <xf numFmtId="2" fontId="15" fillId="0" borderId="6" xfId="0" applyNumberFormat="1" applyFont="1" applyBorder="1" applyAlignment="1">
      <alignment horizontal="center"/>
    </xf>
    <xf numFmtId="0" fontId="15" fillId="0" borderId="6" xfId="0" applyFont="1" applyBorder="1"/>
    <xf numFmtId="2" fontId="16" fillId="0" borderId="8" xfId="0" applyNumberFormat="1" applyFont="1" applyBorder="1"/>
    <xf numFmtId="2" fontId="13" fillId="0" borderId="0" xfId="0" applyNumberFormat="1" applyFont="1"/>
    <xf numFmtId="0" fontId="13" fillId="0" borderId="0" xfId="0" applyFont="1" applyBorder="1"/>
    <xf numFmtId="0" fontId="15" fillId="0" borderId="0" xfId="0" applyFont="1" applyBorder="1" applyAlignment="1">
      <alignment horizontal="center"/>
    </xf>
    <xf numFmtId="0" fontId="15" fillId="0" borderId="1" xfId="0" applyFont="1" applyBorder="1"/>
    <xf numFmtId="165" fontId="15" fillId="0" borderId="0" xfId="0" applyNumberFormat="1" applyFont="1" applyBorder="1" applyAlignment="1">
      <alignment horizontal="center"/>
    </xf>
    <xf numFmtId="0" fontId="15" fillId="0" borderId="7" xfId="0" applyFont="1" applyBorder="1"/>
    <xf numFmtId="0" fontId="15" fillId="0" borderId="18" xfId="0" applyFont="1" applyFill="1" applyBorder="1" applyAlignment="1">
      <alignment horizontal="right"/>
    </xf>
    <xf numFmtId="0" fontId="15" fillId="0" borderId="12" xfId="0" applyFont="1" applyBorder="1" applyAlignment="1">
      <alignment horizontal="right"/>
    </xf>
    <xf numFmtId="0" fontId="15" fillId="0" borderId="10" xfId="0" applyFont="1" applyBorder="1"/>
    <xf numFmtId="0" fontId="13" fillId="0" borderId="10" xfId="0" applyFont="1" applyBorder="1"/>
    <xf numFmtId="0" fontId="17" fillId="0" borderId="10" xfId="0" applyFont="1" applyBorder="1" applyAlignment="1">
      <alignment horizontal="center"/>
    </xf>
    <xf numFmtId="2" fontId="17" fillId="0" borderId="10" xfId="0" applyNumberFormat="1" applyFont="1" applyFill="1" applyBorder="1" applyAlignment="1">
      <alignment horizontal="center"/>
    </xf>
    <xf numFmtId="0" fontId="17" fillId="0" borderId="12" xfId="0" applyFont="1" applyBorder="1"/>
    <xf numFmtId="2" fontId="17" fillId="0" borderId="10" xfId="0" applyNumberFormat="1" applyFont="1" applyBorder="1"/>
    <xf numFmtId="0" fontId="13" fillId="0" borderId="11" xfId="0" applyFont="1" applyBorder="1"/>
    <xf numFmtId="0" fontId="15" fillId="0" borderId="13" xfId="0" applyFont="1" applyBorder="1" applyAlignment="1">
      <alignment horizontal="center"/>
    </xf>
    <xf numFmtId="0" fontId="17" fillId="0" borderId="13" xfId="0" applyFont="1" applyBorder="1" applyAlignment="1">
      <alignment horizontal="center"/>
    </xf>
    <xf numFmtId="175" fontId="18" fillId="0" borderId="13" xfId="2" applyNumberFormat="1" applyFont="1" applyFill="1" applyBorder="1"/>
    <xf numFmtId="0" fontId="17" fillId="0" borderId="13" xfId="0" applyFont="1" applyBorder="1"/>
    <xf numFmtId="175" fontId="18" fillId="0" borderId="9" xfId="2" applyNumberFormat="1" applyFont="1" applyFill="1" applyBorder="1"/>
    <xf numFmtId="0" fontId="15" fillId="0" borderId="0" xfId="0" applyFont="1" applyFill="1" applyBorder="1" applyAlignment="1">
      <alignment horizontal="right"/>
    </xf>
    <xf numFmtId="0" fontId="15" fillId="0" borderId="0" xfId="0" applyFont="1" applyBorder="1" applyAlignment="1">
      <alignment horizontal="right"/>
    </xf>
    <xf numFmtId="0" fontId="17" fillId="0" borderId="0" xfId="0" applyFont="1" applyBorder="1" applyAlignment="1">
      <alignment horizontal="center"/>
    </xf>
    <xf numFmtId="2" fontId="17" fillId="0" borderId="0" xfId="0" applyNumberFormat="1" applyFont="1" applyFill="1" applyBorder="1" applyAlignment="1">
      <alignment horizontal="center"/>
    </xf>
    <xf numFmtId="0" fontId="17" fillId="0" borderId="0" xfId="0" applyFont="1" applyBorder="1"/>
    <xf numFmtId="2" fontId="17" fillId="0" borderId="0" xfId="0" applyNumberFormat="1" applyFont="1" applyBorder="1"/>
    <xf numFmtId="175" fontId="18" fillId="0" borderId="0" xfId="2" applyNumberFormat="1" applyFont="1" applyFill="1" applyBorder="1"/>
    <xf numFmtId="0" fontId="22" fillId="0" borderId="8" xfId="0" applyFont="1" applyBorder="1" applyAlignment="1">
      <alignment horizontal="center"/>
    </xf>
    <xf numFmtId="0" fontId="23" fillId="0" borderId="0" xfId="0" applyFont="1"/>
    <xf numFmtId="0" fontId="28" fillId="0" borderId="3" xfId="0" applyFont="1" applyFill="1" applyBorder="1"/>
    <xf numFmtId="0" fontId="28" fillId="0" borderId="3" xfId="0" applyFont="1" applyFill="1" applyBorder="1" applyAlignment="1">
      <alignment horizontal="left"/>
    </xf>
    <xf numFmtId="0" fontId="28" fillId="0" borderId="3" xfId="0" applyFont="1" applyFill="1" applyBorder="1" applyAlignment="1">
      <alignment horizontal="center"/>
    </xf>
    <xf numFmtId="2" fontId="28" fillId="0" borderId="3" xfId="0" applyNumberFormat="1" applyFont="1" applyFill="1" applyBorder="1" applyAlignment="1">
      <alignment horizontal="center"/>
    </xf>
    <xf numFmtId="2" fontId="15" fillId="0" borderId="3" xfId="0" applyNumberFormat="1" applyFont="1" applyFill="1" applyBorder="1" applyAlignment="1">
      <alignment horizontal="center" vertical="center"/>
    </xf>
    <xf numFmtId="2" fontId="17" fillId="9" borderId="10" xfId="0" applyNumberFormat="1" applyFont="1" applyFill="1" applyBorder="1" applyAlignment="1">
      <alignment horizontal="center"/>
    </xf>
    <xf numFmtId="2" fontId="0" fillId="0" borderId="0" xfId="0" applyNumberFormat="1"/>
    <xf numFmtId="0" fontId="22" fillId="0" borderId="31" xfId="0" applyFont="1" applyFill="1" applyBorder="1" applyAlignment="1">
      <alignment horizontal="left" vertical="center"/>
    </xf>
    <xf numFmtId="0" fontId="22" fillId="0" borderId="32" xfId="0" applyFont="1" applyFill="1" applyBorder="1"/>
    <xf numFmtId="0" fontId="22" fillId="0" borderId="32" xfId="0" applyFont="1" applyFill="1" applyBorder="1" applyAlignment="1">
      <alignment horizontal="center" vertical="center"/>
    </xf>
    <xf numFmtId="43" fontId="22" fillId="0" borderId="32" xfId="1" applyFont="1" applyFill="1" applyBorder="1"/>
    <xf numFmtId="43" fontId="22" fillId="0" borderId="33" xfId="1" applyFont="1" applyFill="1" applyBorder="1"/>
    <xf numFmtId="2" fontId="15" fillId="0" borderId="3" xfId="0" applyNumberFormat="1" applyFont="1" applyBorder="1" applyAlignment="1">
      <alignment horizontal="center" vertical="center"/>
    </xf>
    <xf numFmtId="0" fontId="19" fillId="0" borderId="8" xfId="0" applyFont="1" applyBorder="1" applyAlignment="1">
      <alignment horizontal="center"/>
    </xf>
    <xf numFmtId="0" fontId="19" fillId="0" borderId="12" xfId="0" applyFont="1" applyBorder="1" applyAlignment="1">
      <alignment horizontal="center"/>
    </xf>
    <xf numFmtId="0" fontId="19" fillId="0" borderId="11" xfId="0" applyFont="1" applyBorder="1"/>
    <xf numFmtId="0" fontId="19" fillId="0" borderId="14" xfId="0" applyFont="1" applyBorder="1"/>
    <xf numFmtId="0" fontId="19" fillId="0" borderId="14" xfId="0" applyFont="1" applyBorder="1" applyAlignment="1">
      <alignment horizontal="center"/>
    </xf>
    <xf numFmtId="0" fontId="19" fillId="0" borderId="8" xfId="0" applyFont="1" applyBorder="1"/>
    <xf numFmtId="0" fontId="19" fillId="0" borderId="1" xfId="0" applyFont="1" applyFill="1" applyBorder="1" applyAlignment="1">
      <alignment horizontal="center"/>
    </xf>
    <xf numFmtId="174" fontId="19" fillId="0" borderId="14" xfId="0" applyNumberFormat="1" applyFont="1" applyBorder="1" applyAlignment="1">
      <alignment vertical="top" wrapText="1"/>
    </xf>
    <xf numFmtId="0" fontId="19" fillId="0" borderId="0" xfId="0" applyFont="1" applyBorder="1"/>
    <xf numFmtId="0" fontId="19" fillId="0" borderId="6" xfId="0" applyFont="1" applyBorder="1" applyAlignment="1">
      <alignment horizontal="center"/>
    </xf>
    <xf numFmtId="0" fontId="19" fillId="0" borderId="1" xfId="0" applyFont="1" applyFill="1" applyBorder="1" applyAlignment="1">
      <alignment horizontal="right"/>
    </xf>
    <xf numFmtId="177" fontId="19" fillId="0" borderId="3" xfId="0" applyNumberFormat="1" applyFont="1" applyBorder="1" applyAlignment="1">
      <alignment horizontal="left" vertical="center" wrapText="1"/>
    </xf>
    <xf numFmtId="0" fontId="19" fillId="0" borderId="0" xfId="0" applyFont="1" applyBorder="1" applyAlignment="1">
      <alignment vertical="center"/>
    </xf>
    <xf numFmtId="0" fontId="19" fillId="0" borderId="3" xfId="0" applyFont="1" applyBorder="1" applyAlignment="1">
      <alignment vertical="center"/>
    </xf>
    <xf numFmtId="2" fontId="19" fillId="0" borderId="7" xfId="0" applyNumberFormat="1" applyFont="1" applyBorder="1" applyAlignment="1">
      <alignment horizontal="center" vertical="center"/>
    </xf>
    <xf numFmtId="2" fontId="19" fillId="0" borderId="3" xfId="0" applyNumberFormat="1" applyFont="1" applyBorder="1" applyAlignment="1">
      <alignment horizontal="center" vertical="center"/>
    </xf>
    <xf numFmtId="0" fontId="19" fillId="0" borderId="3" xfId="0" applyFont="1" applyBorder="1" applyAlignment="1">
      <alignment horizontal="left" vertical="center" wrapText="1"/>
    </xf>
    <xf numFmtId="0" fontId="19" fillId="0" borderId="3" xfId="0" applyFont="1" applyFill="1" applyBorder="1" applyAlignment="1">
      <alignment vertical="center"/>
    </xf>
    <xf numFmtId="0" fontId="19" fillId="0" borderId="3" xfId="0" applyFont="1" applyFill="1" applyBorder="1" applyAlignment="1">
      <alignment horizontal="center" vertical="center"/>
    </xf>
    <xf numFmtId="2" fontId="19" fillId="0" borderId="3" xfId="0" applyNumberFormat="1" applyFont="1" applyFill="1" applyBorder="1" applyAlignment="1">
      <alignment horizontal="center" vertical="center"/>
    </xf>
    <xf numFmtId="2" fontId="19" fillId="0" borderId="3" xfId="0" applyNumberFormat="1" applyFont="1" applyFill="1" applyBorder="1" applyAlignment="1">
      <alignment horizontal="right" vertical="center"/>
    </xf>
    <xf numFmtId="0" fontId="19" fillId="0" borderId="3" xfId="0" applyFont="1" applyBorder="1" applyAlignment="1">
      <alignment vertical="center" wrapText="1"/>
    </xf>
    <xf numFmtId="165" fontId="19" fillId="0" borderId="3" xfId="0" applyNumberFormat="1" applyFont="1" applyFill="1" applyBorder="1" applyAlignment="1">
      <alignment horizontal="center" vertical="center"/>
    </xf>
    <xf numFmtId="2" fontId="19" fillId="0" borderId="3" xfId="0" applyNumberFormat="1" applyFont="1" applyBorder="1" applyAlignment="1">
      <alignment vertical="center"/>
    </xf>
    <xf numFmtId="178" fontId="19" fillId="0" borderId="3" xfId="2" applyNumberFormat="1" applyFont="1" applyFill="1" applyBorder="1" applyAlignment="1">
      <alignment horizontal="left"/>
    </xf>
    <xf numFmtId="0" fontId="19" fillId="0" borderId="3" xfId="0" applyFont="1" applyBorder="1"/>
    <xf numFmtId="0" fontId="19" fillId="0" borderId="3" xfId="0" applyFont="1" applyBorder="1" applyAlignment="1">
      <alignment vertical="top" wrapText="1"/>
    </xf>
    <xf numFmtId="2" fontId="19" fillId="0" borderId="3" xfId="0" applyNumberFormat="1" applyFont="1" applyBorder="1" applyAlignment="1">
      <alignment horizontal="center" vertical="top"/>
    </xf>
    <xf numFmtId="0" fontId="19" fillId="0" borderId="3" xfId="0" applyFont="1" applyFill="1" applyBorder="1" applyAlignment="1">
      <alignment horizontal="center" vertical="top"/>
    </xf>
    <xf numFmtId="2" fontId="19" fillId="0" borderId="3" xfId="0" applyNumberFormat="1" applyFont="1" applyBorder="1" applyAlignment="1">
      <alignment vertical="top"/>
    </xf>
    <xf numFmtId="179" fontId="19" fillId="0" borderId="3" xfId="2" applyNumberFormat="1" applyFont="1" applyFill="1" applyBorder="1" applyAlignment="1">
      <alignment horizontal="left"/>
    </xf>
    <xf numFmtId="0" fontId="19" fillId="0" borderId="3" xfId="0" applyFont="1" applyFill="1" applyBorder="1" applyAlignment="1">
      <alignment horizontal="left" vertical="center" wrapText="1"/>
    </xf>
    <xf numFmtId="2" fontId="19" fillId="0" borderId="3" xfId="0" applyNumberFormat="1" applyFont="1" applyFill="1" applyBorder="1" applyAlignment="1">
      <alignment horizontal="center" vertical="center" wrapText="1"/>
    </xf>
    <xf numFmtId="165" fontId="19"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right" vertical="center" wrapText="1"/>
    </xf>
    <xf numFmtId="2" fontId="19" fillId="0" borderId="3" xfId="0" applyNumberFormat="1" applyFont="1" applyBorder="1" applyAlignment="1">
      <alignment vertical="center" wrapText="1"/>
    </xf>
    <xf numFmtId="180" fontId="19" fillId="0" borderId="3" xfId="2" applyNumberFormat="1" applyFont="1" applyFill="1" applyBorder="1" applyAlignment="1">
      <alignment horizontal="left"/>
    </xf>
    <xf numFmtId="0" fontId="19" fillId="0" borderId="3" xfId="0" applyFont="1" applyFill="1" applyBorder="1" applyAlignment="1">
      <alignment vertical="center" wrapText="1"/>
    </xf>
    <xf numFmtId="2" fontId="19" fillId="0" borderId="3" xfId="0" applyNumberFormat="1" applyFont="1" applyFill="1" applyBorder="1" applyAlignment="1">
      <alignment vertical="center" wrapText="1"/>
    </xf>
    <xf numFmtId="0" fontId="19" fillId="0" borderId="3" xfId="0" applyFont="1" applyFill="1" applyBorder="1" applyAlignment="1">
      <alignment horizontal="center" vertical="center" wrapText="1"/>
    </xf>
    <xf numFmtId="0" fontId="14" fillId="0" borderId="0" xfId="0" applyFont="1" applyAlignment="1">
      <alignment vertical="center"/>
    </xf>
    <xf numFmtId="0" fontId="14" fillId="0" borderId="4" xfId="0" applyFont="1" applyBorder="1" applyAlignment="1">
      <alignment vertical="center"/>
    </xf>
    <xf numFmtId="0" fontId="19" fillId="0" borderId="4" xfId="0" applyFont="1" applyBorder="1" applyAlignment="1">
      <alignment vertical="center"/>
    </xf>
    <xf numFmtId="0" fontId="19" fillId="0" borderId="4" xfId="0" applyFont="1" applyFill="1" applyBorder="1" applyAlignment="1">
      <alignment vertical="center"/>
    </xf>
    <xf numFmtId="165" fontId="19" fillId="0" borderId="3" xfId="0" applyNumberFormat="1" applyFont="1" applyBorder="1" applyAlignment="1">
      <alignment horizontal="center" vertical="top"/>
    </xf>
    <xf numFmtId="0" fontId="19" fillId="0" borderId="4" xfId="0" applyFont="1" applyBorder="1" applyAlignment="1">
      <alignment horizontal="right"/>
    </xf>
    <xf numFmtId="0" fontId="19" fillId="0" borderId="2" xfId="0" applyFont="1" applyBorder="1" applyAlignment="1">
      <alignment horizontal="left"/>
    </xf>
    <xf numFmtId="0" fontId="19" fillId="0" borderId="0" xfId="0" applyFont="1" applyBorder="1" applyAlignment="1">
      <alignment horizontal="left"/>
    </xf>
    <xf numFmtId="0" fontId="19" fillId="0" borderId="0" xfId="0" applyFont="1" applyBorder="1" applyAlignment="1">
      <alignment horizontal="center"/>
    </xf>
    <xf numFmtId="2" fontId="19" fillId="0" borderId="7" xfId="0" applyNumberFormat="1" applyFont="1" applyBorder="1" applyAlignment="1">
      <alignment horizontal="center"/>
    </xf>
    <xf numFmtId="0" fontId="19" fillId="0" borderId="5" xfId="0" applyFont="1" applyBorder="1"/>
    <xf numFmtId="0" fontId="19" fillId="0" borderId="5" xfId="0" applyFont="1" applyBorder="1" applyAlignment="1">
      <alignment horizontal="center"/>
    </xf>
    <xf numFmtId="165" fontId="19" fillId="0" borderId="5" xfId="0" applyNumberFormat="1" applyFont="1" applyBorder="1" applyAlignment="1">
      <alignment horizontal="center"/>
    </xf>
    <xf numFmtId="0" fontId="19" fillId="0" borderId="2" xfId="0" applyFont="1" applyBorder="1"/>
    <xf numFmtId="2" fontId="19" fillId="0" borderId="6" xfId="0" applyNumberFormat="1" applyFont="1" applyBorder="1"/>
    <xf numFmtId="0" fontId="19" fillId="0" borderId="1" xfId="0" applyFont="1" applyBorder="1" applyAlignment="1">
      <alignment horizontal="right"/>
    </xf>
    <xf numFmtId="0" fontId="14" fillId="0" borderId="5" xfId="0" applyFont="1" applyBorder="1"/>
    <xf numFmtId="0" fontId="19" fillId="0" borderId="6" xfId="0" applyFont="1" applyBorder="1"/>
    <xf numFmtId="0" fontId="14" fillId="0" borderId="0" xfId="0" applyFont="1" applyBorder="1"/>
    <xf numFmtId="0" fontId="19" fillId="0" borderId="1" xfId="0" applyFont="1" applyBorder="1"/>
    <xf numFmtId="165" fontId="19" fillId="0" borderId="0" xfId="0" applyNumberFormat="1" applyFont="1" applyBorder="1" applyAlignment="1">
      <alignment horizontal="center"/>
    </xf>
    <xf numFmtId="0" fontId="19" fillId="0" borderId="7" xfId="0" applyFont="1" applyBorder="1"/>
    <xf numFmtId="0" fontId="19" fillId="0" borderId="18" xfId="0" applyFont="1" applyFill="1" applyBorder="1" applyAlignment="1">
      <alignment horizontal="right"/>
    </xf>
    <xf numFmtId="0" fontId="19" fillId="0" borderId="12" xfId="0" applyFont="1" applyBorder="1" applyAlignment="1">
      <alignment horizontal="right"/>
    </xf>
    <xf numFmtId="0" fontId="18" fillId="0" borderId="10" xfId="0" applyFont="1" applyBorder="1" applyAlignment="1">
      <alignment horizontal="center"/>
    </xf>
    <xf numFmtId="2" fontId="18" fillId="0" borderId="10" xfId="0" applyNumberFormat="1" applyFont="1" applyFill="1" applyBorder="1" applyAlignment="1">
      <alignment horizontal="center"/>
    </xf>
    <xf numFmtId="0" fontId="18" fillId="0" borderId="12" xfId="0" applyFont="1" applyBorder="1"/>
    <xf numFmtId="2" fontId="18" fillId="0" borderId="10" xfId="0" applyNumberFormat="1" applyFont="1" applyBorder="1"/>
    <xf numFmtId="0" fontId="14" fillId="0" borderId="11" xfId="0" applyFont="1" applyBorder="1"/>
    <xf numFmtId="181" fontId="18" fillId="0" borderId="0" xfId="2" applyNumberFormat="1" applyFont="1" applyFill="1" applyBorder="1"/>
    <xf numFmtId="181" fontId="18" fillId="0" borderId="7" xfId="2" applyNumberFormat="1" applyFont="1" applyFill="1" applyBorder="1"/>
    <xf numFmtId="0" fontId="14" fillId="0" borderId="12" xfId="0" applyFont="1" applyBorder="1"/>
    <xf numFmtId="0" fontId="18" fillId="0" borderId="8" xfId="0" applyFont="1" applyBorder="1" applyAlignment="1">
      <alignment horizontal="center"/>
    </xf>
    <xf numFmtId="43" fontId="18" fillId="0" borderId="8" xfId="1" applyFont="1" applyBorder="1" applyAlignment="1">
      <alignment horizontal="center"/>
    </xf>
    <xf numFmtId="0" fontId="18" fillId="0" borderId="8" xfId="0" applyFont="1" applyBorder="1"/>
    <xf numFmtId="0" fontId="16" fillId="0" borderId="8" xfId="0" applyFont="1" applyBorder="1"/>
    <xf numFmtId="0" fontId="14" fillId="0" borderId="18" xfId="0" applyFont="1" applyBorder="1"/>
    <xf numFmtId="182" fontId="18" fillId="0" borderId="13" xfId="2" applyNumberFormat="1" applyFont="1" applyFill="1" applyBorder="1"/>
    <xf numFmtId="182" fontId="18" fillId="0" borderId="9" xfId="2" applyNumberFormat="1" applyFont="1" applyFill="1" applyBorder="1"/>
    <xf numFmtId="2" fontId="19" fillId="6" borderId="3" xfId="0" applyNumberFormat="1" applyFont="1" applyFill="1" applyBorder="1" applyAlignment="1">
      <alignment horizontal="right" vertical="center" wrapText="1"/>
    </xf>
    <xf numFmtId="165" fontId="15" fillId="0" borderId="3" xfId="0" applyNumberFormat="1" applyFont="1" applyBorder="1"/>
    <xf numFmtId="2" fontId="15" fillId="0" borderId="3" xfId="0" applyNumberFormat="1" applyFont="1" applyBorder="1"/>
    <xf numFmtId="0" fontId="15" fillId="0" borderId="4" xfId="0" applyFont="1" applyBorder="1"/>
    <xf numFmtId="2" fontId="15" fillId="0" borderId="9" xfId="0" applyNumberFormat="1" applyFont="1" applyBorder="1" applyAlignment="1">
      <alignment horizontal="center"/>
    </xf>
    <xf numFmtId="2" fontId="15" fillId="0" borderId="4" xfId="0" applyNumberFormat="1" applyFont="1" applyBorder="1" applyAlignment="1">
      <alignment horizontal="center"/>
    </xf>
    <xf numFmtId="0" fontId="15" fillId="0" borderId="4" xfId="0" applyFont="1" applyFill="1" applyBorder="1"/>
    <xf numFmtId="183" fontId="18" fillId="0" borderId="13" xfId="2" applyNumberFormat="1" applyFont="1" applyFill="1" applyBorder="1"/>
    <xf numFmtId="183" fontId="18" fillId="0" borderId="9" xfId="2" applyNumberFormat="1" applyFont="1" applyFill="1" applyBorder="1"/>
    <xf numFmtId="0" fontId="15" fillId="0" borderId="13" xfId="0" applyFont="1" applyBorder="1"/>
    <xf numFmtId="165" fontId="15" fillId="0" borderId="4" xfId="0" applyNumberFormat="1" applyFont="1" applyBorder="1"/>
    <xf numFmtId="0" fontId="15" fillId="0" borderId="0" xfId="0" applyFont="1" applyFill="1" applyBorder="1"/>
    <xf numFmtId="2" fontId="15" fillId="0" borderId="0" xfId="0" applyNumberFormat="1" applyFont="1" applyBorder="1"/>
    <xf numFmtId="2" fontId="0" fillId="0" borderId="0" xfId="0" applyNumberFormat="1" applyBorder="1"/>
    <xf numFmtId="2" fontId="16" fillId="0" borderId="0" xfId="0" applyNumberFormat="1" applyFont="1" applyBorder="1"/>
    <xf numFmtId="165" fontId="15" fillId="0" borderId="3" xfId="0" applyNumberFormat="1" applyFont="1" applyBorder="1" applyAlignment="1">
      <alignment horizontal="center"/>
    </xf>
    <xf numFmtId="43" fontId="1" fillId="0" borderId="6" xfId="1" applyFont="1" applyBorder="1" applyAlignment="1">
      <alignment horizontal="center"/>
    </xf>
    <xf numFmtId="43" fontId="1" fillId="0" borderId="7" xfId="1" applyFont="1" applyBorder="1" applyAlignment="1">
      <alignment horizontal="center"/>
    </xf>
    <xf numFmtId="43" fontId="3" fillId="0" borderId="7" xfId="1" applyFont="1" applyFill="1" applyBorder="1" applyAlignment="1">
      <alignment horizontal="center"/>
    </xf>
    <xf numFmtId="0" fontId="1" fillId="0" borderId="18" xfId="0" applyFont="1" applyBorder="1" applyAlignment="1">
      <alignment horizontal="right"/>
    </xf>
    <xf numFmtId="0" fontId="1" fillId="0" borderId="13" xfId="0" applyFont="1" applyBorder="1"/>
    <xf numFmtId="0" fontId="3" fillId="0" borderId="13" xfId="0" applyFont="1" applyBorder="1" applyAlignment="1">
      <alignment horizontal="center"/>
    </xf>
    <xf numFmtId="43" fontId="3" fillId="9" borderId="9" xfId="1" applyFont="1" applyFill="1" applyBorder="1" applyAlignment="1">
      <alignment horizontal="center"/>
    </xf>
    <xf numFmtId="184" fontId="17" fillId="0" borderId="13" xfId="2" applyNumberFormat="1" applyFont="1" applyFill="1" applyBorder="1"/>
    <xf numFmtId="184" fontId="17" fillId="0" borderId="9" xfId="2" applyNumberFormat="1" applyFont="1" applyFill="1" applyBorder="1"/>
    <xf numFmtId="0" fontId="13" fillId="0" borderId="0" xfId="0" applyFont="1" applyFill="1"/>
    <xf numFmtId="0" fontId="1" fillId="0" borderId="4" xfId="0" applyFont="1" applyFill="1" applyBorder="1" applyAlignment="1">
      <alignment horizontal="right"/>
    </xf>
    <xf numFmtId="43" fontId="3" fillId="9" borderId="13" xfId="1" applyFont="1" applyFill="1" applyBorder="1" applyAlignment="1">
      <alignment horizontal="center"/>
    </xf>
    <xf numFmtId="0" fontId="1" fillId="0" borderId="14" xfId="0" applyFont="1" applyBorder="1"/>
    <xf numFmtId="0" fontId="1" fillId="0" borderId="12" xfId="0" applyFont="1" applyBorder="1" applyAlignment="1">
      <alignment horizontal="right"/>
    </xf>
    <xf numFmtId="0" fontId="1" fillId="0" borderId="10" xfId="0" applyFont="1" applyBorder="1"/>
    <xf numFmtId="0" fontId="1" fillId="0" borderId="10" xfId="0" applyFont="1" applyBorder="1" applyAlignment="1">
      <alignment horizontal="center"/>
    </xf>
    <xf numFmtId="43" fontId="1" fillId="0" borderId="11" xfId="1" applyFont="1" applyBorder="1" applyAlignment="1">
      <alignment horizontal="center"/>
    </xf>
    <xf numFmtId="0" fontId="1" fillId="0" borderId="13" xfId="0" applyFont="1" applyBorder="1" applyAlignment="1">
      <alignment horizontal="center"/>
    </xf>
    <xf numFmtId="43" fontId="1" fillId="0" borderId="13" xfId="1" applyFont="1" applyBorder="1" applyAlignment="1">
      <alignment horizontal="center"/>
    </xf>
    <xf numFmtId="0" fontId="1" fillId="0" borderId="8" xfId="0" applyFont="1" applyFill="1" applyBorder="1" applyAlignment="1">
      <alignment horizontal="right"/>
    </xf>
    <xf numFmtId="0" fontId="3" fillId="0" borderId="10" xfId="0" applyFont="1" applyBorder="1" applyAlignment="1">
      <alignment horizontal="center"/>
    </xf>
    <xf numFmtId="43" fontId="3" fillId="9" borderId="10" xfId="1" applyFont="1" applyFill="1" applyBorder="1" applyAlignment="1">
      <alignment horizontal="center"/>
    </xf>
    <xf numFmtId="0" fontId="17" fillId="0" borderId="8" xfId="0" applyFont="1" applyBorder="1"/>
    <xf numFmtId="2" fontId="15" fillId="6" borderId="3" xfId="0" applyNumberFormat="1" applyFont="1" applyFill="1" applyBorder="1" applyAlignment="1">
      <alignment horizontal="center"/>
    </xf>
    <xf numFmtId="2" fontId="15" fillId="6" borderId="14" xfId="0" applyNumberFormat="1" applyFont="1" applyFill="1" applyBorder="1"/>
    <xf numFmtId="165" fontId="15" fillId="0" borderId="14" xfId="0" applyNumberFormat="1" applyFont="1" applyBorder="1" applyAlignment="1">
      <alignment horizontal="center"/>
    </xf>
    <xf numFmtId="0" fontId="15" fillId="0" borderId="14" xfId="0" applyFont="1" applyBorder="1" applyAlignment="1">
      <alignment vertical="center" wrapText="1"/>
    </xf>
    <xf numFmtId="165" fontId="15" fillId="0" borderId="14" xfId="0" applyNumberFormat="1" applyFont="1" applyBorder="1"/>
    <xf numFmtId="2" fontId="15" fillId="0" borderId="14" xfId="0" applyNumberFormat="1" applyFont="1" applyBorder="1"/>
    <xf numFmtId="2" fontId="15" fillId="6" borderId="3" xfId="0" applyNumberFormat="1" applyFont="1" applyFill="1" applyBorder="1"/>
    <xf numFmtId="0" fontId="15" fillId="0" borderId="3" xfId="0" applyFont="1" applyBorder="1" applyAlignment="1">
      <alignment vertical="center" wrapText="1"/>
    </xf>
    <xf numFmtId="1" fontId="29" fillId="6" borderId="3" xfId="0" applyNumberFormat="1" applyFont="1" applyFill="1" applyBorder="1"/>
    <xf numFmtId="165" fontId="29" fillId="0" borderId="3" xfId="0" applyNumberFormat="1" applyFont="1" applyFill="1" applyBorder="1" applyAlignment="1">
      <alignment horizontal="center"/>
    </xf>
    <xf numFmtId="1" fontId="15" fillId="6" borderId="3" xfId="0" applyNumberFormat="1" applyFont="1" applyFill="1" applyBorder="1"/>
    <xf numFmtId="2" fontId="15" fillId="6" borderId="4" xfId="0" applyNumberFormat="1" applyFont="1" applyFill="1" applyBorder="1" applyAlignment="1">
      <alignment horizontal="center"/>
    </xf>
    <xf numFmtId="0" fontId="15" fillId="0" borderId="4" xfId="0" applyFont="1" applyFill="1" applyBorder="1" applyAlignment="1">
      <alignment horizontal="center" vertical="top" wrapText="1"/>
    </xf>
    <xf numFmtId="0" fontId="15" fillId="0" borderId="1" xfId="0" applyFont="1" applyBorder="1" applyAlignment="1">
      <alignment horizontal="left"/>
    </xf>
    <xf numFmtId="2" fontId="15" fillId="0" borderId="5" xfId="0" applyNumberFormat="1" applyFont="1" applyBorder="1" applyAlignment="1">
      <alignment horizontal="center"/>
    </xf>
    <xf numFmtId="0" fontId="15" fillId="0" borderId="2" xfId="0" applyFont="1" applyBorder="1" applyAlignment="1">
      <alignment horizontal="right"/>
    </xf>
    <xf numFmtId="0" fontId="15" fillId="0" borderId="5" xfId="0" applyFont="1" applyBorder="1" applyAlignment="1">
      <alignment horizontal="right"/>
    </xf>
    <xf numFmtId="0" fontId="15" fillId="0" borderId="18" xfId="0" applyFont="1" applyBorder="1" applyAlignment="1">
      <alignment horizontal="right"/>
    </xf>
    <xf numFmtId="0" fontId="15" fillId="0" borderId="13" xfId="0" applyFont="1" applyBorder="1" applyAlignment="1">
      <alignment horizontal="right"/>
    </xf>
    <xf numFmtId="0" fontId="15" fillId="0" borderId="10" xfId="0" applyFont="1" applyBorder="1" applyAlignment="1">
      <alignment horizontal="right"/>
    </xf>
    <xf numFmtId="2" fontId="15" fillId="0" borderId="1" xfId="0" applyNumberFormat="1" applyFont="1" applyFill="1" applyBorder="1"/>
    <xf numFmtId="165" fontId="15" fillId="0" borderId="1" xfId="0" applyNumberFormat="1" applyFont="1" applyBorder="1" applyAlignment="1">
      <alignment horizontal="center"/>
    </xf>
    <xf numFmtId="0" fontId="15" fillId="0" borderId="1" xfId="0" applyFont="1" applyFill="1" applyBorder="1"/>
    <xf numFmtId="165" fontId="29" fillId="0" borderId="1" xfId="0" applyNumberFormat="1" applyFont="1" applyFill="1" applyBorder="1" applyAlignment="1">
      <alignment horizontal="center"/>
    </xf>
    <xf numFmtId="2" fontId="15" fillId="0" borderId="3" xfId="0" applyNumberFormat="1" applyFont="1" applyFill="1" applyBorder="1"/>
    <xf numFmtId="2" fontId="17" fillId="6" borderId="10" xfId="0" applyNumberFormat="1" applyFont="1" applyFill="1" applyBorder="1" applyAlignment="1">
      <alignment horizontal="center"/>
    </xf>
    <xf numFmtId="185" fontId="18" fillId="0" borderId="13" xfId="2" applyNumberFormat="1" applyFont="1" applyFill="1" applyBorder="1"/>
    <xf numFmtId="185" fontId="18" fillId="0" borderId="9" xfId="2" applyNumberFormat="1" applyFont="1" applyFill="1" applyBorder="1"/>
    <xf numFmtId="43" fontId="18" fillId="0" borderId="8" xfId="0" applyNumberFormat="1" applyFont="1" applyBorder="1" applyAlignment="1">
      <alignment horizontal="right"/>
    </xf>
    <xf numFmtId="0" fontId="21" fillId="0" borderId="14" xfId="0" applyFont="1" applyBorder="1" applyAlignment="1">
      <alignment horizontal="center" vertical="center"/>
    </xf>
    <xf numFmtId="43" fontId="21" fillId="0" borderId="14" xfId="0" applyNumberFormat="1" applyFont="1" applyBorder="1" applyAlignment="1">
      <alignment horizontal="center" vertical="center"/>
    </xf>
    <xf numFmtId="10" fontId="21" fillId="0" borderId="14" xfId="0" applyNumberFormat="1" applyFont="1" applyBorder="1" applyAlignment="1">
      <alignment vertical="center"/>
    </xf>
    <xf numFmtId="10" fontId="21" fillId="0" borderId="14" xfId="0" applyNumberFormat="1" applyFont="1" applyBorder="1" applyAlignment="1">
      <alignment horizontal="center" vertical="center"/>
    </xf>
    <xf numFmtId="0" fontId="21" fillId="0" borderId="9" xfId="0" applyFont="1" applyBorder="1"/>
    <xf numFmtId="0" fontId="21" fillId="0" borderId="4" xfId="0" applyFont="1" applyBorder="1"/>
    <xf numFmtId="0" fontId="21" fillId="0" borderId="4" xfId="0" applyFont="1" applyBorder="1" applyAlignment="1">
      <alignment wrapText="1"/>
    </xf>
    <xf numFmtId="0" fontId="21" fillId="0" borderId="14" xfId="0" applyFont="1" applyBorder="1" applyAlignment="1">
      <alignment horizontal="center" vertical="center" wrapText="1"/>
    </xf>
    <xf numFmtId="0" fontId="21" fillId="9" borderId="8" xfId="0" applyFont="1" applyFill="1" applyBorder="1" applyAlignment="1">
      <alignment wrapText="1"/>
    </xf>
    <xf numFmtId="0" fontId="21" fillId="9" borderId="14" xfId="0" applyFont="1" applyFill="1" applyBorder="1" applyAlignment="1">
      <alignment wrapText="1"/>
    </xf>
    <xf numFmtId="165" fontId="19" fillId="0" borderId="6" xfId="0" applyNumberFormat="1" applyFont="1" applyBorder="1" applyAlignment="1">
      <alignment horizontal="center"/>
    </xf>
    <xf numFmtId="10" fontId="21" fillId="2" borderId="8" xfId="3" applyNumberFormat="1" applyFont="1" applyFill="1" applyBorder="1" applyAlignment="1">
      <alignment horizontal="right" vertical="center" indent="1"/>
    </xf>
    <xf numFmtId="0" fontId="21" fillId="2" borderId="8" xfId="0" applyFont="1" applyFill="1" applyBorder="1" applyAlignment="1">
      <alignment horizontal="right"/>
    </xf>
    <xf numFmtId="43" fontId="14" fillId="0" borderId="0" xfId="0" applyNumberFormat="1" applyFont="1"/>
    <xf numFmtId="43" fontId="22" fillId="0" borderId="20" xfId="1" applyNumberFormat="1" applyFont="1" applyFill="1" applyBorder="1"/>
    <xf numFmtId="0" fontId="21" fillId="0" borderId="13" xfId="0" applyFont="1" applyBorder="1" applyAlignment="1">
      <alignment horizontal="left" vertical="top"/>
    </xf>
    <xf numFmtId="0" fontId="21" fillId="0" borderId="9" xfId="0" applyFont="1" applyBorder="1" applyAlignment="1">
      <alignment horizontal="left" vertical="top"/>
    </xf>
    <xf numFmtId="186" fontId="15" fillId="0" borderId="6" xfId="0" applyNumberFormat="1" applyFont="1" applyBorder="1" applyAlignment="1">
      <alignment horizontal="center"/>
    </xf>
    <xf numFmtId="43" fontId="1" fillId="0" borderId="7" xfId="0" applyNumberFormat="1" applyFont="1" applyBorder="1"/>
    <xf numFmtId="0" fontId="1" fillId="0" borderId="0" xfId="0" applyFont="1" applyBorder="1" applyAlignment="1">
      <alignment horizontal="left"/>
    </xf>
    <xf numFmtId="0" fontId="15" fillId="0" borderId="8" xfId="0" applyFont="1" applyBorder="1" applyAlignment="1">
      <alignment horizontal="center"/>
    </xf>
    <xf numFmtId="0" fontId="15" fillId="0" borderId="12" xfId="0" applyFont="1" applyBorder="1" applyAlignment="1">
      <alignment horizontal="center"/>
    </xf>
    <xf numFmtId="0" fontId="15" fillId="0" borderId="3" xfId="0" applyFont="1" applyFill="1" applyBorder="1" applyAlignment="1">
      <alignment horizontal="center" vertical="top" wrapText="1"/>
    </xf>
    <xf numFmtId="0" fontId="15" fillId="0" borderId="0" xfId="0" applyFont="1" applyBorder="1" applyAlignment="1">
      <alignment horizontal="left"/>
    </xf>
    <xf numFmtId="0" fontId="30" fillId="0" borderId="0" xfId="0" applyFont="1"/>
    <xf numFmtId="0" fontId="19" fillId="0" borderId="0" xfId="0" applyFont="1"/>
    <xf numFmtId="0" fontId="31" fillId="0" borderId="0" xfId="0" applyFont="1"/>
    <xf numFmtId="2" fontId="30" fillId="0" borderId="0" xfId="0" applyNumberFormat="1" applyFont="1"/>
    <xf numFmtId="0" fontId="19" fillId="0" borderId="0" xfId="0" applyFont="1" applyBorder="1" applyAlignment="1">
      <alignment horizontal="centerContinuous"/>
    </xf>
    <xf numFmtId="0" fontId="30" fillId="0" borderId="0" xfId="0" applyFont="1" applyBorder="1" applyAlignment="1">
      <alignment horizontal="centerContinuous"/>
    </xf>
    <xf numFmtId="0" fontId="19" fillId="0" borderId="4" xfId="0" applyFont="1" applyBorder="1"/>
    <xf numFmtId="0" fontId="30" fillId="0" borderId="4" xfId="0" applyFont="1" applyBorder="1"/>
    <xf numFmtId="0" fontId="19" fillId="0" borderId="0" xfId="0" applyFont="1" applyFill="1" applyBorder="1" applyAlignment="1">
      <alignment horizontal="center"/>
    </xf>
    <xf numFmtId="2" fontId="30" fillId="0" borderId="0" xfId="0" applyNumberFormat="1" applyFont="1" applyBorder="1"/>
    <xf numFmtId="165" fontId="30" fillId="0" borderId="0" xfId="0" applyNumberFormat="1" applyFont="1" applyBorder="1"/>
    <xf numFmtId="0" fontId="30" fillId="0" borderId="0" xfId="0" applyFont="1" applyBorder="1"/>
    <xf numFmtId="2" fontId="18" fillId="0" borderId="0" xfId="0" applyNumberFormat="1" applyFont="1" applyBorder="1"/>
    <xf numFmtId="0" fontId="32" fillId="2" borderId="10" xfId="0" applyFont="1" applyFill="1" applyBorder="1" applyAlignment="1">
      <alignment horizontal="right"/>
    </xf>
    <xf numFmtId="10" fontId="32" fillId="2" borderId="10" xfId="3" applyNumberFormat="1" applyFont="1" applyFill="1" applyBorder="1" applyAlignment="1">
      <alignment horizontal="right" vertical="center" indent="1"/>
    </xf>
    <xf numFmtId="0" fontId="1" fillId="0" borderId="0" xfId="0" applyFont="1" applyBorder="1" applyAlignment="1">
      <alignment horizontal="left"/>
    </xf>
    <xf numFmtId="0" fontId="1" fillId="0" borderId="0" xfId="0" applyFont="1" applyFill="1" applyBorder="1" applyAlignment="1">
      <alignment horizontal="left"/>
    </xf>
    <xf numFmtId="0" fontId="1" fillId="0" borderId="3" xfId="0" applyFont="1" applyFill="1" applyBorder="1" applyAlignment="1">
      <alignment horizontal="center" vertical="center"/>
    </xf>
    <xf numFmtId="0" fontId="1" fillId="2" borderId="8" xfId="0" applyFont="1" applyFill="1" applyBorder="1" applyAlignment="1">
      <alignment horizontal="center"/>
    </xf>
    <xf numFmtId="0" fontId="0" fillId="0" borderId="0" xfId="0" applyAlignment="1">
      <alignment wrapText="1"/>
    </xf>
    <xf numFmtId="0" fontId="15" fillId="2" borderId="11" xfId="0" applyFont="1" applyFill="1" applyBorder="1"/>
    <xf numFmtId="0" fontId="15" fillId="2" borderId="8" xfId="0" applyFont="1" applyFill="1" applyBorder="1"/>
    <xf numFmtId="0" fontId="15" fillId="2" borderId="8" xfId="0" applyFont="1" applyFill="1" applyBorder="1" applyAlignment="1">
      <alignment horizontal="center"/>
    </xf>
    <xf numFmtId="0" fontId="15" fillId="2" borderId="12" xfId="0" applyFont="1" applyFill="1" applyBorder="1" applyAlignment="1">
      <alignment horizontal="center"/>
    </xf>
    <xf numFmtId="0" fontId="1" fillId="0" borderId="3" xfId="0" applyFont="1" applyFill="1" applyBorder="1" applyAlignment="1">
      <alignment horizontal="left"/>
    </xf>
    <xf numFmtId="43" fontId="21" fillId="0" borderId="8" xfId="0" applyNumberFormat="1" applyFont="1" applyBorder="1"/>
    <xf numFmtId="10" fontId="21" fillId="0" borderId="8" xfId="0" applyNumberFormat="1" applyFont="1" applyBorder="1"/>
    <xf numFmtId="0" fontId="15" fillId="2" borderId="14" xfId="0" applyFont="1" applyFill="1" applyBorder="1"/>
    <xf numFmtId="0" fontId="15" fillId="2" borderId="14" xfId="0" applyFont="1" applyFill="1" applyBorder="1" applyAlignment="1">
      <alignment horizontal="center"/>
    </xf>
    <xf numFmtId="165" fontId="15" fillId="0" borderId="6" xfId="0" applyNumberFormat="1" applyFont="1" applyBorder="1" applyAlignment="1">
      <alignment horizontal="center"/>
    </xf>
    <xf numFmtId="165" fontId="15" fillId="0" borderId="7" xfId="0" applyNumberFormat="1" applyFont="1" applyBorder="1" applyAlignment="1">
      <alignment horizontal="center"/>
    </xf>
    <xf numFmtId="0" fontId="33" fillId="0" borderId="0" xfId="0" applyFont="1"/>
    <xf numFmtId="0" fontId="34" fillId="0" borderId="0" xfId="0" applyFont="1"/>
    <xf numFmtId="0" fontId="33" fillId="6" borderId="0" xfId="0" applyFont="1" applyFill="1"/>
    <xf numFmtId="0" fontId="1" fillId="0" borderId="0" xfId="0" applyFont="1" applyFill="1" applyBorder="1" applyAlignment="1">
      <alignment horizontal="left"/>
    </xf>
    <xf numFmtId="0" fontId="21" fillId="9" borderId="8" xfId="0" applyFont="1" applyFill="1" applyBorder="1" applyAlignment="1">
      <alignment horizontal="left" vertical="top" wrapText="1"/>
    </xf>
    <xf numFmtId="0" fontId="1" fillId="0" borderId="0" xfId="0" applyFont="1" applyBorder="1" applyAlignment="1">
      <alignment horizontal="left"/>
    </xf>
    <xf numFmtId="9" fontId="22" fillId="0" borderId="0" xfId="3" applyFont="1"/>
    <xf numFmtId="43" fontId="0" fillId="0" borderId="8" xfId="0" applyNumberFormat="1" applyBorder="1"/>
    <xf numFmtId="43" fontId="35" fillId="6" borderId="8" xfId="1" applyFont="1" applyFill="1" applyBorder="1"/>
    <xf numFmtId="0" fontId="22" fillId="6" borderId="8" xfId="0" applyFont="1" applyFill="1" applyBorder="1"/>
    <xf numFmtId="0" fontId="22" fillId="6" borderId="0" xfId="0" applyFont="1" applyFill="1"/>
    <xf numFmtId="43" fontId="22" fillId="6" borderId="0" xfId="0" applyNumberFormat="1" applyFont="1" applyFill="1"/>
    <xf numFmtId="43" fontId="21" fillId="12" borderId="8" xfId="0" applyNumberFormat="1" applyFont="1" applyFill="1" applyBorder="1" applyAlignment="1">
      <alignment horizontal="center" vertical="center"/>
    </xf>
    <xf numFmtId="0" fontId="21" fillId="12" borderId="8" xfId="0" applyFont="1" applyFill="1" applyBorder="1"/>
    <xf numFmtId="0" fontId="21" fillId="12" borderId="0" xfId="0" applyFont="1" applyFill="1"/>
    <xf numFmtId="43" fontId="21" fillId="12" borderId="14" xfId="0" applyNumberFormat="1" applyFont="1" applyFill="1" applyBorder="1" applyAlignment="1">
      <alignment horizontal="center" vertical="center"/>
    </xf>
    <xf numFmtId="0" fontId="21" fillId="12" borderId="9" xfId="0" applyFont="1" applyFill="1" applyBorder="1"/>
    <xf numFmtId="43" fontId="21" fillId="12" borderId="8" xfId="0" applyNumberFormat="1" applyFont="1" applyFill="1" applyBorder="1" applyAlignment="1">
      <alignment horizontal="center" vertical="center" wrapText="1"/>
    </xf>
    <xf numFmtId="0" fontId="1" fillId="0" borderId="0" xfId="0" applyFont="1" applyBorder="1" applyAlignment="1">
      <alignment horizontal="left"/>
    </xf>
    <xf numFmtId="0" fontId="1" fillId="0" borderId="0" xfId="0" applyFont="1" applyBorder="1" applyAlignment="1">
      <alignment horizontal="left"/>
    </xf>
    <xf numFmtId="166" fontId="21" fillId="0" borderId="0" xfId="0" applyNumberFormat="1" applyFont="1"/>
    <xf numFmtId="0" fontId="36" fillId="0" borderId="0" xfId="0" applyFont="1"/>
    <xf numFmtId="43" fontId="36" fillId="0" borderId="0" xfId="0" applyNumberFormat="1" applyFont="1"/>
    <xf numFmtId="0" fontId="37" fillId="4" borderId="8" xfId="0" applyFont="1" applyFill="1" applyBorder="1"/>
    <xf numFmtId="0" fontId="21" fillId="0" borderId="8" xfId="0" applyFont="1" applyFill="1" applyBorder="1" applyAlignment="1">
      <alignment horizontal="justify" vertical="top"/>
    </xf>
    <xf numFmtId="0" fontId="14" fillId="13" borderId="0" xfId="0" applyFont="1" applyFill="1"/>
    <xf numFmtId="0" fontId="15" fillId="13" borderId="11" xfId="0" applyFont="1" applyFill="1" applyBorder="1"/>
    <xf numFmtId="0" fontId="15" fillId="13" borderId="14" xfId="0" applyFont="1" applyFill="1" applyBorder="1"/>
    <xf numFmtId="0" fontId="15" fillId="13" borderId="14" xfId="0" applyFont="1" applyFill="1" applyBorder="1" applyAlignment="1">
      <alignment horizontal="center"/>
    </xf>
    <xf numFmtId="0" fontId="15" fillId="13" borderId="8" xfId="0" applyFont="1" applyFill="1" applyBorder="1"/>
    <xf numFmtId="0" fontId="15" fillId="13" borderId="8" xfId="0" applyFont="1" applyFill="1" applyBorder="1" applyAlignment="1">
      <alignment horizontal="center"/>
    </xf>
    <xf numFmtId="0" fontId="15" fillId="13" borderId="12" xfId="0" applyFont="1" applyFill="1" applyBorder="1" applyAlignment="1">
      <alignment horizontal="center"/>
    </xf>
    <xf numFmtId="0" fontId="15" fillId="13" borderId="1" xfId="0" applyFont="1" applyFill="1" applyBorder="1" applyAlignment="1">
      <alignment horizontal="center"/>
    </xf>
    <xf numFmtId="0" fontId="15" fillId="13" borderId="0" xfId="0" applyFont="1" applyFill="1"/>
    <xf numFmtId="0" fontId="15" fillId="13" borderId="6" xfId="0" applyFont="1" applyFill="1" applyBorder="1" applyAlignment="1">
      <alignment horizontal="center"/>
    </xf>
    <xf numFmtId="0" fontId="15" fillId="13" borderId="1" xfId="0" applyFont="1" applyFill="1" applyBorder="1" applyAlignment="1">
      <alignment horizontal="right"/>
    </xf>
    <xf numFmtId="0" fontId="15" fillId="13" borderId="3" xfId="0" applyFont="1" applyFill="1" applyBorder="1"/>
    <xf numFmtId="2" fontId="15" fillId="13" borderId="7" xfId="0" applyNumberFormat="1" applyFont="1" applyFill="1" applyBorder="1" applyAlignment="1">
      <alignment horizontal="center"/>
    </xf>
    <xf numFmtId="2" fontId="15" fillId="13" borderId="3" xfId="0" applyNumberFormat="1" applyFont="1" applyFill="1" applyBorder="1" applyAlignment="1">
      <alignment horizontal="center"/>
    </xf>
    <xf numFmtId="0" fontId="15" fillId="13" borderId="3" xfId="0" applyFont="1" applyFill="1" applyBorder="1" applyAlignment="1">
      <alignment vertical="top" wrapText="1"/>
    </xf>
    <xf numFmtId="0" fontId="15" fillId="13" borderId="3" xfId="0" applyFont="1" applyFill="1" applyBorder="1" applyAlignment="1">
      <alignment horizontal="left"/>
    </xf>
    <xf numFmtId="165" fontId="15" fillId="13" borderId="3" xfId="0" applyNumberFormat="1" applyFont="1" applyFill="1" applyBorder="1"/>
    <xf numFmtId="165" fontId="15" fillId="13" borderId="3" xfId="0" applyNumberFormat="1" applyFont="1" applyFill="1" applyBorder="1" applyAlignment="1">
      <alignment horizontal="center"/>
    </xf>
    <xf numFmtId="0" fontId="15" fillId="13" borderId="3" xfId="0" applyFont="1" applyFill="1" applyBorder="1" applyAlignment="1">
      <alignment horizontal="center"/>
    </xf>
    <xf numFmtId="2" fontId="15" fillId="13" borderId="3" xfId="0" applyNumberFormat="1" applyFont="1" applyFill="1" applyBorder="1" applyAlignment="1">
      <alignment horizontal="right"/>
    </xf>
    <xf numFmtId="43" fontId="15" fillId="13" borderId="3" xfId="0" applyNumberFormat="1" applyFont="1" applyFill="1" applyBorder="1"/>
    <xf numFmtId="2" fontId="15" fillId="13" borderId="3" xfId="0" applyNumberFormat="1" applyFont="1" applyFill="1" applyBorder="1"/>
    <xf numFmtId="2" fontId="15" fillId="13" borderId="3" xfId="0" applyNumberFormat="1" applyFont="1" applyFill="1" applyBorder="1" applyAlignment="1">
      <alignment horizontal="center" vertical="center"/>
    </xf>
    <xf numFmtId="2" fontId="15" fillId="13" borderId="3" xfId="0" applyNumberFormat="1" applyFont="1" applyFill="1" applyBorder="1" applyAlignment="1">
      <alignment vertical="center"/>
    </xf>
    <xf numFmtId="187" fontId="19" fillId="13" borderId="3" xfId="2" applyNumberFormat="1" applyFont="1" applyFill="1" applyBorder="1" applyAlignment="1">
      <alignment horizontal="left"/>
    </xf>
    <xf numFmtId="166" fontId="15" fillId="13" borderId="3" xfId="0" applyNumberFormat="1" applyFont="1" applyFill="1" applyBorder="1"/>
    <xf numFmtId="0" fontId="15" fillId="13" borderId="3" xfId="0" applyFont="1" applyFill="1" applyBorder="1" applyAlignment="1">
      <alignment horizontal="center" vertical="top" wrapText="1"/>
    </xf>
    <xf numFmtId="2" fontId="15" fillId="13" borderId="3" xfId="0" applyNumberFormat="1" applyFont="1" applyFill="1" applyBorder="1" applyAlignment="1">
      <alignment vertical="top" wrapText="1"/>
    </xf>
    <xf numFmtId="43" fontId="15" fillId="13" borderId="3" xfId="0" applyNumberFormat="1" applyFont="1" applyFill="1" applyBorder="1" applyAlignment="1">
      <alignment vertical="top" wrapText="1"/>
    </xf>
    <xf numFmtId="1" fontId="15" fillId="13" borderId="3" xfId="0" applyNumberFormat="1" applyFont="1" applyFill="1" applyBorder="1" applyAlignment="1">
      <alignment vertical="center"/>
    </xf>
    <xf numFmtId="166" fontId="15" fillId="13" borderId="3" xfId="0" applyNumberFormat="1" applyFont="1" applyFill="1" applyBorder="1" applyAlignment="1">
      <alignment vertical="center"/>
    </xf>
    <xf numFmtId="0" fontId="14" fillId="13" borderId="3" xfId="0" applyFont="1" applyFill="1" applyBorder="1"/>
    <xf numFmtId="0" fontId="14" fillId="13" borderId="8" xfId="0" applyFont="1" applyFill="1" applyBorder="1" applyAlignment="1">
      <alignment horizontal="centerContinuous"/>
    </xf>
    <xf numFmtId="0" fontId="0" fillId="13" borderId="8" xfId="0" applyFill="1" applyBorder="1" applyAlignment="1">
      <alignment horizontal="centerContinuous"/>
    </xf>
    <xf numFmtId="0" fontId="15" fillId="13" borderId="4" xfId="0" applyFont="1" applyFill="1" applyBorder="1"/>
    <xf numFmtId="2" fontId="15" fillId="13" borderId="4" xfId="0" applyNumberFormat="1" applyFont="1" applyFill="1" applyBorder="1" applyAlignment="1">
      <alignment horizontal="center"/>
    </xf>
    <xf numFmtId="2" fontId="15" fillId="13" borderId="9" xfId="0" applyNumberFormat="1" applyFont="1" applyFill="1" applyBorder="1" applyAlignment="1">
      <alignment horizontal="center"/>
    </xf>
    <xf numFmtId="0" fontId="14" fillId="13" borderId="8" xfId="0" applyFont="1" applyFill="1" applyBorder="1" applyAlignment="1">
      <alignment horizontal="center"/>
    </xf>
    <xf numFmtId="0" fontId="14" fillId="13" borderId="8" xfId="0" applyFont="1" applyFill="1" applyBorder="1"/>
    <xf numFmtId="0" fontId="15" fillId="13" borderId="4" xfId="0" applyFont="1" applyFill="1" applyBorder="1" applyAlignment="1">
      <alignment horizontal="right"/>
    </xf>
    <xf numFmtId="0" fontId="15" fillId="13" borderId="2" xfId="0" applyFont="1" applyFill="1" applyBorder="1" applyAlignment="1">
      <alignment horizontal="left"/>
    </xf>
    <xf numFmtId="0" fontId="15" fillId="13" borderId="0" xfId="0" applyFont="1" applyFill="1" applyAlignment="1">
      <alignment horizontal="left"/>
    </xf>
    <xf numFmtId="0" fontId="15" fillId="13" borderId="5" xfId="0" applyFont="1" applyFill="1" applyBorder="1" applyAlignment="1">
      <alignment horizontal="center"/>
    </xf>
    <xf numFmtId="2" fontId="15" fillId="13" borderId="6" xfId="0" applyNumberFormat="1" applyFont="1" applyFill="1" applyBorder="1" applyAlignment="1">
      <alignment horizontal="center"/>
    </xf>
    <xf numFmtId="0" fontId="15" fillId="13" borderId="5" xfId="0" applyFont="1" applyFill="1" applyBorder="1"/>
    <xf numFmtId="165" fontId="15" fillId="13" borderId="5" xfId="0" applyNumberFormat="1" applyFont="1" applyFill="1" applyBorder="1" applyAlignment="1">
      <alignment horizontal="center"/>
    </xf>
    <xf numFmtId="0" fontId="15" fillId="13" borderId="2" xfId="0" applyFont="1" applyFill="1" applyBorder="1"/>
    <xf numFmtId="2" fontId="15" fillId="13" borderId="6" xfId="0" applyNumberFormat="1" applyFont="1" applyFill="1" applyBorder="1"/>
    <xf numFmtId="2" fontId="0" fillId="13" borderId="8" xfId="0" applyNumberFormat="1" applyFill="1" applyBorder="1"/>
    <xf numFmtId="165" fontId="0" fillId="13" borderId="8" xfId="0" applyNumberFormat="1" applyFill="1" applyBorder="1"/>
    <xf numFmtId="0" fontId="0" fillId="13" borderId="8" xfId="0" applyFill="1" applyBorder="1"/>
    <xf numFmtId="0" fontId="13" fillId="13" borderId="5" xfId="0" applyFont="1" applyFill="1" applyBorder="1"/>
    <xf numFmtId="0" fontId="15" fillId="13" borderId="6" xfId="0" applyFont="1" applyFill="1" applyBorder="1"/>
    <xf numFmtId="2" fontId="16" fillId="13" borderId="8" xfId="0" applyNumberFormat="1" applyFont="1" applyFill="1" applyBorder="1"/>
    <xf numFmtId="2" fontId="14" fillId="13" borderId="0" xfId="0" applyNumberFormat="1" applyFont="1" applyFill="1"/>
    <xf numFmtId="0" fontId="13" fillId="13" borderId="0" xfId="0" applyFont="1" applyFill="1"/>
    <xf numFmtId="0" fontId="15" fillId="13" borderId="0" xfId="0" applyFont="1" applyFill="1" applyAlignment="1">
      <alignment horizontal="center"/>
    </xf>
    <xf numFmtId="0" fontId="15" fillId="13" borderId="1" xfId="0" applyFont="1" applyFill="1" applyBorder="1"/>
    <xf numFmtId="165" fontId="15" fillId="13" borderId="0" xfId="0" applyNumberFormat="1" applyFont="1" applyFill="1" applyAlignment="1">
      <alignment horizontal="center"/>
    </xf>
    <xf numFmtId="0" fontId="15" fillId="13" borderId="7" xfId="0" applyFont="1" applyFill="1" applyBorder="1"/>
    <xf numFmtId="0" fontId="0" fillId="13" borderId="0" xfId="0" applyFill="1"/>
    <xf numFmtId="2" fontId="13" fillId="13" borderId="0" xfId="0" applyNumberFormat="1" applyFont="1" applyFill="1"/>
    <xf numFmtId="0" fontId="15" fillId="13" borderId="18" xfId="0" applyFont="1" applyFill="1" applyBorder="1" applyAlignment="1">
      <alignment horizontal="right"/>
    </xf>
    <xf numFmtId="0" fontId="15" fillId="13" borderId="12" xfId="0" applyFont="1" applyFill="1" applyBorder="1" applyAlignment="1">
      <alignment horizontal="right"/>
    </xf>
    <xf numFmtId="0" fontId="15" fillId="13" borderId="10" xfId="0" applyFont="1" applyFill="1" applyBorder="1"/>
    <xf numFmtId="0" fontId="13" fillId="13" borderId="10" xfId="0" applyFont="1" applyFill="1" applyBorder="1"/>
    <xf numFmtId="0" fontId="17" fillId="13" borderId="10" xfId="0" applyFont="1" applyFill="1" applyBorder="1" applyAlignment="1">
      <alignment horizontal="center"/>
    </xf>
    <xf numFmtId="2" fontId="17" fillId="13" borderId="10" xfId="0" applyNumberFormat="1" applyFont="1" applyFill="1" applyBorder="1" applyAlignment="1">
      <alignment horizontal="center"/>
    </xf>
    <xf numFmtId="0" fontId="17" fillId="13" borderId="12" xfId="0" applyFont="1" applyFill="1" applyBorder="1"/>
    <xf numFmtId="2" fontId="17" fillId="13" borderId="10" xfId="0" applyNumberFormat="1" applyFont="1" applyFill="1" applyBorder="1"/>
    <xf numFmtId="0" fontId="13" fillId="13" borderId="11" xfId="0" applyFont="1" applyFill="1" applyBorder="1"/>
    <xf numFmtId="0" fontId="15" fillId="13" borderId="13" xfId="0" applyFont="1" applyFill="1" applyBorder="1" applyAlignment="1">
      <alignment horizontal="center"/>
    </xf>
    <xf numFmtId="0" fontId="17" fillId="13" borderId="13" xfId="0" applyFont="1" applyFill="1" applyBorder="1" applyAlignment="1">
      <alignment horizontal="center"/>
    </xf>
    <xf numFmtId="184" fontId="18" fillId="13" borderId="13" xfId="2" applyNumberFormat="1" applyFont="1" applyFill="1" applyBorder="1"/>
    <xf numFmtId="0" fontId="17" fillId="13" borderId="13" xfId="0" applyFont="1" applyFill="1" applyBorder="1"/>
    <xf numFmtId="184" fontId="18" fillId="13" borderId="9" xfId="2" applyNumberFormat="1" applyFont="1" applyFill="1" applyBorder="1"/>
    <xf numFmtId="0" fontId="38" fillId="14" borderId="50" xfId="0" applyFont="1" applyFill="1" applyBorder="1" applyAlignment="1">
      <alignment horizontal="center" vertical="top" wrapText="1"/>
    </xf>
    <xf numFmtId="0" fontId="38" fillId="14" borderId="51" xfId="0" applyFont="1" applyFill="1" applyBorder="1" applyAlignment="1">
      <alignment horizontal="center" vertical="top" wrapText="1"/>
    </xf>
    <xf numFmtId="0" fontId="38" fillId="14" borderId="52" xfId="0" applyFont="1" applyFill="1" applyBorder="1" applyAlignment="1">
      <alignment horizontal="center" vertical="top" wrapText="1"/>
    </xf>
    <xf numFmtId="0" fontId="38" fillId="14" borderId="53" xfId="0" applyFont="1" applyFill="1" applyBorder="1" applyAlignment="1">
      <alignment horizontal="center" vertical="top" wrapText="1"/>
    </xf>
    <xf numFmtId="0" fontId="22" fillId="0" borderId="0" xfId="0" applyFont="1" applyAlignment="1">
      <alignment horizontal="justify" vertical="center" wrapText="1"/>
    </xf>
    <xf numFmtId="0" fontId="22" fillId="0" borderId="0" xfId="0" applyFont="1" applyAlignment="1">
      <alignment wrapText="1"/>
    </xf>
    <xf numFmtId="43" fontId="23" fillId="0" borderId="12" xfId="1" applyFont="1" applyBorder="1" applyAlignment="1">
      <alignment horizontal="center"/>
    </xf>
    <xf numFmtId="43" fontId="23" fillId="0" borderId="10" xfId="1" applyFont="1" applyBorder="1" applyAlignment="1">
      <alignment horizontal="center"/>
    </xf>
    <xf numFmtId="43" fontId="23" fillId="0" borderId="11" xfId="1" applyFont="1" applyBorder="1" applyAlignment="1">
      <alignment horizontal="center"/>
    </xf>
    <xf numFmtId="0" fontId="23" fillId="0" borderId="14" xfId="0" applyFont="1" applyBorder="1" applyAlignment="1">
      <alignment horizontal="center" vertical="center"/>
    </xf>
    <xf numFmtId="0" fontId="23" fillId="0" borderId="4" xfId="0" applyFont="1" applyBorder="1" applyAlignment="1">
      <alignment horizontal="center" vertical="center"/>
    </xf>
    <xf numFmtId="0" fontId="22" fillId="3" borderId="34" xfId="0" applyFont="1" applyFill="1" applyBorder="1" applyAlignment="1">
      <alignment horizontal="center" vertical="center" wrapText="1"/>
    </xf>
    <xf numFmtId="0" fontId="22" fillId="3" borderId="35" xfId="0" applyFont="1" applyFill="1" applyBorder="1" applyAlignment="1">
      <alignment horizontal="center" vertical="center"/>
    </xf>
    <xf numFmtId="0" fontId="22" fillId="3" borderId="36" xfId="0" applyFont="1" applyFill="1" applyBorder="1" applyAlignment="1">
      <alignment horizontal="center" vertical="center"/>
    </xf>
    <xf numFmtId="0" fontId="22" fillId="3" borderId="37" xfId="0" applyFont="1" applyFill="1" applyBorder="1" applyAlignment="1">
      <alignment horizontal="center" vertical="center" wrapText="1"/>
    </xf>
    <xf numFmtId="0" fontId="22" fillId="3" borderId="3" xfId="0" applyFont="1" applyFill="1" applyBorder="1" applyAlignment="1">
      <alignment horizontal="center" vertical="center" wrapText="1"/>
    </xf>
    <xf numFmtId="0" fontId="22" fillId="3" borderId="38" xfId="0" applyFont="1" applyFill="1" applyBorder="1" applyAlignment="1">
      <alignment horizontal="center" vertical="center" wrapText="1"/>
    </xf>
    <xf numFmtId="0" fontId="22" fillId="3" borderId="37" xfId="0" applyFont="1" applyFill="1" applyBorder="1" applyAlignment="1">
      <alignment horizontal="center" vertical="center"/>
    </xf>
    <xf numFmtId="0" fontId="22" fillId="3" borderId="3" xfId="0" applyFont="1" applyFill="1" applyBorder="1" applyAlignment="1">
      <alignment horizontal="center" vertical="center"/>
    </xf>
    <xf numFmtId="0" fontId="22" fillId="3" borderId="38" xfId="0" applyFont="1" applyFill="1" applyBorder="1" applyAlignment="1">
      <alignment horizontal="center" vertical="center"/>
    </xf>
    <xf numFmtId="0" fontId="22" fillId="3" borderId="28" xfId="0" applyFont="1" applyFill="1" applyBorder="1" applyAlignment="1">
      <alignment horizontal="center" vertical="center"/>
    </xf>
    <xf numFmtId="0" fontId="22" fillId="3" borderId="39" xfId="0" applyFont="1" applyFill="1" applyBorder="1" applyAlignment="1">
      <alignment horizontal="center" vertical="center" wrapText="1"/>
    </xf>
    <xf numFmtId="0" fontId="22" fillId="3" borderId="40" xfId="0" applyFont="1" applyFill="1" applyBorder="1" applyAlignment="1">
      <alignment horizontal="center" vertical="center"/>
    </xf>
    <xf numFmtId="0" fontId="22" fillId="3" borderId="41" xfId="0" applyFont="1" applyFill="1" applyBorder="1" applyAlignment="1">
      <alignment horizontal="center" vertical="center"/>
    </xf>
    <xf numFmtId="0" fontId="22" fillId="3" borderId="27" xfId="0" applyFont="1" applyFill="1" applyBorder="1" applyAlignment="1">
      <alignment horizontal="center" vertical="center"/>
    </xf>
    <xf numFmtId="0" fontId="22" fillId="3" borderId="42" xfId="0" applyFont="1" applyFill="1" applyBorder="1" applyAlignment="1">
      <alignment horizontal="center" vertical="center"/>
    </xf>
    <xf numFmtId="0" fontId="22" fillId="3" borderId="43" xfId="0" applyFont="1" applyFill="1" applyBorder="1" applyAlignment="1">
      <alignment horizontal="center" vertical="center"/>
    </xf>
    <xf numFmtId="0" fontId="22" fillId="3" borderId="44" xfId="0" applyFont="1" applyFill="1" applyBorder="1" applyAlignment="1">
      <alignment horizontal="center" vertical="center"/>
    </xf>
    <xf numFmtId="0" fontId="22" fillId="3" borderId="45" xfId="0" applyFont="1" applyFill="1" applyBorder="1" applyAlignment="1">
      <alignment horizontal="center" vertical="center"/>
    </xf>
    <xf numFmtId="0" fontId="22" fillId="3" borderId="46" xfId="0" applyFont="1" applyFill="1" applyBorder="1" applyAlignment="1">
      <alignment horizontal="center" vertical="center"/>
    </xf>
    <xf numFmtId="0" fontId="22" fillId="3" borderId="18" xfId="0" applyFont="1" applyFill="1" applyBorder="1" applyAlignment="1">
      <alignment horizontal="center" vertical="center"/>
    </xf>
    <xf numFmtId="0" fontId="22" fillId="3" borderId="47" xfId="0" applyFont="1" applyFill="1" applyBorder="1" applyAlignment="1">
      <alignment horizontal="center" vertical="center"/>
    </xf>
    <xf numFmtId="0" fontId="3" fillId="2" borderId="1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1" xfId="0" applyFont="1" applyFill="1" applyBorder="1" applyAlignment="1">
      <alignment horizontal="center"/>
    </xf>
    <xf numFmtId="0" fontId="3" fillId="2" borderId="8" xfId="0" applyFont="1" applyFill="1" applyBorder="1" applyAlignment="1">
      <alignment horizontal="center"/>
    </xf>
    <xf numFmtId="0" fontId="3" fillId="2" borderId="12" xfId="0" applyFont="1" applyFill="1" applyBorder="1" applyAlignment="1">
      <alignment horizontal="center"/>
    </xf>
    <xf numFmtId="0" fontId="3" fillId="2" borderId="10" xfId="0" applyFont="1" applyFill="1" applyBorder="1" applyAlignment="1">
      <alignment horizontal="center"/>
    </xf>
    <xf numFmtId="0" fontId="1" fillId="0" borderId="14" xfId="0" applyFont="1" applyBorder="1" applyAlignment="1">
      <alignment horizontal="justify" wrapText="1"/>
    </xf>
    <xf numFmtId="0" fontId="1" fillId="0" borderId="3" xfId="0" applyFont="1" applyBorder="1" applyAlignment="1">
      <alignment horizontal="justify" wrapText="1"/>
    </xf>
    <xf numFmtId="0" fontId="1" fillId="0" borderId="0" xfId="0" applyFont="1" applyBorder="1" applyAlignment="1">
      <alignment horizontal="left"/>
    </xf>
    <xf numFmtId="0" fontId="21" fillId="0" borderId="2" xfId="0" applyFont="1" applyBorder="1" applyAlignment="1">
      <alignment horizontal="justify" vertical="top"/>
    </xf>
    <xf numFmtId="0" fontId="21" fillId="0" borderId="5" xfId="0" applyFont="1" applyBorder="1" applyAlignment="1">
      <alignment horizontal="justify" vertical="top"/>
    </xf>
    <xf numFmtId="0" fontId="21" fillId="0" borderId="6" xfId="0" applyFont="1" applyBorder="1" applyAlignment="1">
      <alignment horizontal="justify" vertical="top"/>
    </xf>
    <xf numFmtId="0" fontId="21" fillId="0" borderId="1" xfId="0" applyFont="1" applyBorder="1" applyAlignment="1">
      <alignment horizontal="justify" vertical="top"/>
    </xf>
    <xf numFmtId="0" fontId="21" fillId="0" borderId="0" xfId="0" applyFont="1" applyBorder="1" applyAlignment="1">
      <alignment horizontal="justify" vertical="top"/>
    </xf>
    <xf numFmtId="0" fontId="21" fillId="0" borderId="7" xfId="0" applyFont="1" applyBorder="1" applyAlignment="1">
      <alignment horizontal="justify" vertical="top"/>
    </xf>
    <xf numFmtId="0" fontId="21" fillId="0" borderId="18" xfId="0" applyFont="1" applyBorder="1" applyAlignment="1">
      <alignment horizontal="justify" vertical="top"/>
    </xf>
    <xf numFmtId="0" fontId="21" fillId="0" borderId="13" xfId="0" applyFont="1" applyBorder="1" applyAlignment="1">
      <alignment horizontal="justify" vertical="top"/>
    </xf>
    <xf numFmtId="0" fontId="21" fillId="0" borderId="9" xfId="0" applyFont="1" applyBorder="1" applyAlignment="1">
      <alignment horizontal="justify" vertical="top"/>
    </xf>
    <xf numFmtId="0" fontId="1" fillId="0" borderId="14" xfId="0" applyFont="1" applyBorder="1" applyAlignment="1">
      <alignment horizontal="justify" vertical="top" wrapText="1"/>
    </xf>
    <xf numFmtId="0" fontId="1" fillId="0" borderId="3" xfId="0" applyFont="1" applyBorder="1" applyAlignment="1">
      <alignment horizontal="justify" vertical="top" wrapText="1"/>
    </xf>
    <xf numFmtId="0" fontId="1" fillId="0" borderId="14" xfId="0" applyFont="1" applyFill="1" applyBorder="1" applyAlignment="1">
      <alignment horizontal="justify" vertical="center" wrapText="1"/>
    </xf>
    <xf numFmtId="0" fontId="1" fillId="0" borderId="3" xfId="0" applyFont="1" applyFill="1" applyBorder="1" applyAlignment="1">
      <alignment horizontal="justify" vertical="center" wrapText="1"/>
    </xf>
    <xf numFmtId="0" fontId="1" fillId="0" borderId="0" xfId="0" applyFont="1" applyFill="1" applyBorder="1" applyAlignment="1">
      <alignment horizontal="left"/>
    </xf>
    <xf numFmtId="0" fontId="21" fillId="0" borderId="2" xfId="0" applyFont="1" applyFill="1" applyBorder="1" applyAlignment="1">
      <alignment horizontal="justify" vertical="top"/>
    </xf>
    <xf numFmtId="0" fontId="21" fillId="0" borderId="5" xfId="0" applyFont="1" applyFill="1" applyBorder="1" applyAlignment="1">
      <alignment horizontal="justify" vertical="top"/>
    </xf>
    <xf numFmtId="0" fontId="21" fillId="0" borderId="6" xfId="0" applyFont="1" applyFill="1" applyBorder="1" applyAlignment="1">
      <alignment horizontal="justify" vertical="top"/>
    </xf>
    <xf numFmtId="0" fontId="21" fillId="0" borderId="1" xfId="0" applyFont="1" applyFill="1" applyBorder="1" applyAlignment="1">
      <alignment horizontal="justify" vertical="top"/>
    </xf>
    <xf numFmtId="0" fontId="21" fillId="0" borderId="0" xfId="0" applyFont="1" applyFill="1" applyBorder="1" applyAlignment="1">
      <alignment horizontal="justify" vertical="top"/>
    </xf>
    <xf numFmtId="0" fontId="21" fillId="0" borderId="7" xfId="0" applyFont="1" applyFill="1" applyBorder="1" applyAlignment="1">
      <alignment horizontal="justify" vertical="top"/>
    </xf>
    <xf numFmtId="0" fontId="21" fillId="0" borderId="18" xfId="0" applyFont="1" applyFill="1" applyBorder="1" applyAlignment="1">
      <alignment horizontal="justify" vertical="top"/>
    </xf>
    <xf numFmtId="0" fontId="21" fillId="0" borderId="13" xfId="0" applyFont="1" applyFill="1" applyBorder="1" applyAlignment="1">
      <alignment horizontal="justify" vertical="top"/>
    </xf>
    <xf numFmtId="0" fontId="21" fillId="0" borderId="9" xfId="0" applyFont="1" applyFill="1" applyBorder="1" applyAlignment="1">
      <alignment horizontal="justify" vertical="top"/>
    </xf>
    <xf numFmtId="0" fontId="1" fillId="0" borderId="14" xfId="0" applyFont="1" applyBorder="1" applyAlignment="1">
      <alignment horizontal="justify" vertical="center" wrapText="1"/>
    </xf>
    <xf numFmtId="0" fontId="1" fillId="0" borderId="3" xfId="0" applyFont="1" applyBorder="1" applyAlignment="1">
      <alignment horizontal="justify" vertical="center" wrapText="1"/>
    </xf>
    <xf numFmtId="0" fontId="21" fillId="0" borderId="2" xfId="0" applyFont="1" applyBorder="1" applyAlignment="1">
      <alignment horizontal="justify" vertical="top" wrapText="1"/>
    </xf>
    <xf numFmtId="0" fontId="1" fillId="0" borderId="14" xfId="0" applyFont="1" applyFill="1" applyBorder="1" applyAlignment="1">
      <alignment horizontal="justify" vertical="top" wrapText="1"/>
    </xf>
    <xf numFmtId="0" fontId="1" fillId="0" borderId="3" xfId="0" applyFont="1" applyFill="1" applyBorder="1" applyAlignment="1">
      <alignment horizontal="justify" vertical="top" wrapText="1"/>
    </xf>
    <xf numFmtId="0" fontId="21" fillId="0" borderId="2" xfId="0" applyFont="1" applyFill="1" applyBorder="1" applyAlignment="1">
      <alignment horizontal="left" vertical="top"/>
    </xf>
    <xf numFmtId="0" fontId="21" fillId="0" borderId="5" xfId="0" applyFont="1" applyFill="1" applyBorder="1" applyAlignment="1">
      <alignment horizontal="left" vertical="top"/>
    </xf>
    <xf numFmtId="0" fontId="21" fillId="0" borderId="6" xfId="0" applyFont="1" applyFill="1" applyBorder="1" applyAlignment="1">
      <alignment horizontal="left" vertical="top"/>
    </xf>
    <xf numFmtId="0" fontId="21" fillId="0" borderId="1" xfId="0" applyFont="1" applyFill="1" applyBorder="1" applyAlignment="1">
      <alignment horizontal="left" vertical="top"/>
    </xf>
    <xf numFmtId="0" fontId="21" fillId="0" borderId="0" xfId="0" applyFont="1" applyFill="1" applyBorder="1" applyAlignment="1">
      <alignment horizontal="left" vertical="top"/>
    </xf>
    <xf numFmtId="0" fontId="21" fillId="0" borderId="7" xfId="0" applyFont="1" applyFill="1" applyBorder="1" applyAlignment="1">
      <alignment horizontal="left" vertical="top"/>
    </xf>
    <xf numFmtId="0" fontId="21" fillId="0" borderId="18" xfId="0" applyFont="1" applyFill="1" applyBorder="1" applyAlignment="1">
      <alignment horizontal="left" vertical="top"/>
    </xf>
    <xf numFmtId="0" fontId="21" fillId="0" borderId="13" xfId="0" applyFont="1" applyFill="1" applyBorder="1" applyAlignment="1">
      <alignment horizontal="left" vertical="top"/>
    </xf>
    <xf numFmtId="0" fontId="21" fillId="0" borderId="9" xfId="0" applyFont="1" applyFill="1" applyBorder="1" applyAlignment="1">
      <alignment horizontal="left" vertical="top"/>
    </xf>
    <xf numFmtId="0" fontId="21" fillId="0" borderId="2"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1" xfId="0" applyFont="1" applyBorder="1" applyAlignment="1">
      <alignment horizontal="left" vertical="top"/>
    </xf>
    <xf numFmtId="0" fontId="21" fillId="0" borderId="0" xfId="0" applyFont="1" applyBorder="1" applyAlignment="1">
      <alignment horizontal="left" vertical="top"/>
    </xf>
    <xf numFmtId="0" fontId="21" fillId="0" borderId="7" xfId="0" applyFont="1" applyBorder="1" applyAlignment="1">
      <alignment horizontal="left" vertical="top"/>
    </xf>
    <xf numFmtId="0" fontId="21" fillId="0" borderId="18" xfId="0" applyFont="1" applyBorder="1" applyAlignment="1">
      <alignment horizontal="left" vertical="top"/>
    </xf>
    <xf numFmtId="0" fontId="21" fillId="0" borderId="13" xfId="0" applyFont="1" applyBorder="1" applyAlignment="1">
      <alignment horizontal="left" vertical="top"/>
    </xf>
    <xf numFmtId="0" fontId="21" fillId="0" borderId="9" xfId="0" applyFont="1" applyBorder="1" applyAlignment="1">
      <alignment horizontal="left" vertical="top"/>
    </xf>
    <xf numFmtId="172" fontId="21" fillId="0" borderId="2" xfId="0" applyNumberFormat="1" applyFont="1" applyBorder="1" applyAlignment="1">
      <alignment horizontal="left" vertical="top"/>
    </xf>
    <xf numFmtId="172" fontId="21" fillId="0" borderId="5" xfId="0" applyNumberFormat="1" applyFont="1" applyBorder="1" applyAlignment="1">
      <alignment horizontal="left" vertical="top"/>
    </xf>
    <xf numFmtId="172" fontId="21" fillId="0" borderId="6" xfId="0" applyNumberFormat="1" applyFont="1" applyBorder="1" applyAlignment="1">
      <alignment horizontal="left" vertical="top"/>
    </xf>
    <xf numFmtId="172" fontId="21" fillId="0" borderId="1" xfId="0" applyNumberFormat="1" applyFont="1" applyBorder="1" applyAlignment="1">
      <alignment horizontal="left" vertical="top"/>
    </xf>
    <xf numFmtId="172" fontId="21" fillId="0" borderId="0" xfId="0" applyNumberFormat="1" applyFont="1" applyBorder="1" applyAlignment="1">
      <alignment horizontal="left" vertical="top"/>
    </xf>
    <xf numFmtId="172" fontId="21" fillId="0" borderId="7" xfId="0" applyNumberFormat="1" applyFont="1" applyBorder="1" applyAlignment="1">
      <alignment horizontal="left" vertical="top"/>
    </xf>
    <xf numFmtId="172" fontId="21" fillId="0" borderId="18" xfId="0" applyNumberFormat="1" applyFont="1" applyBorder="1" applyAlignment="1">
      <alignment horizontal="left" vertical="top"/>
    </xf>
    <xf numFmtId="172" fontId="21" fillId="0" borderId="13" xfId="0" applyNumberFormat="1" applyFont="1" applyBorder="1" applyAlignment="1">
      <alignment horizontal="left" vertical="top"/>
    </xf>
    <xf numFmtId="172" fontId="21" fillId="0" borderId="9" xfId="0" applyNumberFormat="1" applyFont="1" applyBorder="1" applyAlignment="1">
      <alignment horizontal="left" vertical="top"/>
    </xf>
    <xf numFmtId="0" fontId="3" fillId="2" borderId="4" xfId="0" applyFont="1" applyFill="1" applyBorder="1" applyAlignment="1">
      <alignment horizontal="center" vertical="center"/>
    </xf>
    <xf numFmtId="0" fontId="1" fillId="0" borderId="12" xfId="0" applyFont="1" applyBorder="1" applyAlignment="1">
      <alignment horizontal="left"/>
    </xf>
    <xf numFmtId="0" fontId="1" fillId="0" borderId="10" xfId="0" applyFont="1" applyBorder="1" applyAlignment="1">
      <alignment horizontal="left"/>
    </xf>
    <xf numFmtId="0" fontId="3" fillId="2" borderId="4" xfId="0" applyFont="1" applyFill="1" applyBorder="1" applyAlignment="1">
      <alignment horizontal="center" vertical="center" wrapText="1"/>
    </xf>
    <xf numFmtId="0" fontId="1" fillId="6" borderId="14" xfId="0" applyFont="1" applyFill="1" applyBorder="1" applyAlignment="1">
      <alignment horizontal="justify" vertical="top" wrapText="1"/>
    </xf>
    <xf numFmtId="0" fontId="1" fillId="6" borderId="3" xfId="0" applyFont="1" applyFill="1" applyBorder="1" applyAlignment="1">
      <alignment horizontal="justify" vertical="top" wrapText="1"/>
    </xf>
    <xf numFmtId="0" fontId="1" fillId="7" borderId="14" xfId="0" applyFont="1" applyFill="1" applyBorder="1" applyAlignment="1">
      <alignment horizontal="justify" vertical="top" wrapText="1"/>
    </xf>
    <xf numFmtId="0" fontId="1" fillId="7" borderId="3" xfId="0" applyFont="1" applyFill="1" applyBorder="1" applyAlignment="1">
      <alignment horizontal="justify" vertical="top" wrapText="1"/>
    </xf>
    <xf numFmtId="0" fontId="21" fillId="0" borderId="0" xfId="0" applyFont="1" applyAlignment="1">
      <alignment horizontal="center" wrapText="1"/>
    </xf>
    <xf numFmtId="0" fontId="1" fillId="2" borderId="8" xfId="0" applyFont="1" applyFill="1" applyBorder="1" applyAlignment="1">
      <alignment horizontal="center"/>
    </xf>
    <xf numFmtId="0" fontId="1" fillId="2" borderId="8" xfId="0" applyFont="1" applyFill="1" applyBorder="1" applyAlignment="1">
      <alignment horizontal="center" vertical="center" wrapText="1"/>
    </xf>
    <xf numFmtId="0" fontId="1" fillId="2" borderId="8" xfId="0" applyFont="1" applyFill="1" applyBorder="1" applyAlignment="1">
      <alignment horizontal="center" vertical="center"/>
    </xf>
    <xf numFmtId="0" fontId="15" fillId="2" borderId="8" xfId="0" applyFont="1" applyFill="1" applyBorder="1" applyAlignment="1">
      <alignment horizontal="center"/>
    </xf>
    <xf numFmtId="0" fontId="15" fillId="2" borderId="8" xfId="0" applyFont="1" applyFill="1" applyBorder="1" applyAlignment="1">
      <alignment horizontal="center" vertical="center" wrapText="1"/>
    </xf>
    <xf numFmtId="0" fontId="15" fillId="2" borderId="8" xfId="0" applyFont="1" applyFill="1" applyBorder="1" applyAlignment="1">
      <alignment horizontal="center" vertical="center"/>
    </xf>
    <xf numFmtId="0" fontId="1" fillId="6" borderId="0" xfId="0" applyFont="1" applyFill="1" applyBorder="1" applyAlignment="1">
      <alignment horizontal="left"/>
    </xf>
    <xf numFmtId="172" fontId="21" fillId="6" borderId="2" xfId="0" applyNumberFormat="1" applyFont="1" applyFill="1" applyBorder="1" applyAlignment="1">
      <alignment horizontal="left" vertical="top"/>
    </xf>
    <xf numFmtId="172" fontId="21" fillId="6" borderId="5" xfId="0" applyNumberFormat="1" applyFont="1" applyFill="1" applyBorder="1" applyAlignment="1">
      <alignment horizontal="left" vertical="top"/>
    </xf>
    <xf numFmtId="172" fontId="21" fillId="6" borderId="6" xfId="0" applyNumberFormat="1" applyFont="1" applyFill="1" applyBorder="1" applyAlignment="1">
      <alignment horizontal="left" vertical="top"/>
    </xf>
    <xf numFmtId="172" fontId="21" fillId="6" borderId="1" xfId="0" applyNumberFormat="1" applyFont="1" applyFill="1" applyBorder="1" applyAlignment="1">
      <alignment horizontal="left" vertical="top"/>
    </xf>
    <xf numFmtId="172" fontId="21" fillId="6" borderId="0" xfId="0" applyNumberFormat="1" applyFont="1" applyFill="1" applyBorder="1" applyAlignment="1">
      <alignment horizontal="left" vertical="top"/>
    </xf>
    <xf numFmtId="172" fontId="21" fillId="6" borderId="7" xfId="0" applyNumberFormat="1" applyFont="1" applyFill="1" applyBorder="1" applyAlignment="1">
      <alignment horizontal="left" vertical="top"/>
    </xf>
    <xf numFmtId="172" fontId="21" fillId="6" borderId="18" xfId="0" applyNumberFormat="1" applyFont="1" applyFill="1" applyBorder="1" applyAlignment="1">
      <alignment horizontal="left" vertical="top"/>
    </xf>
    <xf numFmtId="172" fontId="21" fillId="6" borderId="13" xfId="0" applyNumberFormat="1" applyFont="1" applyFill="1" applyBorder="1" applyAlignment="1">
      <alignment horizontal="left" vertical="top"/>
    </xf>
    <xf numFmtId="172" fontId="21" fillId="6" borderId="9" xfId="0" applyNumberFormat="1" applyFont="1" applyFill="1" applyBorder="1" applyAlignment="1">
      <alignment horizontal="left" vertical="top"/>
    </xf>
    <xf numFmtId="0" fontId="15" fillId="13" borderId="8" xfId="0" applyFont="1" applyFill="1" applyBorder="1" applyAlignment="1">
      <alignment horizontal="center"/>
    </xf>
    <xf numFmtId="0" fontId="15" fillId="13" borderId="14" xfId="0" applyFont="1" applyFill="1" applyBorder="1" applyAlignment="1">
      <alignment horizontal="center" vertical="top" wrapText="1"/>
    </xf>
    <xf numFmtId="0" fontId="15" fillId="13" borderId="3" xfId="0" applyFont="1" applyFill="1" applyBorder="1" applyAlignment="1">
      <alignment horizontal="center" vertical="top" wrapText="1"/>
    </xf>
    <xf numFmtId="174" fontId="15" fillId="13" borderId="14" xfId="0" applyNumberFormat="1" applyFont="1" applyFill="1" applyBorder="1" applyAlignment="1">
      <alignment horizontal="center" vertical="top" wrapText="1"/>
    </xf>
    <xf numFmtId="174" fontId="15" fillId="13" borderId="3" xfId="0" applyNumberFormat="1" applyFont="1" applyFill="1" applyBorder="1" applyAlignment="1">
      <alignment horizontal="center" vertical="top" wrapText="1"/>
    </xf>
    <xf numFmtId="0" fontId="15" fillId="13" borderId="12" xfId="0" applyFont="1" applyFill="1" applyBorder="1" applyAlignment="1">
      <alignment horizontal="left"/>
    </xf>
    <xf numFmtId="0" fontId="15" fillId="13" borderId="10" xfId="0" applyFont="1" applyFill="1" applyBorder="1" applyAlignment="1">
      <alignment horizontal="left"/>
    </xf>
    <xf numFmtId="0" fontId="15" fillId="13" borderId="14" xfId="0" applyFont="1" applyFill="1" applyBorder="1" applyAlignment="1">
      <alignment horizontal="center" vertical="center" wrapText="1"/>
    </xf>
    <xf numFmtId="0" fontId="15" fillId="13" borderId="4" xfId="0" applyFont="1" applyFill="1" applyBorder="1" applyAlignment="1">
      <alignment horizontal="center" vertical="center" wrapText="1"/>
    </xf>
    <xf numFmtId="0" fontId="15" fillId="13" borderId="14" xfId="0" applyFont="1" applyFill="1" applyBorder="1" applyAlignment="1">
      <alignment horizontal="center" vertical="center"/>
    </xf>
    <xf numFmtId="0" fontId="15" fillId="13" borderId="4" xfId="0" applyFont="1" applyFill="1" applyBorder="1" applyAlignment="1">
      <alignment horizontal="center" vertical="center"/>
    </xf>
    <xf numFmtId="0" fontId="15" fillId="13" borderId="3" xfId="0" applyFont="1" applyFill="1" applyBorder="1" applyAlignment="1">
      <alignment horizontal="center" vertical="center"/>
    </xf>
    <xf numFmtId="0" fontId="15" fillId="13" borderId="11" xfId="0" applyFont="1" applyFill="1" applyBorder="1" applyAlignment="1">
      <alignment horizontal="center"/>
    </xf>
    <xf numFmtId="0" fontId="15" fillId="13" borderId="12" xfId="0" applyFont="1" applyFill="1" applyBorder="1" applyAlignment="1">
      <alignment horizontal="center"/>
    </xf>
    <xf numFmtId="0" fontId="15" fillId="13" borderId="10" xfId="0" applyFont="1" applyFill="1" applyBorder="1" applyAlignment="1">
      <alignment horizontal="center"/>
    </xf>
    <xf numFmtId="0" fontId="15" fillId="0" borderId="14" xfId="0" applyFont="1" applyFill="1" applyBorder="1" applyAlignment="1">
      <alignment horizontal="center" vertical="top" wrapText="1"/>
    </xf>
    <xf numFmtId="0" fontId="15" fillId="0" borderId="3" xfId="0" applyFont="1" applyFill="1" applyBorder="1" applyAlignment="1">
      <alignment horizontal="center" vertical="top" wrapText="1"/>
    </xf>
    <xf numFmtId="0" fontId="15" fillId="0" borderId="0" xfId="0" applyFont="1" applyBorder="1" applyAlignment="1">
      <alignment horizontal="left"/>
    </xf>
    <xf numFmtId="2" fontId="17" fillId="0" borderId="10" xfId="0" applyNumberFormat="1" applyFont="1" applyBorder="1" applyAlignment="1">
      <alignment horizontal="left"/>
    </xf>
    <xf numFmtId="0" fontId="15" fillId="0" borderId="11" xfId="0" applyFont="1" applyBorder="1" applyAlignment="1">
      <alignment horizontal="left"/>
    </xf>
    <xf numFmtId="0" fontId="15" fillId="0" borderId="8" xfId="0" applyFont="1" applyBorder="1" applyAlignment="1">
      <alignment horizontal="center"/>
    </xf>
    <xf numFmtId="0" fontId="15" fillId="0" borderId="14"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14" xfId="0" applyFont="1" applyBorder="1" applyAlignment="1">
      <alignment horizontal="center" vertical="center"/>
    </xf>
    <xf numFmtId="0" fontId="15" fillId="0" borderId="4" xfId="0" applyFont="1" applyBorder="1" applyAlignment="1">
      <alignment horizontal="center" vertical="center"/>
    </xf>
    <xf numFmtId="0" fontId="15" fillId="0" borderId="3" xfId="0" applyFont="1" applyBorder="1" applyAlignment="1">
      <alignment horizontal="center" vertical="center"/>
    </xf>
    <xf numFmtId="0" fontId="15" fillId="0" borderId="11" xfId="0" applyFont="1" applyBorder="1" applyAlignment="1">
      <alignment horizontal="center"/>
    </xf>
    <xf numFmtId="0" fontId="15" fillId="0" borderId="12" xfId="0" applyFont="1" applyBorder="1" applyAlignment="1">
      <alignment horizontal="center"/>
    </xf>
    <xf numFmtId="0" fontId="15" fillId="0" borderId="10" xfId="0" applyFont="1" applyBorder="1" applyAlignment="1">
      <alignment horizontal="center"/>
    </xf>
    <xf numFmtId="0" fontId="15" fillId="2" borderId="14"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14"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11" xfId="0" applyFont="1" applyFill="1" applyBorder="1" applyAlignment="1">
      <alignment horizontal="center"/>
    </xf>
    <xf numFmtId="0" fontId="15" fillId="2" borderId="12" xfId="0" applyFont="1" applyFill="1" applyBorder="1" applyAlignment="1">
      <alignment horizontal="center"/>
    </xf>
    <xf numFmtId="0" fontId="15" fillId="2" borderId="10" xfId="0" applyFont="1" applyFill="1" applyBorder="1" applyAlignment="1">
      <alignment horizontal="center"/>
    </xf>
    <xf numFmtId="174" fontId="15" fillId="0" borderId="14" xfId="0" applyNumberFormat="1" applyFont="1" applyBorder="1" applyAlignment="1">
      <alignment horizontal="center" vertical="top" wrapText="1"/>
    </xf>
    <xf numFmtId="174" fontId="15" fillId="0" borderId="3" xfId="0" applyNumberFormat="1" applyFont="1" applyBorder="1" applyAlignment="1">
      <alignment horizontal="center" vertical="top" wrapText="1"/>
    </xf>
    <xf numFmtId="0" fontId="15" fillId="0" borderId="3" xfId="0" applyFont="1" applyBorder="1" applyAlignment="1">
      <alignment horizontal="left" vertical="top" wrapText="1"/>
    </xf>
    <xf numFmtId="166" fontId="15" fillId="0" borderId="3" xfId="0" applyNumberFormat="1" applyFont="1" applyBorder="1" applyAlignment="1">
      <alignment horizontal="center" vertical="top"/>
    </xf>
    <xf numFmtId="165" fontId="15" fillId="0" borderId="3" xfId="0" applyNumberFormat="1" applyFont="1" applyFill="1" applyBorder="1" applyAlignment="1">
      <alignment horizontal="center" vertical="top"/>
    </xf>
    <xf numFmtId="2" fontId="15" fillId="0" borderId="3" xfId="0" applyNumberFormat="1" applyFont="1" applyBorder="1" applyAlignment="1">
      <alignment vertical="top"/>
    </xf>
    <xf numFmtId="0" fontId="15" fillId="0" borderId="12" xfId="0" applyFont="1" applyBorder="1" applyAlignment="1">
      <alignment horizontal="left"/>
    </xf>
    <xf numFmtId="0" fontId="15" fillId="0" borderId="10" xfId="0" applyFont="1" applyBorder="1" applyAlignment="1">
      <alignment horizontal="left"/>
    </xf>
    <xf numFmtId="176" fontId="15" fillId="0" borderId="14" xfId="0" applyNumberFormat="1" applyFont="1" applyBorder="1" applyAlignment="1">
      <alignment horizontal="center" vertical="top" wrapText="1"/>
    </xf>
    <xf numFmtId="176" fontId="15" fillId="0" borderId="3" xfId="0" applyNumberFormat="1" applyFont="1" applyBorder="1" applyAlignment="1">
      <alignment horizontal="center" vertical="top" wrapText="1"/>
    </xf>
    <xf numFmtId="165" fontId="15" fillId="0" borderId="3" xfId="0" applyNumberFormat="1" applyFont="1" applyBorder="1" applyAlignment="1">
      <alignment horizontal="left" vertical="top" wrapText="1"/>
    </xf>
    <xf numFmtId="0" fontId="19" fillId="0" borderId="8" xfId="0" applyFont="1" applyBorder="1" applyAlignment="1">
      <alignment horizontal="center"/>
    </xf>
    <xf numFmtId="0" fontId="28" fillId="0" borderId="14" xfId="0" applyFont="1" applyFill="1" applyBorder="1" applyAlignment="1">
      <alignment horizontal="center" vertical="top" wrapText="1"/>
    </xf>
    <xf numFmtId="0" fontId="28" fillId="0" borderId="3" xfId="0" applyFont="1" applyFill="1" applyBorder="1" applyAlignment="1">
      <alignment horizontal="center" vertical="top" wrapText="1"/>
    </xf>
    <xf numFmtId="0" fontId="19" fillId="0" borderId="12" xfId="0" applyFont="1" applyBorder="1" applyAlignment="1">
      <alignment horizontal="left"/>
    </xf>
    <xf numFmtId="0" fontId="19" fillId="0" borderId="10" xfId="0" applyFont="1" applyBorder="1" applyAlignment="1">
      <alignment horizontal="left"/>
    </xf>
    <xf numFmtId="0" fontId="18" fillId="0" borderId="10" xfId="0" applyFont="1" applyBorder="1" applyAlignment="1">
      <alignment horizontal="center"/>
    </xf>
    <xf numFmtId="0" fontId="18" fillId="0" borderId="11" xfId="0" applyFont="1" applyBorder="1" applyAlignment="1">
      <alignment horizontal="center"/>
    </xf>
    <xf numFmtId="0" fontId="19" fillId="0" borderId="14"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14" xfId="0" applyFont="1" applyBorder="1" applyAlignment="1">
      <alignment horizontal="center" vertical="center"/>
    </xf>
    <xf numFmtId="0" fontId="19" fillId="0" borderId="4" xfId="0"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0" xfId="0" applyFont="1" applyBorder="1" applyAlignment="1">
      <alignment horizontal="center"/>
    </xf>
  </cellXfs>
  <cellStyles count="4">
    <cellStyle name="Comma" xfId="1" builtinId="3"/>
    <cellStyle name="Normal" xfId="0" builtinId="0"/>
    <cellStyle name="Normal_Unit Rates"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externalLink" Target="externalLinks/externalLink7.xml"/><Relationship Id="rId50" Type="http://schemas.openxmlformats.org/officeDocument/2006/relationships/externalLink" Target="externalLinks/externalLink10.xml"/><Relationship Id="rId55" Type="http://schemas.openxmlformats.org/officeDocument/2006/relationships/externalLink" Target="externalLinks/externalLink15.xml"/><Relationship Id="rId63" Type="http://schemas.openxmlformats.org/officeDocument/2006/relationships/externalLink" Target="externalLinks/externalLink2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5.xml"/><Relationship Id="rId53" Type="http://schemas.openxmlformats.org/officeDocument/2006/relationships/externalLink" Target="externalLinks/externalLink13.xml"/><Relationship Id="rId58" Type="http://schemas.openxmlformats.org/officeDocument/2006/relationships/externalLink" Target="externalLinks/externalLink18.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9.xml"/><Relationship Id="rId57" Type="http://schemas.openxmlformats.org/officeDocument/2006/relationships/externalLink" Target="externalLinks/externalLink17.xml"/><Relationship Id="rId61" Type="http://schemas.openxmlformats.org/officeDocument/2006/relationships/externalLink" Target="externalLinks/externalLink2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4.xml"/><Relationship Id="rId52" Type="http://schemas.openxmlformats.org/officeDocument/2006/relationships/externalLink" Target="externalLinks/externalLink12.xml"/><Relationship Id="rId60" Type="http://schemas.openxmlformats.org/officeDocument/2006/relationships/externalLink" Target="externalLinks/externalLink2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externalLink" Target="externalLinks/externalLink8.xml"/><Relationship Id="rId56" Type="http://schemas.openxmlformats.org/officeDocument/2006/relationships/externalLink" Target="externalLinks/externalLink16.xml"/><Relationship Id="rId64"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6.xml"/><Relationship Id="rId59" Type="http://schemas.openxmlformats.org/officeDocument/2006/relationships/externalLink" Target="externalLinks/externalLink1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54" Type="http://schemas.openxmlformats.org/officeDocument/2006/relationships/externalLink" Target="externalLinks/externalLink14.xml"/><Relationship Id="rId6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Roaming\Microsoft\Excel\PKT+Work\Solu%20Khola%20Dudh%20Koshi\Solu-update-dec-2011\Solu=CAM=update.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11%20Backup%20MS%20Files\TA3%20Archive\SNP\27.%20Technical%20Update%20Study\Optimization%20&amp;%20Costing\Capacity%20Optimization%20and%20Costing\05112011COST_650MW.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bikash.BPCH\Desktop\Rate%20Analysis%20Nyadi_20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Nitish\WORKING%20FOLDER\Due%20Diligence\Super%20Nyadi%20HPP\Cost%20estimate\Final\Civil\Final%20Cost%20Summary%20Sheet_Anu_edit%20Nitish%20(Autosave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User\AppData\Roaming\Microsoft\Excel\OPEN\640%20Khare\61Hydraulics\Basic%20Desig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User\AppData\Roaming\Microsoft\Excel\My%20Documents\Basic%20Desig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User\AppData\Roaming\Microsoft\Excel\Projects\Khare\751030%20Khare.ms\61Hydraulics\OLD\Basic%20Desig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User\AppData\Roaming\Microsoft\Excel\OPEN\751020%20Lower%20Hongu.np\61Design\14.5%20MW\Weir%20design_U.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ipraj\rate%20analysis\Inkhu%20rate%20analysis\Cost%20Estimation%20Tools\Revised_Bhuwan%20Dai.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Share_all\Pravash\from%20kirty\sankhuwa%20as%20khimti%20new.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User\AppData\Roaming\Microsoft\Excel\OPEN\751020%20Lower%20Hongu.np\61Hydraulics\Headwork\Supporting%20xls\Basic%20Design%20L.%20Hong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ffice\UECCC\Spillway\Headpond.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I:\Documents%20and%20Settings\khemraj\Application%20Data\Microsoft\Excel\Hydraulic%20Calculation-Boulder%20Lined%20Weir-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LHKSHP\Design\Weir%20hydraulics_diwash(fina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surendra\AppData\Roaming\Microsoft\Excel\BoQ-Manang%20Marsyangdi.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BBDP%20Again\for%20anchor%20block%206%20trifur\BBDP%20Anchor%20Block%206Trifur.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Rate\Tunnel%20Optimisation%20adi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User\AppData\Roaming\Microsoft\Excel\Work\SKDKHEP\14%20Feasibility%20Study%20Reports\05%20Design%20&amp;%20Calculations%20-%20Final%20Study\Optimization%20Study\HRT-Muna%20edit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User\AppData\Roaming\Microsoft\Excel\Users\139905assu\AppData\Roaming\Microsoft\Excel\Tunnel%20Cost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enovo\Downloads\Compressed\drive-download-20201215T140719Z-001\Rate%20Analysis_MMHEP_Update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Jobs/OPEN/751340%20Balephi/61Design_HW/final/settling%20basi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User\AppData\Roaming\Microsoft\Excel\Work\Khare\mhs\overall%20design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User\AppData\Roaming\Microsoft\Excel\Users\DEll\Desktop\SKDKHEP-sudish\Draft%20Estimat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sunav\Downloads\kasuwa_headworks_hydraulicsiz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u"/>
      <sheetName val="FLOW"/>
      <sheetName val="Data-FDC"/>
      <sheetName val="ANNUAL"/>
    </sheetNames>
    <sheetDataSet>
      <sheetData sheetId="0"/>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atiled Costing"/>
      <sheetName val="Summary"/>
      <sheetName val="SWECO's QRA"/>
      <sheetName val="Best, probable, worst"/>
    </sheetNames>
    <sheetDataSet>
      <sheetData sheetId="0"/>
      <sheetData sheetId="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Rates"/>
      <sheetName val="RATES INCLUDING TRANSPORATION"/>
      <sheetName val="Distances"/>
      <sheetName val="Site Clearance"/>
      <sheetName val="Excavation"/>
      <sheetName val="Filling"/>
      <sheetName val="Formwork"/>
      <sheetName val="Concrete"/>
      <sheetName val="Reinforcement"/>
      <sheetName val="Brickwork"/>
      <sheetName val="Plaster"/>
      <sheetName val="Masonry"/>
      <sheetName val="Gabion"/>
      <sheetName val="Grouting"/>
      <sheetName val="Protection"/>
      <sheetName val="Geotextile"/>
      <sheetName val="Roofing"/>
      <sheetName val="Painting"/>
      <sheetName val="Doors &amp; Windows"/>
      <sheetName val="Screeding &amp; Punning"/>
      <sheetName val="Underground"/>
      <sheetName val="Additionals"/>
      <sheetName val="Summary"/>
    </sheetNames>
    <sheetDataSet>
      <sheetData sheetId="0" refreshError="1"/>
      <sheetData sheetId="1" refreshError="1"/>
      <sheetData sheetId="2" refreshError="1">
        <row r="5">
          <cell r="B5" t="str">
            <v>BESISAHAR</v>
          </cell>
          <cell r="C5">
            <v>0</v>
          </cell>
          <cell r="D5">
            <v>0</v>
          </cell>
          <cell r="E5">
            <v>0</v>
          </cell>
        </row>
        <row r="6">
          <cell r="B6" t="str">
            <v>KATHMANDU</v>
          </cell>
          <cell r="C6">
            <v>172.4</v>
          </cell>
          <cell r="D6">
            <v>0</v>
          </cell>
          <cell r="E6">
            <v>0</v>
          </cell>
        </row>
        <row r="7">
          <cell r="B7" t="str">
            <v>POKHARA</v>
          </cell>
          <cell r="C7">
            <v>111.54</v>
          </cell>
          <cell r="D7">
            <v>0</v>
          </cell>
          <cell r="E7">
            <v>0</v>
          </cell>
        </row>
        <row r="8">
          <cell r="B8" t="str">
            <v>NARAYANGHAT</v>
          </cell>
          <cell r="C8">
            <v>103.95</v>
          </cell>
          <cell r="D8">
            <v>0</v>
          </cell>
          <cell r="E8">
            <v>0</v>
          </cell>
        </row>
        <row r="9">
          <cell r="B9" t="str">
            <v>BUTWAL</v>
          </cell>
          <cell r="C9">
            <v>217.75</v>
          </cell>
          <cell r="D9">
            <v>0</v>
          </cell>
          <cell r="E9">
            <v>0</v>
          </cell>
        </row>
        <row r="10">
          <cell r="B10" t="str">
            <v>BHAIRAHAWA</v>
          </cell>
          <cell r="C10">
            <v>236.72</v>
          </cell>
          <cell r="D10">
            <v>0</v>
          </cell>
          <cell r="E10">
            <v>0</v>
          </cell>
        </row>
        <row r="11">
          <cell r="B11" t="str">
            <v>NEPALGUNJ</v>
          </cell>
          <cell r="C11">
            <v>469.96</v>
          </cell>
          <cell r="D11">
            <v>0</v>
          </cell>
          <cell r="E11">
            <v>0</v>
          </cell>
        </row>
        <row r="12">
          <cell r="B12" t="str">
            <v>MUGLING</v>
          </cell>
          <cell r="C12">
            <v>67.790000000000006</v>
          </cell>
          <cell r="D12">
            <v>0</v>
          </cell>
          <cell r="E12">
            <v>0</v>
          </cell>
        </row>
        <row r="13">
          <cell r="B13" t="str">
            <v>DUMRE</v>
          </cell>
          <cell r="C13">
            <v>43.43</v>
          </cell>
          <cell r="D13">
            <v>0</v>
          </cell>
          <cell r="E13">
            <v>0</v>
          </cell>
        </row>
        <row r="14">
          <cell r="B14" t="str">
            <v>MALANGAWA</v>
          </cell>
          <cell r="C14">
            <v>303</v>
          </cell>
          <cell r="D14">
            <v>0</v>
          </cell>
          <cell r="E14">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works"/>
      <sheetName val="Summary Sheet @Headworks"/>
      <sheetName val="Head Race Tunnel"/>
      <sheetName val="Niche Excavation"/>
      <sheetName val="Summary Sheet HRT_Niche"/>
      <sheetName val="Adit Tunnel 1"/>
      <sheetName val="Summary Sheet Adit 1"/>
      <sheetName val="Adit Tunnel 2"/>
      <sheetName val="Summary Sheet Adit 2"/>
      <sheetName val="Surge Tank"/>
      <sheetName val="Summary SHeet S_Tank_Rock Trap"/>
      <sheetName val="Adit to Surge Shaft"/>
      <sheetName val="Summary Sheet Adit to Surgge"/>
      <sheetName val="Prnstock Shaft "/>
      <sheetName val="Summary Sheet Penstock Shaft"/>
      <sheetName val="Adit to Penstock Shaft"/>
      <sheetName val="Summary Sheet Adit to Penstock "/>
      <sheetName val="Access to Penstock Shaft Frm PH"/>
      <sheetName val="Summary Sheet Access to Penstoc"/>
      <sheetName val="powerhouse "/>
      <sheetName val="tailrace canal and portal"/>
      <sheetName val="transformer cavern"/>
      <sheetName val="access tunneL  and portaL"/>
      <sheetName val="tailrace tunnel"/>
      <sheetName val="final summary sheet"/>
      <sheetName val="Final Summary SHeet All"/>
      <sheetName val="Summary of Civil Works"/>
      <sheetName val="Basic Rates"/>
      <sheetName val="RATES INCLUDING TRANSPORATION"/>
      <sheetName val="Distances"/>
      <sheetName val="Site Clearance"/>
      <sheetName val="Excavation"/>
      <sheetName val="Filling"/>
      <sheetName val="Dry stone soling"/>
      <sheetName val="Formwork"/>
      <sheetName val="Surface_Rockbolt"/>
      <sheetName val="Surface Water Stopper"/>
      <sheetName val="Concrete"/>
      <sheetName val="Reinforcement"/>
      <sheetName val="Underground Reinforcement"/>
      <sheetName val="Brickwork"/>
      <sheetName val="Plaster"/>
      <sheetName val="Masonry"/>
      <sheetName val="Gabion"/>
      <sheetName val="Grouting"/>
      <sheetName val="Protection(Boulder Riprap)"/>
      <sheetName val="Geotextile"/>
      <sheetName val="Roofing"/>
      <sheetName val="Painting"/>
      <sheetName val="Doors &amp; Windows"/>
      <sheetName val="Screeding &amp; Punning"/>
      <sheetName val="Surface Shotcrete"/>
      <sheetName val="Boulder Riprap"/>
      <sheetName val="Hard stone lining"/>
      <sheetName val="Underground"/>
      <sheetName val="Laying stone Aggregate"/>
      <sheetName val="Surface Wiremesh"/>
      <sheetName val="Exploratory Drilling"/>
      <sheetName val="Mucking"/>
      <sheetName val="Underground Formworks"/>
      <sheetName val="Steel Ribs"/>
      <sheetName val="Additionals"/>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38">
          <cell r="D38">
            <v>784.16000000000008</v>
          </cell>
        </row>
        <row r="134">
          <cell r="D134">
            <v>324.48</v>
          </cell>
        </row>
        <row r="143">
          <cell r="D143">
            <v>1946.88</v>
          </cell>
        </row>
        <row r="144">
          <cell r="D144">
            <v>2271.36</v>
          </cell>
        </row>
      </sheetData>
      <sheetData sheetId="28">
        <row r="20">
          <cell r="V20">
            <v>1865.76</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Weir Uplift"/>
      <sheetName val="Format A (2)"/>
      <sheetName val="Side Intake and Orifice"/>
      <sheetName val="Trashracks"/>
      <sheetName val="Gravel Trap"/>
      <sheetName val="Gravel Flushing Chanel"/>
      <sheetName val="Intake Canal"/>
      <sheetName val="Settling Basin"/>
      <sheetName val="Settling Flushing Chanel "/>
      <sheetName val="Headrace Tunnel1 - Option 1"/>
      <sheetName val="Headrace Canal  (2)"/>
      <sheetName val="Headrace Canal  (3)"/>
      <sheetName val="Headrace Tunnel2 - Option 1"/>
      <sheetName val="Headrace Tunnel2 - Option 1 (2)"/>
      <sheetName val="Headrace Tunnel - Option2"/>
      <sheetName val="HeadLoss"/>
      <sheetName val="Hydraulic Gadient"/>
      <sheetName val="Hydraulic Gadient (2)"/>
      <sheetName val="HeadLoss (2)"/>
      <sheetName val="HeadLoss HFL"/>
      <sheetName val="HeadLossApril"/>
      <sheetName val="HeadLossApril (3)"/>
      <sheetName val="Headrace Tunnel III Phase 1"/>
      <sheetName val="Headrace Canal Option III"/>
      <sheetName val="Headrace Tunnel III Phase 2"/>
      <sheetName val="Surge Shaft 3m dia"/>
      <sheetName val="Surge Shaft 4m dia"/>
      <sheetName val="Penstock"/>
      <sheetName val="Side Intake and Orifice (2)"/>
      <sheetName val="Headrace Canal  before st"/>
      <sheetName val="Format A (3)"/>
      <sheetName val="Hydraulig Jump"/>
      <sheetName val="Headrace Canal "/>
      <sheetName val="Submergence"/>
      <sheetName val="Headrace Tunnel I"/>
      <sheetName val="Headrace Tunnel II Phase 1"/>
      <sheetName val="Headrace Canal Option II"/>
      <sheetName val="Headrace Tunnel II Phase 2"/>
      <sheetName val="Basic Design"/>
      <sheetName val="HeadLossApril (2)"/>
    </sheetNames>
    <sheetDataSet>
      <sheetData sheetId="0"/>
      <sheetData sheetId="1"/>
      <sheetData sheetId="2"/>
      <sheetData sheetId="3"/>
      <sheetData sheetId="4">
        <row r="22">
          <cell r="B22">
            <v>207.30894043101549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Format A (2)"/>
      <sheetName val="Side Intake and Orifice"/>
      <sheetName val="Trashracks"/>
      <sheetName val="Gravel Trap"/>
      <sheetName val="Gravel Flushing Chanel"/>
      <sheetName val="Intake Canal"/>
      <sheetName val="Settling Basin"/>
      <sheetName val="Settling Flushing Chanel "/>
      <sheetName val="Headrace Canal "/>
      <sheetName val="Headrace Tunnel1 - Option 1"/>
      <sheetName val="Headrace Canal  (2)"/>
      <sheetName val="Headrace Tunnel2 - Option 1"/>
      <sheetName val="Headrace Tunnel - Option2"/>
      <sheetName val="HeadLoss"/>
      <sheetName val="Hydraulic Gadient"/>
      <sheetName val="Format A"/>
    </sheetNames>
    <sheetDataSet>
      <sheetData sheetId="0" refreshError="1">
        <row r="7">
          <cell r="B7">
            <v>2.94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0">
          <cell r="C10">
            <v>0.02</v>
          </cell>
        </row>
      </sheetData>
      <sheetData sheetId="14" refreshError="1">
        <row r="31">
          <cell r="I31">
            <v>2.8266242162540216</v>
          </cell>
        </row>
      </sheetData>
      <sheetData sheetId="15" refreshError="1"/>
      <sheetData sheetId="16" refreshError="1">
        <row r="20">
          <cell r="H20">
            <v>3.375</v>
          </cell>
        </row>
      </sheetData>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Weir Uplift"/>
      <sheetName val="Format A (2)"/>
      <sheetName val="Side Intake and Orifice"/>
      <sheetName val="Trashracks"/>
      <sheetName val="Gravel Trap"/>
      <sheetName val="Gravel Flushing Chanel"/>
      <sheetName val="Intake Canal"/>
      <sheetName val="Settling Basin"/>
      <sheetName val="Settling Flushing Chanel "/>
      <sheetName val="Headrace Tunnel1 - Option 1"/>
      <sheetName val="Headrace Canal  (2)"/>
      <sheetName val="Headrace Canal  (3)"/>
      <sheetName val="Headrace Tunnel2 - Option 1"/>
      <sheetName val="Headrace Tunnel2 - Option 1 (2)"/>
      <sheetName val="Headrace Tunnel - Option2"/>
      <sheetName val="HeadLoss"/>
      <sheetName val="Hydraulic Gadient"/>
      <sheetName val="Hydraulic Gadient (2)"/>
      <sheetName val="HeadLoss (2)"/>
      <sheetName val="HeadLoss HFL"/>
      <sheetName val="HeadLossApril"/>
      <sheetName val="HeadLossApril (3)"/>
      <sheetName val="Headrace Tunnel III Phase 1"/>
      <sheetName val="Headrace Canal Option III"/>
      <sheetName val="Headrace Tunnel III Phase 2"/>
      <sheetName val="Surge Shaft 3m dia"/>
      <sheetName val="Surge Shaft 4m dia"/>
      <sheetName val="Penstock"/>
      <sheetName val="Side Intake and Orifice (2)"/>
      <sheetName val="Headrace Canal  before st"/>
      <sheetName val="Format A (3)"/>
      <sheetName val="Hydraulig Jump"/>
    </sheetNames>
    <sheetDataSet>
      <sheetData sheetId="0"/>
      <sheetData sheetId="1" refreshError="1"/>
      <sheetData sheetId="2" refreshError="1"/>
      <sheetData sheetId="3" refreshError="1"/>
      <sheetData sheetId="4"/>
      <sheetData sheetId="5"/>
      <sheetData sheetId="6">
        <row r="14">
          <cell r="B14">
            <v>1535.41</v>
          </cell>
        </row>
        <row r="19">
          <cell r="B19">
            <v>1537.81</v>
          </cell>
        </row>
      </sheetData>
      <sheetData sheetId="7"/>
      <sheetData sheetId="8"/>
      <sheetData sheetId="9"/>
      <sheetData sheetId="10">
        <row r="18">
          <cell r="H18">
            <v>1.6415788877562578</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rLH"/>
      <sheetName val="WeirLH (as MicroH)(ok)"/>
      <sheetName val="Hydraulic jump (Dip)"/>
      <sheetName val="Hydraulic Jump (2)"/>
      <sheetName val="HJ-Profile"/>
      <sheetName val="Free flow weir in flood flow"/>
      <sheetName val="Exit gradient"/>
      <sheetName val="Scour depth"/>
      <sheetName val="Sheet1"/>
      <sheetName val="stnUS"/>
      <sheetName val="stnD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Input_def"/>
      <sheetName val="Input_opt"/>
      <sheetName val="Database"/>
      <sheetName val="UnitCost"/>
      <sheetName val="1.5MVASS_b3"/>
      <sheetName val="3MVASS_b2"/>
      <sheetName val="6MVASS_b1"/>
      <sheetName val="TL_Cost"/>
      <sheetName val="Kevin'slaw"/>
      <sheetName val="Reliability_Analysis"/>
      <sheetName val="Conductor_selection"/>
      <sheetName val="Chart1"/>
      <sheetName val="Summary"/>
      <sheetName val="output_Reprt"/>
      <sheetName val="R_X values"/>
      <sheetName val="PU_RX"/>
      <sheetName val="shee3"/>
    </sheetNames>
    <sheetDataSet>
      <sheetData sheetId="0">
        <row r="27">
          <cell r="C27" t="str">
            <v>Lag</v>
          </cell>
        </row>
        <row r="28">
          <cell r="C28" t="str">
            <v>Lead</v>
          </cell>
        </row>
        <row r="45">
          <cell r="C45">
            <v>11</v>
          </cell>
        </row>
        <row r="46">
          <cell r="C46">
            <v>33</v>
          </cell>
        </row>
        <row r="47">
          <cell r="C47">
            <v>66</v>
          </cell>
        </row>
        <row r="48">
          <cell r="C48">
            <v>132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dersluice hydraulics NWL  (2)"/>
      <sheetName val="fine trash rack "/>
      <sheetName val="submergence depth "/>
      <sheetName val="side intake "/>
      <sheetName val="hl loss"/>
      <sheetName val="gravel trap "/>
      <sheetName val="fixing of water way crest "/>
      <sheetName val="undersluice hydraulics HFL"/>
      <sheetName val="undersluice hydraulics NWL "/>
      <sheetName val="undersluice HFL "/>
      <sheetName val="boulder weir "/>
      <sheetName val="ogee weir "/>
      <sheetName val="head over the weir "/>
      <sheetName val="sheet pile "/>
      <sheetName val="khosla analysis"/>
      <sheetName val="floor thickness "/>
      <sheetName val="Protection works "/>
      <sheetName val="vertical drop weir "/>
      <sheetName val="undersluice "/>
      <sheetName val="Sheet1"/>
      <sheetName val="Sheet2"/>
      <sheetName val="Sheet3"/>
    </sheetNames>
    <sheetDataSet>
      <sheetData sheetId="0"/>
      <sheetData sheetId="1"/>
      <sheetData sheetId="2"/>
      <sheetData sheetId="3"/>
      <sheetData sheetId="4"/>
      <sheetData sheetId="5"/>
      <sheetData sheetId="6">
        <row r="1">
          <cell r="D1">
            <v>426</v>
          </cell>
        </row>
        <row r="2">
          <cell r="D2">
            <v>426</v>
          </cell>
        </row>
        <row r="348">
          <cell r="D348">
            <v>12</v>
          </cell>
        </row>
        <row r="349">
          <cell r="D349">
            <v>2</v>
          </cell>
        </row>
        <row r="351">
          <cell r="D351">
            <v>412</v>
          </cell>
        </row>
        <row r="353">
          <cell r="D353">
            <v>10.3</v>
          </cell>
        </row>
        <row r="397">
          <cell r="D397">
            <v>40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Weir Uplift"/>
      <sheetName val="Format A (2)"/>
      <sheetName val="Side Intake and Orifice"/>
      <sheetName val="Trashracks"/>
      <sheetName val="Gravel Trap"/>
      <sheetName val="Gravel Flushing Chanel"/>
      <sheetName val="Intake Canal"/>
      <sheetName val="Settling Basin"/>
      <sheetName val="Settling Flushing Chanel "/>
      <sheetName val="Headrace Tunnel1 - Option 1"/>
      <sheetName val="Headrace Canal  (2)"/>
      <sheetName val="Headrace Canal  (3)"/>
      <sheetName val="Headrace Tunnel2 - Option 1"/>
      <sheetName val="Headrace Tunnel2 - Option 1 (2)"/>
      <sheetName val="Headrace Tunnel - Option2"/>
      <sheetName val="HeadLoss"/>
      <sheetName val="Hydraulic Gadient"/>
      <sheetName val="Hydraulic Gadient (2)"/>
      <sheetName val="HeadLoss (2)"/>
      <sheetName val="HeadLoss HFL"/>
      <sheetName val="HeadLossApril"/>
      <sheetName val="HeadLossApril (3)"/>
      <sheetName val="Headrace Tunnel III Phase 1"/>
      <sheetName val="Headrace Canal Option III"/>
      <sheetName val="Headrace Tunnel III Phase 2"/>
      <sheetName val="Surge Shaft 3m dia"/>
      <sheetName val="Surge Shaft 4m dia"/>
      <sheetName val="Penstock"/>
      <sheetName val="Side Intake and Orifice (2)"/>
      <sheetName val="Headrace Canal  before st"/>
      <sheetName val="Format A (3)"/>
      <sheetName val="Hydraulig Jump"/>
    </sheetNames>
    <sheetDataSet>
      <sheetData sheetId="0"/>
      <sheetData sheetId="1" refreshError="1"/>
      <sheetData sheetId="2" refreshError="1"/>
      <sheetData sheetId="3" refreshError="1"/>
      <sheetData sheetId="4"/>
      <sheetData sheetId="5"/>
      <sheetData sheetId="6"/>
      <sheetData sheetId="7"/>
      <sheetData sheetId="8"/>
      <sheetData sheetId="9"/>
      <sheetData sheetId="10">
        <row r="22">
          <cell r="H22">
            <v>51.720844308653703</v>
          </cell>
        </row>
      </sheetData>
      <sheetData sheetId="11"/>
      <sheetData sheetId="12"/>
      <sheetData sheetId="13"/>
      <sheetData sheetId="14"/>
      <sheetData sheetId="15">
        <row r="20">
          <cell r="C20">
            <v>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Penstock Optimization"/>
      <sheetName val="Spillway"/>
      <sheetName val="Sheet2"/>
      <sheetName val="BPT Design"/>
      <sheetName val="Sheet3"/>
      <sheetName val="BPT Stability"/>
      <sheetName val="Forebay Design"/>
      <sheetName val="Headpond Spillway Design"/>
      <sheetName val="Spillway Pipe Design"/>
      <sheetName val="Autocad_Plan"/>
      <sheetName val="Autocad_commands"/>
      <sheetName val="Quantity Estimation"/>
      <sheetName val="Vb"/>
    </sheetNames>
    <sheetDataSet>
      <sheetData sheetId="0" refreshError="1"/>
      <sheetData sheetId="1" refreshError="1"/>
      <sheetData sheetId="2" refreshError="1"/>
      <sheetData sheetId="3" refreshError="1"/>
      <sheetData sheetId="4" refreshError="1"/>
      <sheetData sheetId="5" refreshError="1"/>
      <sheetData sheetId="6">
        <row r="16">
          <cell r="D16">
            <v>15</v>
          </cell>
        </row>
        <row r="56">
          <cell r="D56">
            <v>3.554136238313375</v>
          </cell>
        </row>
        <row r="58">
          <cell r="D58">
            <v>30</v>
          </cell>
        </row>
        <row r="65">
          <cell r="D65">
            <v>4.054136238313375</v>
          </cell>
        </row>
        <row r="66">
          <cell r="D66">
            <v>3.2541362383133747</v>
          </cell>
        </row>
      </sheetData>
      <sheetData sheetId="7">
        <row r="22">
          <cell r="B22">
            <v>13</v>
          </cell>
        </row>
      </sheetData>
      <sheetData sheetId="8">
        <row r="11">
          <cell r="B11">
            <v>0.6</v>
          </cell>
        </row>
      </sheetData>
      <sheetData sheetId="9">
        <row r="2">
          <cell r="E2" t="str">
            <v>(list 0 0 0)</v>
          </cell>
        </row>
        <row r="3">
          <cell r="E3" t="str">
            <v>(list 4.16 1.2 0)</v>
          </cell>
        </row>
        <row r="4">
          <cell r="E4" t="str">
            <v>(list 19.16 1.2 0)</v>
          </cell>
        </row>
        <row r="5">
          <cell r="E5" t="str">
            <v>(list 23.87 0.1 0)</v>
          </cell>
        </row>
        <row r="6">
          <cell r="E6" t="str">
            <v>(list 23.87 -1.2 0)</v>
          </cell>
        </row>
        <row r="7">
          <cell r="E7" t="str">
            <v>(list 19.16 -2.3 0)</v>
          </cell>
        </row>
        <row r="8">
          <cell r="E8" t="str">
            <v>(list 4.16 -2.3 0)</v>
          </cell>
        </row>
        <row r="9">
          <cell r="E9" t="str">
            <v>(list 0 -1.1 0)</v>
          </cell>
        </row>
        <row r="10">
          <cell r="E10" t="str">
            <v>(list 0 0.45 0)</v>
          </cell>
        </row>
        <row r="11">
          <cell r="E11" t="str">
            <v>(list 4.16 1.65 0)</v>
          </cell>
        </row>
        <row r="12">
          <cell r="E12" t="str">
            <v>(list 19.16 1.65 0)</v>
          </cell>
        </row>
        <row r="13">
          <cell r="E13" t="str">
            <v>(list 23.87 0.55 0)</v>
          </cell>
        </row>
        <row r="14">
          <cell r="E14" t="str">
            <v>(list 0 -1.55 0)</v>
          </cell>
        </row>
        <row r="15">
          <cell r="E15" t="str">
            <v>(list 4.16 -2.75 0)</v>
          </cell>
        </row>
        <row r="16">
          <cell r="E16" t="str">
            <v>(list 19.16 -2.75 0)</v>
          </cell>
        </row>
        <row r="17">
          <cell r="E17" t="str">
            <v>(list 23.87 -1.65 0)</v>
          </cell>
        </row>
        <row r="18">
          <cell r="E18" t="str">
            <v>(list 4.16 0 0)</v>
          </cell>
        </row>
        <row r="19">
          <cell r="E19" t="str">
            <v>(list 18.56 0 0)</v>
          </cell>
        </row>
        <row r="20">
          <cell r="E20" t="str">
            <v>(list 4.16 -1.1 0)</v>
          </cell>
        </row>
        <row r="21">
          <cell r="E21" t="str">
            <v>(list 18.56 -1.1 0)</v>
          </cell>
        </row>
        <row r="22">
          <cell r="E22" t="str">
            <v>(list 18.56 1.2 0)</v>
          </cell>
        </row>
        <row r="23">
          <cell r="E23" t="str">
            <v>(list 18.56 -2.3 0)</v>
          </cell>
        </row>
        <row r="24">
          <cell r="E24" t="str">
            <v>(list 18.96 1.2 0)</v>
          </cell>
        </row>
        <row r="25">
          <cell r="E25" t="str">
            <v>(list 18.96 -2.3 0)</v>
          </cell>
        </row>
      </sheetData>
      <sheetData sheetId="10" refreshError="1"/>
      <sheetData sheetId="11"/>
      <sheetData sheetId="1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Data"/>
      <sheetName val="Plan Sheet"/>
      <sheetName val="Plan"/>
      <sheetName val="Calculations"/>
      <sheetName val="Help"/>
    </sheetNames>
    <sheetDataSet>
      <sheetData sheetId="0" refreshError="1"/>
      <sheetData sheetId="1" refreshError="1"/>
      <sheetData sheetId="2" refreshError="1"/>
      <sheetData sheetId="3">
        <row r="27">
          <cell r="S27" t="str">
            <v>unstable</v>
          </cell>
        </row>
      </sheetData>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ter elev."/>
      <sheetName val="Water level"/>
      <sheetName val="Final"/>
      <sheetName val="Final_int"/>
      <sheetName val="Low bed"/>
      <sheetName val="Low bed_int"/>
      <sheetName val="subs weir(100)"/>
      <sheetName val="Design @10"/>
      <sheetName val="subs weir(ds)"/>
      <sheetName val="Final (drain holes)"/>
      <sheetName val="Final (d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form"/>
      <sheetName val="BoQ-draft"/>
      <sheetName val="BoQ-submitted"/>
      <sheetName val="Sheet2"/>
      <sheetName val="Sheet3"/>
    </sheetNames>
    <sheetDataSet>
      <sheetData sheetId="0"/>
      <sheetData sheetId="1">
        <row r="6">
          <cell r="I6">
            <v>75.3</v>
          </cell>
        </row>
      </sheetData>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s"/>
      <sheetName val="Input Data"/>
      <sheetName val="Forces and Checks"/>
      <sheetName val="Final Shape&amp; Force Diag."/>
    </sheetNames>
    <sheetDataSet>
      <sheetData sheetId="0"/>
      <sheetData sheetId="1">
        <row r="16">
          <cell r="I16">
            <v>7</v>
          </cell>
        </row>
        <row r="17">
          <cell r="I17">
            <v>1.9686005621452132</v>
          </cell>
        </row>
        <row r="19">
          <cell r="N19">
            <v>6.9966861224231085</v>
          </cell>
        </row>
        <row r="20">
          <cell r="N20">
            <v>3.9009677961912455</v>
          </cell>
        </row>
      </sheetData>
      <sheetData sheetId="2"/>
      <sheetData sheetId="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mization (2)"/>
      <sheetName val="A"/>
      <sheetName val="B"/>
      <sheetName val="C"/>
      <sheetName val="D"/>
      <sheetName val="E"/>
      <sheetName val="F"/>
      <sheetName val="G"/>
      <sheetName val="H"/>
      <sheetName val="I"/>
      <sheetName val="Optimization"/>
      <sheetName val="cost estimation_1"/>
      <sheetName val="Input Sheet"/>
      <sheetName val="adit_tunnel"/>
      <sheetName val="J"/>
      <sheetName val="K"/>
      <sheetName val="L"/>
      <sheetName val="M"/>
      <sheetName val="N"/>
      <sheetName val="O"/>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v>5200</v>
          </cell>
        </row>
      </sheetData>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Headrace tunnel"/>
      <sheetName val="Headloss calculation"/>
      <sheetName val="Support Design Chart"/>
    </sheetNames>
    <sheetDataSet>
      <sheetData sheetId="0"/>
      <sheetData sheetId="1"/>
      <sheetData sheetId="2">
        <row r="10">
          <cell r="D10">
            <v>17.649999999999999</v>
          </cell>
        </row>
        <row r="16">
          <cell r="D16">
            <v>14.283185307179586</v>
          </cell>
        </row>
        <row r="18">
          <cell r="D18">
            <v>1</v>
          </cell>
        </row>
        <row r="19">
          <cell r="D19">
            <v>35</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PTIMIZATION"/>
      <sheetName val="Specific speed calculation"/>
      <sheetName val="Tunnel costing_BOQ"/>
      <sheetName val="Support design"/>
      <sheetName val="Unit rate"/>
      <sheetName val="Energy_INPUT&amp;OUTPUT"/>
      <sheetName val="Energy Summary"/>
      <sheetName val="Energy Simulation"/>
      <sheetName val="Inflow"/>
      <sheetName val="Area elevation"/>
      <sheetName val="Headloss"/>
      <sheetName val="Efficiency"/>
      <sheetName val="Tariff Calculation"/>
      <sheetName val="Inflow (from SWECO)"/>
    </sheetNames>
    <sheetDataSet>
      <sheetData sheetId="0"/>
      <sheetData sheetId="1">
        <row r="19">
          <cell r="B19">
            <v>0.11</v>
          </cell>
          <cell r="E19">
            <v>8.6937925734661228</v>
          </cell>
        </row>
      </sheetData>
      <sheetData sheetId="2"/>
      <sheetData sheetId="3"/>
      <sheetData sheetId="4"/>
      <sheetData sheetId="5">
        <row r="6">
          <cell r="E6">
            <v>75</v>
          </cell>
        </row>
      </sheetData>
      <sheetData sheetId="6">
        <row r="4">
          <cell r="D4">
            <v>6.5</v>
          </cell>
        </row>
        <row r="8">
          <cell r="B8" t="str">
            <v>Daily Average</v>
          </cell>
        </row>
        <row r="9">
          <cell r="C9">
            <v>940</v>
          </cell>
        </row>
        <row r="10">
          <cell r="C10">
            <v>934</v>
          </cell>
        </row>
        <row r="11">
          <cell r="C11">
            <v>890</v>
          </cell>
        </row>
        <row r="12">
          <cell r="C12">
            <v>607</v>
          </cell>
        </row>
        <row r="13">
          <cell r="C13">
            <v>333</v>
          </cell>
        </row>
        <row r="14">
          <cell r="C14">
            <v>327</v>
          </cell>
        </row>
        <row r="15">
          <cell r="C15">
            <v>4</v>
          </cell>
        </row>
        <row r="17">
          <cell r="C17">
            <v>160</v>
          </cell>
        </row>
        <row r="19">
          <cell r="C19">
            <v>2.5109910340763015</v>
          </cell>
        </row>
        <row r="20">
          <cell r="C20">
            <v>11240</v>
          </cell>
        </row>
        <row r="21">
          <cell r="C21">
            <v>1580</v>
          </cell>
        </row>
        <row r="23">
          <cell r="C23">
            <v>80</v>
          </cell>
        </row>
        <row r="25">
          <cell r="C25">
            <v>4450</v>
          </cell>
        </row>
        <row r="26">
          <cell r="C26">
            <v>9.01</v>
          </cell>
        </row>
        <row r="27">
          <cell r="C27">
            <v>1</v>
          </cell>
        </row>
        <row r="28">
          <cell r="C28">
            <v>8.2099999999999991</v>
          </cell>
        </row>
        <row r="29">
          <cell r="C29">
            <v>0.4</v>
          </cell>
        </row>
        <row r="30">
          <cell r="C30">
            <v>45</v>
          </cell>
        </row>
        <row r="31">
          <cell r="C31">
            <v>70</v>
          </cell>
        </row>
        <row r="32">
          <cell r="C32">
            <v>90</v>
          </cell>
        </row>
        <row r="34">
          <cell r="C34">
            <v>469.84300545664877</v>
          </cell>
        </row>
        <row r="36">
          <cell r="C36">
            <v>45</v>
          </cell>
        </row>
        <row r="37">
          <cell r="C37">
            <v>9.7889999999999997</v>
          </cell>
        </row>
        <row r="42">
          <cell r="C42">
            <v>10</v>
          </cell>
        </row>
        <row r="43">
          <cell r="C43">
            <v>940</v>
          </cell>
        </row>
        <row r="44">
          <cell r="C44">
            <v>40278</v>
          </cell>
        </row>
        <row r="45">
          <cell r="C45">
            <v>40330</v>
          </cell>
        </row>
        <row r="47">
          <cell r="C47">
            <v>40339</v>
          </cell>
        </row>
        <row r="48">
          <cell r="C48">
            <v>935</v>
          </cell>
        </row>
        <row r="49">
          <cell r="C49">
            <v>40340</v>
          </cell>
        </row>
        <row r="51">
          <cell r="C51">
            <v>40452</v>
          </cell>
        </row>
      </sheetData>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Rates"/>
      <sheetName val="RATES INCLUDING TRANSPORATION"/>
      <sheetName val="Spilling rate"/>
      <sheetName val="Distances"/>
      <sheetName val="Site Clearance"/>
      <sheetName val="Excavation"/>
      <sheetName val="Filling"/>
      <sheetName val="Dry stone soling"/>
      <sheetName val="Formwork"/>
      <sheetName val="Surface_Rockbolt"/>
      <sheetName val="Surface Water Stopper"/>
      <sheetName val="Concrete"/>
      <sheetName val="Underground Concrete"/>
      <sheetName val="Reinforcement"/>
      <sheetName val="Underground Reinforcement"/>
      <sheetName val="Brickwork"/>
      <sheetName val="Plaster"/>
      <sheetName val="Masonry"/>
      <sheetName val="Gabion"/>
      <sheetName val="Grouting"/>
      <sheetName val="Protection(Boulder Riprap)"/>
      <sheetName val="Geotextile"/>
      <sheetName val="Roofing"/>
      <sheetName val="Painting"/>
      <sheetName val="Doors &amp; Windows"/>
      <sheetName val="Screeding &amp; Punning"/>
      <sheetName val="Boulder Riprap"/>
      <sheetName val="Exploratory Drilling 1"/>
      <sheetName val="Surface Shotcrete"/>
      <sheetName val="Underground"/>
      <sheetName val="Exploratory Drilling"/>
      <sheetName val="Mucking"/>
      <sheetName val="Underground Formworks"/>
      <sheetName val="U Formworks for vertical shaft"/>
      <sheetName val="Sheet3"/>
      <sheetName val="Steel Ribs"/>
      <sheetName val="Additionals"/>
      <sheetName val="Summary"/>
      <sheetName val="Sheet1"/>
    </sheetNames>
    <sheetDataSet>
      <sheetData sheetId="0">
        <row r="20">
          <cell r="D20">
            <v>114.68</v>
          </cell>
        </row>
        <row r="25">
          <cell r="D25">
            <v>1100</v>
          </cell>
        </row>
        <row r="27">
          <cell r="D27">
            <v>850</v>
          </cell>
        </row>
        <row r="28">
          <cell r="D28">
            <v>1100</v>
          </cell>
        </row>
        <row r="29">
          <cell r="D29">
            <v>900</v>
          </cell>
        </row>
        <row r="30">
          <cell r="D30">
            <v>1100</v>
          </cell>
        </row>
        <row r="31">
          <cell r="D31">
            <v>1840</v>
          </cell>
        </row>
        <row r="32">
          <cell r="D32">
            <v>680</v>
          </cell>
        </row>
        <row r="33">
          <cell r="D33">
            <v>1100</v>
          </cell>
        </row>
        <row r="34">
          <cell r="D34">
            <v>750</v>
          </cell>
        </row>
        <row r="35">
          <cell r="D35">
            <v>1100</v>
          </cell>
        </row>
        <row r="36">
          <cell r="D36">
            <v>1100</v>
          </cell>
        </row>
        <row r="37">
          <cell r="D37">
            <v>1100</v>
          </cell>
        </row>
        <row r="38">
          <cell r="D38">
            <v>1840</v>
          </cell>
        </row>
        <row r="39">
          <cell r="D39">
            <v>1100</v>
          </cell>
        </row>
        <row r="40">
          <cell r="D40">
            <v>1750</v>
          </cell>
        </row>
        <row r="44">
          <cell r="D44">
            <v>1100</v>
          </cell>
        </row>
        <row r="139">
          <cell r="D139">
            <v>486.72</v>
          </cell>
        </row>
        <row r="141">
          <cell r="D141">
            <v>1622.4</v>
          </cell>
        </row>
        <row r="143">
          <cell r="D143">
            <v>216.32</v>
          </cell>
        </row>
        <row r="144">
          <cell r="D144">
            <v>108.16</v>
          </cell>
        </row>
        <row r="145">
          <cell r="D145">
            <v>1622.4</v>
          </cell>
        </row>
        <row r="151">
          <cell r="D151">
            <v>1081.5999999999999</v>
          </cell>
        </row>
        <row r="152">
          <cell r="D152">
            <v>3785.6</v>
          </cell>
        </row>
        <row r="154">
          <cell r="D154">
            <v>551.62</v>
          </cell>
        </row>
        <row r="156">
          <cell r="D156">
            <v>75.709999999999994</v>
          </cell>
        </row>
        <row r="157">
          <cell r="D157">
            <v>324.48</v>
          </cell>
          <cell r="I157">
            <v>324.48</v>
          </cell>
        </row>
        <row r="158">
          <cell r="D158">
            <v>162.24</v>
          </cell>
        </row>
        <row r="161">
          <cell r="D161">
            <v>108.16</v>
          </cell>
        </row>
        <row r="162">
          <cell r="D162">
            <v>378.56</v>
          </cell>
        </row>
        <row r="163">
          <cell r="D163">
            <v>270.39999999999998</v>
          </cell>
          <cell r="I163">
            <v>270.39999999999998</v>
          </cell>
        </row>
        <row r="164">
          <cell r="D164">
            <v>260.67</v>
          </cell>
          <cell r="I164">
            <v>260.67</v>
          </cell>
        </row>
        <row r="166">
          <cell r="D166">
            <v>540.79999999999995</v>
          </cell>
        </row>
        <row r="167">
          <cell r="D167">
            <v>540.79999999999995</v>
          </cell>
          <cell r="I167">
            <v>540.79999999999995</v>
          </cell>
        </row>
        <row r="168">
          <cell r="D168">
            <v>4867.2</v>
          </cell>
        </row>
        <row r="170">
          <cell r="D170">
            <v>346.11</v>
          </cell>
        </row>
        <row r="171">
          <cell r="D171">
            <v>194.69</v>
          </cell>
        </row>
        <row r="172">
          <cell r="D172">
            <v>1081.5999999999999</v>
          </cell>
        </row>
        <row r="174">
          <cell r="D174">
            <v>27.04</v>
          </cell>
        </row>
      </sheetData>
      <sheetData sheetId="1">
        <row r="19">
          <cell r="V19">
            <v>1050</v>
          </cell>
        </row>
        <row r="20">
          <cell r="V20">
            <v>1000</v>
          </cell>
        </row>
        <row r="21">
          <cell r="V21">
            <v>1350</v>
          </cell>
        </row>
        <row r="22">
          <cell r="V22">
            <v>1450</v>
          </cell>
        </row>
        <row r="23">
          <cell r="V23">
            <v>2450</v>
          </cell>
        </row>
        <row r="24">
          <cell r="V24">
            <v>2700</v>
          </cell>
        </row>
        <row r="25">
          <cell r="V25">
            <v>2950</v>
          </cell>
        </row>
        <row r="26">
          <cell r="V26">
            <v>1150</v>
          </cell>
        </row>
        <row r="27">
          <cell r="V27">
            <v>1100</v>
          </cell>
        </row>
        <row r="29">
          <cell r="V29">
            <v>20807.43</v>
          </cell>
        </row>
        <row r="30">
          <cell r="V30">
            <v>91076.7</v>
          </cell>
        </row>
        <row r="31">
          <cell r="V31">
            <v>103076.7</v>
          </cell>
        </row>
        <row r="32">
          <cell r="V32">
            <v>95435.91</v>
          </cell>
        </row>
        <row r="33">
          <cell r="V33">
            <v>111236.7</v>
          </cell>
        </row>
        <row r="34">
          <cell r="V34">
            <v>113396.7</v>
          </cell>
        </row>
        <row r="35">
          <cell r="V35">
            <v>116646.7</v>
          </cell>
        </row>
        <row r="37">
          <cell r="V37">
            <v>92637.31</v>
          </cell>
        </row>
        <row r="38">
          <cell r="V38">
            <v>33637.31</v>
          </cell>
        </row>
        <row r="39">
          <cell r="V39">
            <v>408.39</v>
          </cell>
        </row>
        <row r="40">
          <cell r="V40">
            <v>118076.7</v>
          </cell>
        </row>
        <row r="41">
          <cell r="V41">
            <v>20.04</v>
          </cell>
        </row>
        <row r="42">
          <cell r="V42">
            <v>17.5</v>
          </cell>
        </row>
        <row r="43">
          <cell r="V43">
            <v>363.95</v>
          </cell>
        </row>
        <row r="44">
          <cell r="V44">
            <v>85.76</v>
          </cell>
        </row>
        <row r="45">
          <cell r="V45">
            <v>136.35</v>
          </cell>
        </row>
        <row r="46">
          <cell r="V46">
            <v>133.41999999999999</v>
          </cell>
        </row>
        <row r="48">
          <cell r="V48">
            <v>400.95</v>
          </cell>
        </row>
        <row r="49">
          <cell r="V49">
            <v>972.93</v>
          </cell>
        </row>
        <row r="50">
          <cell r="V50">
            <v>277.93</v>
          </cell>
        </row>
        <row r="51">
          <cell r="V51">
            <v>156.28</v>
          </cell>
        </row>
        <row r="52">
          <cell r="V52">
            <v>115.11</v>
          </cell>
        </row>
        <row r="53">
          <cell r="V53">
            <v>358.14</v>
          </cell>
        </row>
        <row r="55">
          <cell r="V55">
            <v>373.3</v>
          </cell>
        </row>
        <row r="56">
          <cell r="V56">
            <v>3247.88</v>
          </cell>
        </row>
        <row r="57">
          <cell r="V57">
            <v>273.42</v>
          </cell>
        </row>
        <row r="58">
          <cell r="V58">
            <v>32.909999999999997</v>
          </cell>
        </row>
        <row r="60">
          <cell r="V60">
            <v>96.75</v>
          </cell>
        </row>
        <row r="62">
          <cell r="V62">
            <v>114.75</v>
          </cell>
        </row>
        <row r="63">
          <cell r="V63">
            <v>456.56</v>
          </cell>
        </row>
        <row r="64">
          <cell r="V64">
            <v>336.56</v>
          </cell>
        </row>
        <row r="66">
          <cell r="V66">
            <v>43.91</v>
          </cell>
        </row>
        <row r="67">
          <cell r="V67">
            <v>87.91</v>
          </cell>
        </row>
        <row r="68">
          <cell r="V68">
            <v>392.91</v>
          </cell>
        </row>
        <row r="69">
          <cell r="V69">
            <v>128.84</v>
          </cell>
        </row>
        <row r="70">
          <cell r="V70">
            <v>317.91000000000003</v>
          </cell>
        </row>
        <row r="71">
          <cell r="V71">
            <v>882.5</v>
          </cell>
        </row>
        <row r="72">
          <cell r="V72">
            <v>20.170000000000002</v>
          </cell>
        </row>
        <row r="73">
          <cell r="V73">
            <v>25.51</v>
          </cell>
        </row>
        <row r="74">
          <cell r="V74">
            <v>2.17</v>
          </cell>
        </row>
        <row r="75">
          <cell r="V75">
            <v>25.68</v>
          </cell>
        </row>
        <row r="76">
          <cell r="V76">
            <v>23.34</v>
          </cell>
        </row>
        <row r="77">
          <cell r="V77">
            <v>176.71</v>
          </cell>
        </row>
        <row r="78">
          <cell r="V78">
            <v>30.51</v>
          </cell>
        </row>
        <row r="79">
          <cell r="V79">
            <v>754.45</v>
          </cell>
        </row>
        <row r="80">
          <cell r="V80">
            <v>302.91000000000003</v>
          </cell>
        </row>
        <row r="82">
          <cell r="V82">
            <v>407.1</v>
          </cell>
        </row>
        <row r="83">
          <cell r="V83">
            <v>9.81</v>
          </cell>
        </row>
        <row r="84">
          <cell r="V84">
            <v>7.29</v>
          </cell>
        </row>
        <row r="85">
          <cell r="V85">
            <v>192.58</v>
          </cell>
        </row>
        <row r="86">
          <cell r="V86">
            <v>6687.23</v>
          </cell>
        </row>
        <row r="87">
          <cell r="V87">
            <v>3704.01</v>
          </cell>
        </row>
        <row r="88">
          <cell r="V88">
            <v>3868.34</v>
          </cell>
        </row>
        <row r="89">
          <cell r="V89">
            <v>690.86</v>
          </cell>
        </row>
        <row r="90">
          <cell r="V90">
            <v>2002.51</v>
          </cell>
        </row>
        <row r="91">
          <cell r="V91">
            <v>131.11000000000001</v>
          </cell>
        </row>
        <row r="94">
          <cell r="V94">
            <v>1426.54</v>
          </cell>
        </row>
        <row r="95">
          <cell r="V95">
            <v>224.61</v>
          </cell>
        </row>
        <row r="96">
          <cell r="V96">
            <v>349.45</v>
          </cell>
        </row>
        <row r="97">
          <cell r="V97">
            <v>574.99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ling basin III"/>
      <sheetName val="settling basin IV a"/>
      <sheetName val="settling basin IV b"/>
      <sheetName val="settling basin 200"/>
      <sheetName val="settling basin 220"/>
      <sheetName val="settling basin 240"/>
      <sheetName val="settling basin 250"/>
      <sheetName val="settling basin 260"/>
      <sheetName val="settling basin 280"/>
      <sheetName val="settling basin 300"/>
      <sheetName val="settling basin 320"/>
      <sheetName val="settling basin 340"/>
      <sheetName val="settling basin 360"/>
      <sheetName val="settling basin 380"/>
      <sheetName val="settling basin 400"/>
    </sheetNames>
    <sheetDataSet>
      <sheetData sheetId="0" refreshError="1"/>
      <sheetData sheetId="1" refreshError="1"/>
      <sheetData sheetId="2" refreshError="1"/>
      <sheetData sheetId="3" refreshError="1"/>
      <sheetData sheetId="4" refreshError="1"/>
      <sheetData sheetId="5" refreshError="1">
        <row r="6">
          <cell r="D6">
            <v>3.8</v>
          </cell>
        </row>
        <row r="7">
          <cell r="D7">
            <v>1.026</v>
          </cell>
        </row>
        <row r="8">
          <cell r="D8">
            <v>2.98</v>
          </cell>
        </row>
        <row r="9">
          <cell r="D9">
            <v>0.34429530201342284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Data"/>
      <sheetName val="Hydrograph"/>
      <sheetName val="Return Period"/>
      <sheetName val="Flow Duration Curve"/>
      <sheetName val="Hydrology"/>
      <sheetName val="Metrology  Data"/>
      <sheetName val="Water Level"/>
      <sheetName val="Weir Design"/>
      <sheetName val="Format A (2)"/>
      <sheetName val="Side Intake and Orifice"/>
      <sheetName val="Trashracks"/>
      <sheetName val="Gravel Trap"/>
      <sheetName val="Gravel Flushing Chanel"/>
      <sheetName val="Intake Canal"/>
      <sheetName val="Settling Flushing Chanel "/>
      <sheetName val="Headrace Canal "/>
      <sheetName val="Headrace Tunnel1 - Option 1"/>
      <sheetName val="Headrace Canal  (2)"/>
      <sheetName val="Headrace Canal  (3)"/>
      <sheetName val="Headrace Tunnel2 - Option 1"/>
      <sheetName val="Headrace Tunnel2 - Option 1 (2)"/>
      <sheetName val="Headrace Tunnel - Option2"/>
      <sheetName val="HeadLoss"/>
      <sheetName val="Hydraulic Gadient"/>
      <sheetName val="Hydraulic Gadient (2)"/>
      <sheetName val="Surge Shaft"/>
      <sheetName val="Penstock"/>
      <sheetName val="Format A"/>
    </sheetNames>
    <sheetDataSet>
      <sheetData sheetId="0"/>
      <sheetData sheetId="1" refreshError="1"/>
      <sheetData sheetId="2" refreshError="1"/>
      <sheetData sheetId="3" refreshError="1"/>
      <sheetData sheetId="4"/>
      <sheetData sheetId="5"/>
      <sheetData sheetId="6"/>
      <sheetData sheetId="7"/>
      <sheetData sheetId="8"/>
      <sheetData sheetId="9">
        <row r="8">
          <cell r="C8">
            <v>2.94</v>
          </cell>
        </row>
      </sheetData>
      <sheetData sheetId="10"/>
      <sheetData sheetId="11"/>
      <sheetData sheetId="12"/>
      <sheetData sheetId="13">
        <row r="13">
          <cell r="C13">
            <v>2</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cost"/>
      <sheetName val="Rates"/>
      <sheetName val="Infrastructures &amp; General"/>
      <sheetName val="Abstract Surface Structure"/>
      <sheetName val="Abstract of underground Structu"/>
    </sheetNames>
    <sheetDataSet>
      <sheetData sheetId="0"/>
      <sheetData sheetId="1">
        <row r="34">
          <cell r="C34">
            <v>13940.3133975</v>
          </cell>
        </row>
        <row r="35">
          <cell r="C35">
            <v>10854.864518750001</v>
          </cell>
        </row>
        <row r="36">
          <cell r="C36">
            <v>504000.00000000006</v>
          </cell>
        </row>
        <row r="37">
          <cell r="C37">
            <v>110.88000000000002</v>
          </cell>
        </row>
      </sheetData>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m weir"/>
      <sheetName val="Sheet1"/>
      <sheetName val="Sheet2"/>
      <sheetName val="ds rating curve"/>
      <sheetName val="7m weir 4 x 4 undersluice (2)"/>
      <sheetName val="with gated undersliuce wier cal"/>
      <sheetName val="20m weir 2-4m x 4m gated US"/>
      <sheetName val="sidewall"/>
      <sheetName val="side intake"/>
      <sheetName val="settling velocity gravel trap"/>
      <sheetName val="Gravel Trap"/>
      <sheetName val="settling velocity desander"/>
      <sheetName val="desander"/>
      <sheetName val="Head losses"/>
    </sheetNames>
    <sheetDataSet>
      <sheetData sheetId="0">
        <row r="3">
          <cell r="B3">
            <v>30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2:Q332"/>
  <sheetViews>
    <sheetView topLeftCell="A279" workbookViewId="0">
      <selection activeCell="C279" sqref="C279"/>
    </sheetView>
  </sheetViews>
  <sheetFormatPr defaultColWidth="9.140625" defaultRowHeight="15.75"/>
  <cols>
    <col min="1" max="1" width="9.140625" style="1"/>
    <col min="2" max="2" width="10.42578125" style="1" customWidth="1"/>
    <col min="3" max="3" width="73.28515625" style="1" customWidth="1"/>
    <col min="4" max="4" width="9.140625" style="1"/>
    <col min="5" max="5" width="10.5703125" style="1" customWidth="1"/>
    <col min="6" max="6" width="9.140625" style="1" customWidth="1"/>
    <col min="7" max="8" width="9.140625" style="1" hidden="1" customWidth="1"/>
    <col min="9" max="9" width="12.85546875" style="1" hidden="1" customWidth="1"/>
    <col min="10" max="10" width="12.28515625" style="1" hidden="1" customWidth="1"/>
    <col min="11" max="11" width="11.7109375" style="1" customWidth="1"/>
    <col min="12" max="12" width="9.5703125" style="1" bestFit="1" customWidth="1"/>
    <col min="13" max="13" width="9.140625" style="1"/>
    <col min="14" max="14" width="12.42578125" style="1" hidden="1" customWidth="1"/>
    <col min="15" max="15" width="0" style="1" hidden="1" customWidth="1"/>
    <col min="16" max="16" width="15.7109375" style="1" hidden="1" customWidth="1"/>
    <col min="17" max="17" width="14.85546875" style="1" hidden="1" customWidth="1"/>
    <col min="18" max="18" width="0" style="1" hidden="1" customWidth="1"/>
    <col min="19" max="16384" width="9.140625" style="1"/>
  </cols>
  <sheetData>
    <row r="2" spans="1:12">
      <c r="A2" s="76" t="s">
        <v>148</v>
      </c>
      <c r="B2" s="110"/>
      <c r="C2" s="74"/>
      <c r="D2" s="74"/>
      <c r="E2" s="74"/>
      <c r="F2" s="74"/>
      <c r="G2" s="74"/>
      <c r="H2" s="74"/>
      <c r="I2" s="74"/>
      <c r="J2" s="75"/>
      <c r="K2" s="74"/>
      <c r="L2" s="74"/>
    </row>
    <row r="3" spans="1:12" hidden="1"/>
    <row r="4" spans="1:12" ht="47.25">
      <c r="A4" s="77" t="s">
        <v>122</v>
      </c>
      <c r="B4" s="77" t="s">
        <v>199</v>
      </c>
      <c r="C4" s="77" t="s">
        <v>149</v>
      </c>
      <c r="D4" s="77" t="s">
        <v>150</v>
      </c>
      <c r="E4" s="78" t="s">
        <v>1012</v>
      </c>
      <c r="F4" s="78" t="s">
        <v>1013</v>
      </c>
      <c r="G4" s="78" t="s">
        <v>536</v>
      </c>
      <c r="H4" s="78" t="s">
        <v>537</v>
      </c>
      <c r="I4" s="78" t="s">
        <v>538</v>
      </c>
      <c r="J4" s="78" t="s">
        <v>539</v>
      </c>
      <c r="K4" s="78" t="s">
        <v>18</v>
      </c>
      <c r="L4" s="78" t="s">
        <v>1014</v>
      </c>
    </row>
    <row r="5" spans="1:12">
      <c r="A5" s="82" t="s">
        <v>82</v>
      </c>
      <c r="B5" s="82"/>
      <c r="C5" s="83" t="s">
        <v>151</v>
      </c>
      <c r="D5" s="83"/>
      <c r="E5" s="83"/>
      <c r="F5" s="83"/>
      <c r="G5" s="83"/>
      <c r="H5" s="83"/>
      <c r="I5" s="83"/>
      <c r="J5" s="83"/>
      <c r="K5" s="583">
        <v>1</v>
      </c>
      <c r="L5" s="83"/>
    </row>
    <row r="6" spans="1:12" ht="47.45" hidden="1" customHeight="1">
      <c r="A6" s="79">
        <v>1</v>
      </c>
      <c r="B6" s="79">
        <f>'Site Clearance'!A4</f>
        <v>1</v>
      </c>
      <c r="C6" s="80" t="str">
        <f>'Site Clearance'!B4</f>
        <v xml:space="preserve">Clearing and grubbing of forest including uprooting, carrying and disposing of vegetation, grass, bush, sapling  and trees of  girth upto 300mm (measured at a height of 1m above the ground level). lead 10m.
(a)Trees &amp; sapling less than 15 numbers per 100 sq.m </v>
      </c>
      <c r="D6" s="79" t="str">
        <f>'Site Clearance'!C4</f>
        <v>sqm</v>
      </c>
      <c r="E6" s="81">
        <f>'Site Clearance'!H18</f>
        <v>30.5</v>
      </c>
      <c r="F6" s="81">
        <f>ROUND(E6/exr,2)</f>
        <v>0.23</v>
      </c>
      <c r="G6" s="152">
        <f>1-H6</f>
        <v>1</v>
      </c>
      <c r="H6" s="152">
        <f>'Site Clearance'!H20</f>
        <v>0</v>
      </c>
      <c r="I6" s="81">
        <f>E6*G6</f>
        <v>30.5</v>
      </c>
      <c r="J6" s="81">
        <f>F6*H6</f>
        <v>0</v>
      </c>
      <c r="K6" s="81"/>
      <c r="L6" s="81"/>
    </row>
    <row r="7" spans="1:12" ht="47.45" customHeight="1">
      <c r="A7" s="79">
        <f>A6+1</f>
        <v>2</v>
      </c>
      <c r="B7" s="79">
        <f>'Site Clearance'!A25</f>
        <v>2</v>
      </c>
      <c r="C7" s="80" t="str">
        <f>'Site Clearance'!B25</f>
        <v xml:space="preserve">Clearing and grubbing of forest including uprooting, carrying and disposing of vegetation, grass, bush, sapling  and trees of  girth upto 300mm (measured at a height of 1m above the ground level). lead 10m.
(b)Trees &amp; sapling more than 15 numbers per 100 sq.m </v>
      </c>
      <c r="D7" s="79" t="str">
        <f>'Site Clearance'!C25</f>
        <v>sqm</v>
      </c>
      <c r="E7" s="220">
        <f>'Site Clearance'!H39</f>
        <v>40.5</v>
      </c>
      <c r="F7" s="81">
        <f t="shared" ref="F7:F17" si="0">ROUND(E7/exr,2)</f>
        <v>0.31</v>
      </c>
      <c r="G7" s="152">
        <f t="shared" ref="G7:G17" si="1">1-H7</f>
        <v>1</v>
      </c>
      <c r="H7" s="152">
        <f>'Site Clearance'!H41</f>
        <v>0</v>
      </c>
      <c r="I7" s="81">
        <f t="shared" ref="I7:I17" si="2">E7*G7</f>
        <v>40.5</v>
      </c>
      <c r="J7" s="81">
        <f t="shared" ref="J7:J17" si="3">F7*H7</f>
        <v>0</v>
      </c>
      <c r="K7" s="81">
        <f>E7</f>
        <v>40.5</v>
      </c>
      <c r="L7" s="81"/>
    </row>
    <row r="8" spans="1:12" ht="24" hidden="1" customHeight="1">
      <c r="A8" s="79">
        <f t="shared" ref="A8:A16" si="4">A7+1</f>
        <v>3</v>
      </c>
      <c r="B8" s="79">
        <f>'Site Clearance'!A46</f>
        <v>3</v>
      </c>
      <c r="C8" s="80" t="str">
        <f>'Site Clearance'!B46</f>
        <v>Clearing of grass, removing roots breaking sods, levelling the surface and disposal to 10m.</v>
      </c>
      <c r="D8" s="79" t="str">
        <f>'Site Clearance'!C46</f>
        <v>sqm</v>
      </c>
      <c r="E8" s="81">
        <f>'Site Clearance'!H57</f>
        <v>23.5</v>
      </c>
      <c r="F8" s="81">
        <f t="shared" si="0"/>
        <v>0.18</v>
      </c>
      <c r="G8" s="152">
        <f t="shared" si="1"/>
        <v>1</v>
      </c>
      <c r="H8" s="152">
        <f>'Site Clearance'!H59</f>
        <v>0</v>
      </c>
      <c r="I8" s="81">
        <f t="shared" si="2"/>
        <v>23.5</v>
      </c>
      <c r="J8" s="81">
        <f t="shared" si="3"/>
        <v>0</v>
      </c>
      <c r="K8" s="81"/>
      <c r="L8" s="81"/>
    </row>
    <row r="9" spans="1:12" ht="31.5" hidden="1">
      <c r="A9" s="79">
        <f t="shared" si="4"/>
        <v>4</v>
      </c>
      <c r="B9" s="79">
        <f>'Site Clearance'!A64</f>
        <v>4</v>
      </c>
      <c r="C9" s="80" t="str">
        <f>'Site Clearance'!B64</f>
        <v>Felling and  uprooting of bamboo, clearing the area,  stacking of bamboo and disposing of wastes to 10m. (Volume of the excavated area should be measured.)</v>
      </c>
      <c r="D9" s="79" t="str">
        <f>'Site Clearance'!C64</f>
        <v>cum</v>
      </c>
      <c r="E9" s="81">
        <f>'Site Clearance'!H75</f>
        <v>2819.5</v>
      </c>
      <c r="F9" s="81">
        <f t="shared" si="0"/>
        <v>21.69</v>
      </c>
      <c r="G9" s="152">
        <f t="shared" si="1"/>
        <v>1</v>
      </c>
      <c r="H9" s="152">
        <f>'Site Clearance'!H77</f>
        <v>0</v>
      </c>
      <c r="I9" s="81">
        <f t="shared" si="2"/>
        <v>2819.5</v>
      </c>
      <c r="J9" s="81">
        <f t="shared" si="3"/>
        <v>0</v>
      </c>
      <c r="K9" s="81"/>
      <c r="L9" s="81"/>
    </row>
    <row r="10" spans="1:12" ht="63" hidden="1">
      <c r="A10" s="79">
        <f t="shared" si="4"/>
        <v>5</v>
      </c>
      <c r="B10" s="79">
        <f>'Site Clearance'!A82</f>
        <v>5</v>
      </c>
      <c r="C10" s="80" t="str">
        <f>'Site Clearance'!B82</f>
        <v>Felling trees (the girth measured at a height of 1 m above ground level) including cuttting of  trunks and branches, removing the roots, stacking serviceable materials and disposal of unserviceable materials to 10m distance and back filling the depressions/pits
(a) above 300mm to 600mm</v>
      </c>
      <c r="D10" s="79" t="str">
        <f>'Site Clearance'!C82</f>
        <v>nos.</v>
      </c>
      <c r="E10" s="81">
        <f>'Site Clearance'!H96</f>
        <v>926.5</v>
      </c>
      <c r="F10" s="81">
        <f t="shared" si="0"/>
        <v>7.13</v>
      </c>
      <c r="G10" s="152">
        <f t="shared" si="1"/>
        <v>1</v>
      </c>
      <c r="H10" s="152">
        <f>'Site Clearance'!H98</f>
        <v>0</v>
      </c>
      <c r="I10" s="81">
        <f t="shared" si="2"/>
        <v>926.5</v>
      </c>
      <c r="J10" s="81">
        <f t="shared" si="3"/>
        <v>0</v>
      </c>
      <c r="K10" s="81"/>
      <c r="L10" s="81"/>
    </row>
    <row r="11" spans="1:12" ht="63" hidden="1">
      <c r="A11" s="79">
        <f t="shared" si="4"/>
        <v>6</v>
      </c>
      <c r="B11" s="79">
        <f>'Site Clearance'!A103</f>
        <v>6</v>
      </c>
      <c r="C11" s="80" t="str">
        <f>'Site Clearance'!B103</f>
        <v>Felling trees (the girth measured at a height of 1 m above ground level) including cuttting of  trunks and branches, removing the roots, stacking serviceable materials and disposal of unserviceable materials to 10m distance and back filling the depressions/pits
(b) above 600mm to 900mm</v>
      </c>
      <c r="D11" s="79" t="str">
        <f>'Site Clearance'!C103</f>
        <v>nos.</v>
      </c>
      <c r="E11" s="81">
        <f>'Site Clearance'!H117</f>
        <v>3524</v>
      </c>
      <c r="F11" s="81">
        <f t="shared" si="0"/>
        <v>27.11</v>
      </c>
      <c r="G11" s="152">
        <f t="shared" si="1"/>
        <v>1</v>
      </c>
      <c r="H11" s="152">
        <f>'Site Clearance'!H119</f>
        <v>0</v>
      </c>
      <c r="I11" s="81">
        <f t="shared" si="2"/>
        <v>3524</v>
      </c>
      <c r="J11" s="81">
        <f t="shared" si="3"/>
        <v>0</v>
      </c>
      <c r="K11" s="81"/>
      <c r="L11" s="81"/>
    </row>
    <row r="12" spans="1:12" ht="63" hidden="1">
      <c r="A12" s="79">
        <f t="shared" si="4"/>
        <v>7</v>
      </c>
      <c r="B12" s="79">
        <f>'Site Clearance'!A124</f>
        <v>7</v>
      </c>
      <c r="C12" s="80" t="str">
        <f>'Site Clearance'!B124</f>
        <v>Felling trees (the girth measured at a height of 1 m above ground level) including cuttting of  trunks and branches, removing the roots, stacking serviceable materials and disposal of unserviceable materials to 10m distance and back filling the depressions/pits
(c) above 900mm to 1800mm</v>
      </c>
      <c r="D12" s="79" t="str">
        <f>'Site Clearance'!C124</f>
        <v>nos.</v>
      </c>
      <c r="E12" s="81">
        <f>'Site Clearance'!H138</f>
        <v>9817</v>
      </c>
      <c r="F12" s="81">
        <f t="shared" si="0"/>
        <v>75.52</v>
      </c>
      <c r="G12" s="152">
        <f t="shared" si="1"/>
        <v>1</v>
      </c>
      <c r="H12" s="152">
        <f>'Site Clearance'!H140</f>
        <v>0</v>
      </c>
      <c r="I12" s="81">
        <f t="shared" si="2"/>
        <v>9817</v>
      </c>
      <c r="J12" s="81">
        <f t="shared" si="3"/>
        <v>0</v>
      </c>
      <c r="K12" s="81"/>
      <c r="L12" s="81"/>
    </row>
    <row r="13" spans="1:12" ht="63" hidden="1">
      <c r="A13" s="79">
        <f t="shared" si="4"/>
        <v>8</v>
      </c>
      <c r="B13" s="79">
        <f>'Site Clearance'!A145</f>
        <v>8</v>
      </c>
      <c r="C13" s="80" t="str">
        <f>'Site Clearance'!B145</f>
        <v>Felling trees (the girth measured at a height of 1 m above ground level) including cuttting of  trunks and branches, removing the roots, stacking serviceable materials and disposal of unserviceable materials to 10m distance and back filling the depressions/pits
(d) above 1800mm to 2400mm</v>
      </c>
      <c r="D13" s="79" t="str">
        <f>'Site Clearance'!C145</f>
        <v>nos.</v>
      </c>
      <c r="E13" s="81">
        <f>'Site Clearance'!H159</f>
        <v>16109.5</v>
      </c>
      <c r="F13" s="81">
        <f t="shared" si="0"/>
        <v>123.92</v>
      </c>
      <c r="G13" s="152">
        <f t="shared" si="1"/>
        <v>1</v>
      </c>
      <c r="H13" s="152">
        <f>'Site Clearance'!H161</f>
        <v>0</v>
      </c>
      <c r="I13" s="81">
        <f t="shared" si="2"/>
        <v>16109.5</v>
      </c>
      <c r="J13" s="81">
        <f t="shared" si="3"/>
        <v>0</v>
      </c>
      <c r="K13" s="81"/>
      <c r="L13" s="81"/>
    </row>
    <row r="14" spans="1:12" ht="63" hidden="1">
      <c r="A14" s="79">
        <f t="shared" si="4"/>
        <v>9</v>
      </c>
      <c r="B14" s="79">
        <f>'Site Clearance'!A166</f>
        <v>9</v>
      </c>
      <c r="C14" s="80" t="str">
        <f>'Site Clearance'!B166</f>
        <v>Felling trees (the girth measured at a height of 1 m above ground level) including cuttting of  trunks and branches, removing the roots, stacking serviceable materials and disposal of unserviceable materials to 10m distance and back filling the depressions/pits
(e) above2400mm to 3000mm</v>
      </c>
      <c r="D14" s="79" t="str">
        <f>'Site Clearance'!C166</f>
        <v>nos.</v>
      </c>
      <c r="E14" s="81">
        <f>'Site Clearance'!H180</f>
        <v>40273</v>
      </c>
      <c r="F14" s="81">
        <f t="shared" si="0"/>
        <v>309.79000000000002</v>
      </c>
      <c r="G14" s="152">
        <f t="shared" si="1"/>
        <v>1</v>
      </c>
      <c r="H14" s="152">
        <f>'Site Clearance'!H182</f>
        <v>0</v>
      </c>
      <c r="I14" s="81">
        <f t="shared" si="2"/>
        <v>40273</v>
      </c>
      <c r="J14" s="81">
        <f t="shared" si="3"/>
        <v>0</v>
      </c>
      <c r="K14" s="81"/>
      <c r="L14" s="81"/>
    </row>
    <row r="15" spans="1:12" ht="63" hidden="1">
      <c r="A15" s="79">
        <f t="shared" si="4"/>
        <v>10</v>
      </c>
      <c r="B15" s="79">
        <f>'Site Clearance'!A187</f>
        <v>10</v>
      </c>
      <c r="C15" s="80" t="str">
        <f>'Site Clearance'!B187</f>
        <v>Felling trees (the girth measured at a height of 1 m above ground level) including cuttting of  trunks and branches, removing the roots, stacking serviceable materials and disposal of unserviceable materials to 10m distance and back filling the depressions/pits
(f) above 3000mm</v>
      </c>
      <c r="D15" s="79" t="str">
        <f>'Site Clearance'!C187</f>
        <v>nos.</v>
      </c>
      <c r="E15" s="81">
        <f>'Site Clearance'!H201</f>
        <v>79247.5</v>
      </c>
      <c r="F15" s="81">
        <f t="shared" si="0"/>
        <v>609.6</v>
      </c>
      <c r="G15" s="152">
        <f t="shared" si="1"/>
        <v>1</v>
      </c>
      <c r="H15" s="152">
        <f>'Site Clearance'!H203</f>
        <v>0</v>
      </c>
      <c r="I15" s="81">
        <f t="shared" si="2"/>
        <v>79247.5</v>
      </c>
      <c r="J15" s="81">
        <f t="shared" si="3"/>
        <v>0</v>
      </c>
      <c r="K15" s="81"/>
      <c r="L15" s="81"/>
    </row>
    <row r="16" spans="1:12" hidden="1">
      <c r="A16" s="79">
        <f t="shared" si="4"/>
        <v>11</v>
      </c>
      <c r="B16" s="79">
        <f>'Site Clearance'!A208</f>
        <v>11</v>
      </c>
      <c r="C16" s="80" t="str">
        <f>'Site Clearance'!B208</f>
        <v>Dressing and levelling of the construction surface including cutting and filling  of small undulation.</v>
      </c>
      <c r="D16" s="79" t="str">
        <f>'Site Clearance'!C208</f>
        <v>sqm</v>
      </c>
      <c r="E16" s="81">
        <f>'Site Clearance'!H219</f>
        <v>10.5</v>
      </c>
      <c r="F16" s="81">
        <f t="shared" si="0"/>
        <v>0.08</v>
      </c>
      <c r="G16" s="152">
        <f t="shared" si="1"/>
        <v>1</v>
      </c>
      <c r="H16" s="152">
        <f>'Site Clearance'!H221</f>
        <v>0</v>
      </c>
      <c r="I16" s="81">
        <f t="shared" si="2"/>
        <v>10.5</v>
      </c>
      <c r="J16" s="81">
        <f t="shared" si="3"/>
        <v>0</v>
      </c>
      <c r="K16" s="81"/>
      <c r="L16" s="81"/>
    </row>
    <row r="17" spans="1:12" hidden="1">
      <c r="A17" s="79">
        <f>A16+1</f>
        <v>12</v>
      </c>
      <c r="B17" s="79">
        <f>'Site Clearance'!A226</f>
        <v>12</v>
      </c>
      <c r="C17" s="80" t="str">
        <f>'Site Clearance'!B226</f>
        <v>Spreading,Shaping and light compacting of top soil on slopes.</v>
      </c>
      <c r="D17" s="79" t="str">
        <f>'Site Clearance'!C226</f>
        <v>sqm</v>
      </c>
      <c r="E17" s="81">
        <f>'Site Clearance'!H236</f>
        <v>50.5</v>
      </c>
      <c r="F17" s="81">
        <f t="shared" si="0"/>
        <v>0.39</v>
      </c>
      <c r="G17" s="152">
        <f t="shared" si="1"/>
        <v>1</v>
      </c>
      <c r="H17" s="152">
        <f>'Site Clearance'!H238</f>
        <v>0</v>
      </c>
      <c r="I17" s="81">
        <f t="shared" si="2"/>
        <v>50.5</v>
      </c>
      <c r="J17" s="81">
        <f t="shared" si="3"/>
        <v>0</v>
      </c>
      <c r="K17" s="81"/>
      <c r="L17" s="81"/>
    </row>
    <row r="18" spans="1:12" hidden="1">
      <c r="A18" s="85"/>
      <c r="B18" s="85"/>
      <c r="C18" s="85"/>
      <c r="D18" s="85"/>
      <c r="E18" s="85"/>
      <c r="F18" s="85"/>
      <c r="G18" s="151"/>
      <c r="H18" s="151"/>
      <c r="I18" s="85"/>
      <c r="J18" s="85"/>
      <c r="K18" s="85"/>
      <c r="L18" s="85"/>
    </row>
    <row r="19" spans="1:12">
      <c r="A19" s="82" t="s">
        <v>83</v>
      </c>
      <c r="B19" s="82"/>
      <c r="C19" s="83" t="s">
        <v>180</v>
      </c>
      <c r="D19" s="83"/>
      <c r="E19" s="83"/>
      <c r="F19" s="83"/>
      <c r="G19" s="83"/>
      <c r="H19" s="83"/>
      <c r="I19" s="83"/>
      <c r="J19" s="83"/>
      <c r="K19" s="583">
        <v>1</v>
      </c>
      <c r="L19" s="83"/>
    </row>
    <row r="20" spans="1:12" ht="31.5" hidden="1">
      <c r="A20" s="79">
        <f>A17+1</f>
        <v>13</v>
      </c>
      <c r="B20" s="79">
        <f>Excavation!A4</f>
        <v>1</v>
      </c>
      <c r="C20" s="80" t="str">
        <f>Excavation!B4</f>
        <v>Excavation in soft soil including disposal upto 10m and lift upto 1.5 m etc. all complete as per specification.</v>
      </c>
      <c r="D20" s="79" t="str">
        <f>Excavation!C4</f>
        <v>cum</v>
      </c>
      <c r="E20" s="81">
        <f>Excavation!H15</f>
        <v>755.5</v>
      </c>
      <c r="F20" s="81">
        <f t="shared" ref="F20:F40" si="5">ROUND(E20/exr,2)</f>
        <v>5.81</v>
      </c>
      <c r="G20" s="152">
        <f t="shared" ref="G20:G44" si="6">1-H20</f>
        <v>1</v>
      </c>
      <c r="H20" s="152">
        <f>Excavation!H17</f>
        <v>0</v>
      </c>
      <c r="I20" s="81">
        <f t="shared" ref="I20:I44" si="7">E20*G20</f>
        <v>755.5</v>
      </c>
      <c r="J20" s="81">
        <f t="shared" ref="J20:J44" si="8">F20*H20</f>
        <v>0</v>
      </c>
      <c r="K20" s="81"/>
      <c r="L20" s="81"/>
    </row>
    <row r="21" spans="1:12" ht="31.5" hidden="1">
      <c r="A21" s="79">
        <f>A20+1</f>
        <v>14</v>
      </c>
      <c r="B21" s="79">
        <f>Excavation!A22</f>
        <v>2</v>
      </c>
      <c r="C21" s="243" t="str">
        <f>Excavation!B22</f>
        <v>Excavation in Hard soil/ Gravels/ Boulder Mixed soil including disposal upto 10m and lift upto 1.5 m etc. all complete as per specification.</v>
      </c>
      <c r="D21" s="79" t="str">
        <f>Excavation!C22</f>
        <v>cum</v>
      </c>
      <c r="E21" s="81">
        <f>Excavation!H34</f>
        <v>1007</v>
      </c>
      <c r="F21" s="81">
        <f t="shared" si="5"/>
        <v>7.75</v>
      </c>
      <c r="G21" s="152">
        <f t="shared" si="6"/>
        <v>1</v>
      </c>
      <c r="H21" s="152">
        <f>Excavation!H36</f>
        <v>0</v>
      </c>
      <c r="I21" s="81">
        <f t="shared" si="7"/>
        <v>1007</v>
      </c>
      <c r="J21" s="81">
        <f t="shared" si="8"/>
        <v>0</v>
      </c>
      <c r="K21" s="81"/>
      <c r="L21" s="81"/>
    </row>
    <row r="22" spans="1:12" ht="47.25">
      <c r="A22" s="79">
        <f t="shared" ref="A22:A25" si="9">A21+1</f>
        <v>15</v>
      </c>
      <c r="B22" s="79">
        <f>Excavation!A41</f>
        <v>3</v>
      </c>
      <c r="C22" s="218" t="str">
        <f>Excavation!B41</f>
        <v>Excavation (using hydraulic excavator) including disposal upto 10m and lift upto 1.5 m etc. , trimming bottom and side slopes in accordance with requirements of lines, grades and cross sections all complete as per specification. (for soil/Gravel/B.M.S. with lead upto 1 Km)</v>
      </c>
      <c r="D22" s="79" t="str">
        <f>Excavation!C41</f>
        <v>cum</v>
      </c>
      <c r="E22" s="81">
        <f>Excavation!H53</f>
        <v>165</v>
      </c>
      <c r="F22" s="81">
        <f>Excavation!H54</f>
        <v>1.2692307692307692</v>
      </c>
      <c r="G22" s="152">
        <f t="shared" si="6"/>
        <v>1</v>
      </c>
      <c r="H22" s="152">
        <f>Excavation!H55</f>
        <v>0</v>
      </c>
      <c r="I22" s="81">
        <f t="shared" ref="I22" si="10">E22*G22</f>
        <v>165</v>
      </c>
      <c r="J22" s="81">
        <f t="shared" ref="J22" si="11">F22*H22</f>
        <v>0</v>
      </c>
      <c r="K22" s="81">
        <f>0.23*E21+0.77*E22</f>
        <v>358.66</v>
      </c>
      <c r="L22" s="81"/>
    </row>
    <row r="23" spans="1:12" ht="47.25" hidden="1">
      <c r="A23" s="79">
        <f t="shared" si="9"/>
        <v>16</v>
      </c>
      <c r="B23" s="79">
        <f>Excavation!A60</f>
        <v>4</v>
      </c>
      <c r="C23" s="218" t="str">
        <f>Excavation!B60</f>
        <v>Excavation (using hydraulic excavator) including disposal upto 10m and lift upto 1.5 m etc. , trimming bottom and side slopes in accordance with requirements of lines, grades and cross sections all complete as per specification. (for ordinary rock with lead upto 1 Km)</v>
      </c>
      <c r="D23" s="79" t="str">
        <f>Excavation!C60</f>
        <v>cum</v>
      </c>
      <c r="E23" s="81">
        <f>Excavation!H72</f>
        <v>217</v>
      </c>
      <c r="F23" s="81">
        <f>Excavation!H73</f>
        <v>1.6692307692307693</v>
      </c>
      <c r="G23" s="152">
        <f>1-H23</f>
        <v>1</v>
      </c>
      <c r="H23" s="152">
        <f>Excavation!H74</f>
        <v>0</v>
      </c>
      <c r="I23" s="81">
        <f t="shared" ref="I23:I24" si="12">E23*G23</f>
        <v>217</v>
      </c>
      <c r="J23" s="81">
        <f t="shared" ref="J23:J24" si="13">F23*H23</f>
        <v>0</v>
      </c>
      <c r="K23" s="81"/>
      <c r="L23" s="81"/>
    </row>
    <row r="24" spans="1:12" ht="47.25">
      <c r="A24" s="79">
        <f t="shared" si="9"/>
        <v>17</v>
      </c>
      <c r="B24" s="79">
        <f>Excavation!A79</f>
        <v>5</v>
      </c>
      <c r="C24" s="218" t="str">
        <f>Excavation!B79</f>
        <v>Excavation (using hydraulic excavator) including disposal upto 10m and lift upto 1.5 m etc. , trimming bottom and side slopes in accordance with requirements of lines, grades and cross sections all complete as per specification. (for hardrock without blasting)</v>
      </c>
      <c r="D24" s="79" t="str">
        <f>Excavation!C79</f>
        <v>cum</v>
      </c>
      <c r="E24" s="81">
        <f>Excavation!H91</f>
        <v>916</v>
      </c>
      <c r="F24" s="81">
        <f>Excavation!H92</f>
        <v>7.046153846153846</v>
      </c>
      <c r="G24" s="152">
        <f>1-H24</f>
        <v>1</v>
      </c>
      <c r="H24" s="152">
        <f>Excavation!H93</f>
        <v>0</v>
      </c>
      <c r="I24" s="81">
        <f t="shared" si="12"/>
        <v>916</v>
      </c>
      <c r="J24" s="81">
        <f t="shared" si="13"/>
        <v>0</v>
      </c>
      <c r="K24" s="81">
        <f>0.7*E24+0.01*E26+0.29*E28</f>
        <v>1385.23</v>
      </c>
      <c r="L24" s="81"/>
    </row>
    <row r="25" spans="1:12" ht="31.5" hidden="1">
      <c r="A25" s="79">
        <f t="shared" si="9"/>
        <v>18</v>
      </c>
      <c r="B25" s="79">
        <f>Excavation!A98</f>
        <v>6</v>
      </c>
      <c r="C25" s="80" t="str">
        <f>Excavation!B98</f>
        <v>Excavation in Soft rock including disposal upto 10m and lift upto 1.5 m etc. all complete as per specification.</v>
      </c>
      <c r="D25" s="79" t="str">
        <f>Excavation!C98</f>
        <v>cum</v>
      </c>
      <c r="E25" s="81">
        <f>Excavation!H110</f>
        <v>2769</v>
      </c>
      <c r="F25" s="81">
        <f t="shared" si="5"/>
        <v>21.3</v>
      </c>
      <c r="G25" s="152">
        <f t="shared" si="6"/>
        <v>1</v>
      </c>
      <c r="H25" s="152">
        <f>Excavation!H112</f>
        <v>0</v>
      </c>
      <c r="I25" s="81">
        <f t="shared" si="7"/>
        <v>2769</v>
      </c>
      <c r="J25" s="81">
        <f t="shared" si="8"/>
        <v>0</v>
      </c>
      <c r="K25" s="81"/>
      <c r="L25" s="81"/>
    </row>
    <row r="26" spans="1:12" ht="31.5" hidden="1">
      <c r="A26" s="79">
        <f t="shared" ref="A26:A44" si="14">A25+1</f>
        <v>19</v>
      </c>
      <c r="B26" s="79">
        <f>Excavation!A117</f>
        <v>7</v>
      </c>
      <c r="C26" s="243" t="str">
        <f>Excavation!B117</f>
        <v>Excavation in Hard rock without blasting including disposal upto 10m and lift upto 1.5 m etc. all complete as per specification.</v>
      </c>
      <c r="D26" s="79" t="str">
        <f>Excavation!C117</f>
        <v>cum</v>
      </c>
      <c r="E26" s="81">
        <f>Excavation!H129</f>
        <v>12082</v>
      </c>
      <c r="F26" s="81">
        <f t="shared" si="5"/>
        <v>92.94</v>
      </c>
      <c r="G26" s="152">
        <f t="shared" si="6"/>
        <v>1</v>
      </c>
      <c r="H26" s="152">
        <f>Excavation!H131</f>
        <v>0</v>
      </c>
      <c r="I26" s="81">
        <f t="shared" si="7"/>
        <v>12082</v>
      </c>
      <c r="J26" s="81">
        <f t="shared" si="8"/>
        <v>0</v>
      </c>
      <c r="K26" s="81"/>
      <c r="L26" s="81"/>
    </row>
    <row r="27" spans="1:12" ht="31.5" hidden="1">
      <c r="A27" s="79">
        <f t="shared" si="14"/>
        <v>20</v>
      </c>
      <c r="B27" s="79">
        <f>Excavation!A136</f>
        <v>8</v>
      </c>
      <c r="C27" s="80" t="str">
        <f>Excavation!B136</f>
        <v>Excavation in Hard rock with blasting (Manual drilling) including disposal upto 10m and lift upto 1.5 m etc. all complete as per specification.</v>
      </c>
      <c r="D27" s="79" t="str">
        <f>Excavation!C136</f>
        <v>cum</v>
      </c>
      <c r="E27" s="81">
        <f>Excavation!H148</f>
        <v>3816.5</v>
      </c>
      <c r="F27" s="81">
        <f t="shared" si="5"/>
        <v>29.36</v>
      </c>
      <c r="G27" s="152">
        <f t="shared" si="6"/>
        <v>0.95750000000000002</v>
      </c>
      <c r="H27" s="152">
        <f>Excavation!H150</f>
        <v>4.2500000000000003E-2</v>
      </c>
      <c r="I27" s="81">
        <f t="shared" si="7"/>
        <v>3654.2987499999999</v>
      </c>
      <c r="J27" s="81">
        <f t="shared" si="8"/>
        <v>1.2478</v>
      </c>
      <c r="K27" s="81"/>
      <c r="L27" s="81"/>
    </row>
    <row r="28" spans="1:12" ht="31.5" hidden="1">
      <c r="A28" s="79">
        <f t="shared" si="14"/>
        <v>21</v>
      </c>
      <c r="B28" s="79">
        <f>Excavation!A155</f>
        <v>9</v>
      </c>
      <c r="C28" s="243" t="str">
        <f>Excavation!B155</f>
        <v>Excavation in Hard rock with blasting (Mechanical drilling) including disposal upto 10m and lift upto 1.5 m etc. all complete as per specification.</v>
      </c>
      <c r="D28" s="79" t="str">
        <f>Excavation!C155</f>
        <v>cum</v>
      </c>
      <c r="E28" s="81">
        <f>Excavation!H167</f>
        <v>2149</v>
      </c>
      <c r="F28" s="81">
        <f t="shared" si="5"/>
        <v>16.53</v>
      </c>
      <c r="G28" s="152">
        <f t="shared" si="6"/>
        <v>0.86499999999999999</v>
      </c>
      <c r="H28" s="152">
        <f>Excavation!H169</f>
        <v>0.13500000000000001</v>
      </c>
      <c r="I28" s="81">
        <f t="shared" si="7"/>
        <v>1858.885</v>
      </c>
      <c r="J28" s="81">
        <f t="shared" si="8"/>
        <v>2.2315500000000004</v>
      </c>
      <c r="K28" s="81"/>
      <c r="L28" s="81"/>
    </row>
    <row r="29" spans="1:12" ht="31.5" hidden="1">
      <c r="A29" s="79">
        <f t="shared" si="14"/>
        <v>22</v>
      </c>
      <c r="B29" s="79">
        <f>Excavation!A174</f>
        <v>10</v>
      </c>
      <c r="C29" s="80" t="str">
        <f>Excavation!B174</f>
        <v>Excavation in Hard rock using chemicals (Manual drilling) including disposal upto 10m and lift upto 1.5 m etc. all complete as per specification.</v>
      </c>
      <c r="D29" s="79" t="str">
        <f>Excavation!C174</f>
        <v>cum</v>
      </c>
      <c r="E29" s="81">
        <f>Excavation!H186</f>
        <v>5284</v>
      </c>
      <c r="F29" s="81">
        <f t="shared" si="5"/>
        <v>40.65</v>
      </c>
      <c r="G29" s="152">
        <f t="shared" si="6"/>
        <v>0.76249999999999996</v>
      </c>
      <c r="H29" s="152">
        <f>Excavation!H188</f>
        <v>0.23750000000000002</v>
      </c>
      <c r="I29" s="81">
        <f t="shared" si="7"/>
        <v>4029.0499999999997</v>
      </c>
      <c r="J29" s="81">
        <f t="shared" si="8"/>
        <v>9.6543749999999999</v>
      </c>
      <c r="K29" s="81"/>
      <c r="L29" s="81"/>
    </row>
    <row r="30" spans="1:12" ht="31.5" hidden="1">
      <c r="A30" s="79">
        <f t="shared" si="14"/>
        <v>23</v>
      </c>
      <c r="B30" s="79">
        <f>Excavation!A193</f>
        <v>11</v>
      </c>
      <c r="C30" s="80" t="str">
        <f>Excavation!B193</f>
        <v>Excavation in Hard rock using chemicals (Mechanical drilling) including disposal upto 10m and lift upto 1.5 m etc. all complete as per specification.</v>
      </c>
      <c r="D30" s="79" t="str">
        <f>Excavation!C193</f>
        <v>cum</v>
      </c>
      <c r="E30" s="81">
        <f>Excavation!H205</f>
        <v>2825</v>
      </c>
      <c r="F30" s="81">
        <f t="shared" si="5"/>
        <v>21.73</v>
      </c>
      <c r="G30" s="152">
        <f t="shared" si="6"/>
        <v>0.5625</v>
      </c>
      <c r="H30" s="152">
        <f>Excavation!H207</f>
        <v>0.4375</v>
      </c>
      <c r="I30" s="81">
        <f>E30*G30</f>
        <v>1589.0625</v>
      </c>
      <c r="J30" s="81">
        <f>F30*H30</f>
        <v>9.5068750000000009</v>
      </c>
      <c r="K30" s="81"/>
      <c r="L30" s="81"/>
    </row>
    <row r="31" spans="1:12" ht="30.75" hidden="1" customHeight="1">
      <c r="A31" s="79">
        <f t="shared" si="14"/>
        <v>24</v>
      </c>
      <c r="B31" s="79">
        <f>Excavation!A212</f>
        <v>12</v>
      </c>
      <c r="C31" s="80" t="str">
        <f>Excavation!B212</f>
        <v xml:space="preserve">Providing and fixing, sheeting, shorting, struting, shoring, bracing, stuffing and making coffer dam during foundation excavation and foundation works and removing  after complete </v>
      </c>
      <c r="D31" s="79" t="str">
        <f>Excavation!C212</f>
        <v>cum</v>
      </c>
      <c r="E31" s="81">
        <f>Excavation!H226</f>
        <v>903</v>
      </c>
      <c r="F31" s="81">
        <f t="shared" si="5"/>
        <v>6.95</v>
      </c>
      <c r="G31" s="152">
        <f t="shared" si="6"/>
        <v>0.98250000000000004</v>
      </c>
      <c r="H31" s="152">
        <f>Excavation!H228</f>
        <v>1.7500000000000002E-2</v>
      </c>
      <c r="I31" s="81">
        <f t="shared" si="7"/>
        <v>887.19749999999999</v>
      </c>
      <c r="J31" s="81">
        <f t="shared" si="8"/>
        <v>0.12162500000000001</v>
      </c>
      <c r="K31" s="81"/>
      <c r="L31" s="81"/>
    </row>
    <row r="32" spans="1:12" ht="31.5" hidden="1">
      <c r="A32" s="79">
        <f t="shared" si="14"/>
        <v>25</v>
      </c>
      <c r="B32" s="79">
        <f>Excavation!A233</f>
        <v>13</v>
      </c>
      <c r="C32" s="80" t="str">
        <f>Excavation!B233</f>
        <v>Excavation for foundation through all types of soil including relevant lift and disposal upto 20m. 
(a) Depth up to 1.50m</v>
      </c>
      <c r="D32" s="79" t="str">
        <f>Excavation!C233</f>
        <v>cum</v>
      </c>
      <c r="E32" s="81">
        <f>Excavation!H245</f>
        <v>3052.5</v>
      </c>
      <c r="F32" s="81">
        <f t="shared" si="5"/>
        <v>23.48</v>
      </c>
      <c r="G32" s="152">
        <f t="shared" si="6"/>
        <v>1</v>
      </c>
      <c r="H32" s="152">
        <f>Excavation!H247</f>
        <v>0</v>
      </c>
      <c r="I32" s="572">
        <f t="shared" si="7"/>
        <v>3052.5</v>
      </c>
      <c r="J32" s="81">
        <f t="shared" si="8"/>
        <v>0</v>
      </c>
      <c r="K32" s="81"/>
      <c r="L32" s="81"/>
    </row>
    <row r="33" spans="1:12" ht="31.5" hidden="1">
      <c r="A33" s="79">
        <f t="shared" si="14"/>
        <v>26</v>
      </c>
      <c r="B33" s="79">
        <f>Excavation!A252</f>
        <v>14</v>
      </c>
      <c r="C33" s="80" t="str">
        <f>Excavation!B252</f>
        <v xml:space="preserve">Excavation for foundation through all types of soil including relevant lift and disposal upto 20m. 
(b) Depth more than 1.5m upto 3m </v>
      </c>
      <c r="D33" s="79" t="str">
        <f>Excavation!C252</f>
        <v>cum</v>
      </c>
      <c r="E33" s="81">
        <f>Excavation!H264</f>
        <v>4059</v>
      </c>
      <c r="F33" s="81">
        <f t="shared" si="5"/>
        <v>31.22</v>
      </c>
      <c r="G33" s="152">
        <f t="shared" si="6"/>
        <v>1</v>
      </c>
      <c r="H33" s="152">
        <f>Excavation!H266</f>
        <v>0</v>
      </c>
      <c r="I33" s="81">
        <f t="shared" si="7"/>
        <v>4059</v>
      </c>
      <c r="J33" s="81">
        <f t="shared" si="8"/>
        <v>0</v>
      </c>
      <c r="K33" s="81"/>
      <c r="L33" s="81"/>
    </row>
    <row r="34" spans="1:12" ht="31.5" hidden="1">
      <c r="A34" s="79">
        <f t="shared" si="14"/>
        <v>27</v>
      </c>
      <c r="B34" s="79">
        <f>Excavation!A271</f>
        <v>15</v>
      </c>
      <c r="C34" s="80" t="str">
        <f>Excavation!B271</f>
        <v xml:space="preserve">Excavation for foundation through all types of soil including relevant lift and disposal upto 20m. 
(c) Depth more than 3m upto 4.5m  </v>
      </c>
      <c r="D34" s="79" t="str">
        <f>Excavation!C271</f>
        <v>cum</v>
      </c>
      <c r="E34" s="81">
        <f>Excavation!H283</f>
        <v>5066</v>
      </c>
      <c r="F34" s="81">
        <f t="shared" si="5"/>
        <v>38.97</v>
      </c>
      <c r="G34" s="152">
        <f t="shared" si="6"/>
        <v>1</v>
      </c>
      <c r="H34" s="152">
        <f>Excavation!H285</f>
        <v>0</v>
      </c>
      <c r="I34" s="81">
        <f t="shared" si="7"/>
        <v>5066</v>
      </c>
      <c r="J34" s="81">
        <f t="shared" si="8"/>
        <v>0</v>
      </c>
      <c r="K34" s="81"/>
      <c r="L34" s="81"/>
    </row>
    <row r="35" spans="1:12" ht="31.5" hidden="1">
      <c r="A35" s="79">
        <f t="shared" si="14"/>
        <v>28</v>
      </c>
      <c r="B35" s="79">
        <f>Excavation!A290</f>
        <v>16</v>
      </c>
      <c r="C35" s="80" t="str">
        <f>Excavation!B290</f>
        <v xml:space="preserve">Excavation for foundation through all types of soil including relevant lift and disposal upto 20m. 
(d) Depth more than 4.5upto 6m  </v>
      </c>
      <c r="D35" s="79" t="str">
        <f>Excavation!C290</f>
        <v>cum</v>
      </c>
      <c r="E35" s="81">
        <f>Excavation!H302</f>
        <v>5821</v>
      </c>
      <c r="F35" s="81">
        <f t="shared" si="5"/>
        <v>44.78</v>
      </c>
      <c r="G35" s="152">
        <f t="shared" si="6"/>
        <v>1</v>
      </c>
      <c r="H35" s="152">
        <f>Excavation!H304</f>
        <v>0</v>
      </c>
      <c r="I35" s="81">
        <f t="shared" si="7"/>
        <v>5821</v>
      </c>
      <c r="J35" s="81">
        <f t="shared" si="8"/>
        <v>0</v>
      </c>
      <c r="K35" s="81"/>
      <c r="L35" s="81"/>
    </row>
    <row r="36" spans="1:12" ht="156" hidden="1" customHeight="1">
      <c r="A36" s="79">
        <f t="shared" si="14"/>
        <v>29</v>
      </c>
      <c r="B36" s="79">
        <f>Excavation!A309</f>
        <v>17</v>
      </c>
      <c r="C36" s="80" t="str">
        <f>Excavation!B309</f>
        <v xml:space="preserve">Excavation for foundation through all types of soil including relevant lift and disposal upto 20m. 
(e) Depth more than 6m  </v>
      </c>
      <c r="D36" s="79" t="str">
        <f>Excavation!C309</f>
        <v>cum</v>
      </c>
      <c r="E36" s="86" t="str">
        <f>Excavation!J318</f>
        <v xml:space="preserve">Increase by 30% for every additional meter depth of foundation over the rate for the previous depth. </v>
      </c>
      <c r="F36" s="81"/>
      <c r="G36" s="152">
        <f t="shared" si="6"/>
        <v>1</v>
      </c>
      <c r="H36" s="152">
        <f>Excavation!H323</f>
        <v>0</v>
      </c>
      <c r="I36" s="81"/>
      <c r="J36" s="81"/>
      <c r="K36" s="81"/>
      <c r="L36" s="81"/>
    </row>
    <row r="37" spans="1:12" ht="47.25" hidden="1">
      <c r="A37" s="79">
        <f t="shared" si="14"/>
        <v>30</v>
      </c>
      <c r="B37" s="79">
        <f>Excavation!A328</f>
        <v>18</v>
      </c>
      <c r="C37" s="80" t="str">
        <f>Excavation!B328</f>
        <v>Excavation for foundation through all types of soil including relevant lift and disposal upto 20m and also including dewatering during foundation excavation &amp; foundation works. 
(a) Depth up to 1.50m</v>
      </c>
      <c r="D37" s="79" t="str">
        <f>Excavation!C328</f>
        <v>cum</v>
      </c>
      <c r="E37" s="81">
        <f>Excavation!H342</f>
        <v>5468.5</v>
      </c>
      <c r="F37" s="81">
        <f t="shared" si="5"/>
        <v>42.07</v>
      </c>
      <c r="G37" s="152">
        <f t="shared" si="6"/>
        <v>0.5575</v>
      </c>
      <c r="H37" s="152">
        <f>Excavation!H344</f>
        <v>0.4425</v>
      </c>
      <c r="I37" s="81">
        <f t="shared" si="7"/>
        <v>3048.6887499999998</v>
      </c>
      <c r="J37" s="81">
        <f t="shared" si="8"/>
        <v>18.615974999999999</v>
      </c>
      <c r="K37" s="81"/>
      <c r="L37" s="81"/>
    </row>
    <row r="38" spans="1:12" ht="47.25" hidden="1">
      <c r="A38" s="79">
        <f t="shared" si="14"/>
        <v>31</v>
      </c>
      <c r="B38" s="79">
        <f>Excavation!A349</f>
        <v>19</v>
      </c>
      <c r="C38" s="80" t="str">
        <f>Excavation!B349</f>
        <v xml:space="preserve">Excavation for foundation through all types of soil including relevant lift and disposal upto 20m and also including dewatering during foundation excavation &amp; foundation works.  
(b) Depth more than 1.5m upto 3m </v>
      </c>
      <c r="D38" s="79" t="str">
        <f>Excavation!C349</f>
        <v>cum</v>
      </c>
      <c r="E38" s="81">
        <f>Excavation!H363</f>
        <v>7683.5</v>
      </c>
      <c r="F38" s="81">
        <f t="shared" si="5"/>
        <v>59.1</v>
      </c>
      <c r="G38" s="152">
        <f t="shared" si="6"/>
        <v>0.52749999999999997</v>
      </c>
      <c r="H38" s="152">
        <f>Excavation!H365</f>
        <v>0.47250000000000003</v>
      </c>
      <c r="I38" s="81">
        <f t="shared" si="7"/>
        <v>4053.0462499999999</v>
      </c>
      <c r="J38" s="81">
        <f t="shared" si="8"/>
        <v>27.924750000000003</v>
      </c>
      <c r="K38" s="81"/>
      <c r="L38" s="81"/>
    </row>
    <row r="39" spans="1:12" ht="47.25" hidden="1">
      <c r="A39" s="79">
        <f t="shared" si="14"/>
        <v>32</v>
      </c>
      <c r="B39" s="79">
        <f>Excavation!A370</f>
        <v>20</v>
      </c>
      <c r="C39" s="80" t="str">
        <f>Excavation!B370</f>
        <v xml:space="preserve">Excavation for foundation through all types of soil including relevant lift and disposal upto 20m and also including dewatering during foundation excavation &amp; foundation works.
(c) Depth more than 3m upto 4.5m  </v>
      </c>
      <c r="D39" s="79" t="str">
        <f>Excavation!C370</f>
        <v>cum</v>
      </c>
      <c r="E39" s="81">
        <f>Excavation!H384</f>
        <v>9899</v>
      </c>
      <c r="F39" s="81">
        <f t="shared" si="5"/>
        <v>76.150000000000006</v>
      </c>
      <c r="G39" s="152">
        <f t="shared" si="6"/>
        <v>0.51</v>
      </c>
      <c r="H39" s="152">
        <f>Excavation!H386</f>
        <v>0.49</v>
      </c>
      <c r="I39" s="81">
        <f t="shared" si="7"/>
        <v>5048.49</v>
      </c>
      <c r="J39" s="81">
        <f t="shared" si="8"/>
        <v>37.313500000000005</v>
      </c>
      <c r="K39" s="81"/>
      <c r="L39" s="81"/>
    </row>
    <row r="40" spans="1:12" ht="47.25" hidden="1">
      <c r="A40" s="79">
        <f t="shared" si="14"/>
        <v>33</v>
      </c>
      <c r="B40" s="79">
        <f>Excavation!A391</f>
        <v>21</v>
      </c>
      <c r="C40" s="80" t="str">
        <f>Excavation!B391</f>
        <v xml:space="preserve">Excavation for foundation through all types of soil including relevant lift and disposal upto 20m and also including dewatering during foundation excavation &amp; foundation works.
(d) Depth more than 4.5upto 6m  </v>
      </c>
      <c r="D40" s="79" t="str">
        <f>Excavation!C391</f>
        <v>cum</v>
      </c>
      <c r="E40" s="81">
        <f>Excavation!H405</f>
        <v>11560</v>
      </c>
      <c r="F40" s="81">
        <f t="shared" si="5"/>
        <v>88.92</v>
      </c>
      <c r="G40" s="152">
        <f t="shared" si="6"/>
        <v>0.50249999999999995</v>
      </c>
      <c r="H40" s="152">
        <f>Excavation!H407</f>
        <v>0.4975</v>
      </c>
      <c r="I40" s="81">
        <f t="shared" si="7"/>
        <v>5808.9</v>
      </c>
      <c r="J40" s="81">
        <f t="shared" si="8"/>
        <v>44.237700000000004</v>
      </c>
      <c r="K40" s="81"/>
      <c r="L40" s="81"/>
    </row>
    <row r="41" spans="1:12" ht="157.5" hidden="1">
      <c r="A41" s="79">
        <f t="shared" si="14"/>
        <v>34</v>
      </c>
      <c r="B41" s="79">
        <f>Excavation!A412</f>
        <v>22</v>
      </c>
      <c r="C41" s="80" t="str">
        <f>Excavation!B412</f>
        <v xml:space="preserve">Excavation for foundation through all types of soil including relevant lift and disposal upto 20m and also including dewatering during foundation excavation &amp; foundation works.
(e) Depth more than 6m  </v>
      </c>
      <c r="D41" s="79" t="str">
        <f>Excavation!C412</f>
        <v>cum</v>
      </c>
      <c r="E41" s="86" t="str">
        <f>Excavation!J423</f>
        <v xml:space="preserve">Increase by 30% for every additional meter depth of foundation over the rate for the previous depth. </v>
      </c>
      <c r="F41" s="81"/>
      <c r="G41" s="152">
        <f>1-H41</f>
        <v>1</v>
      </c>
      <c r="H41" s="152">
        <f>Excavation!H428</f>
        <v>0</v>
      </c>
      <c r="I41" s="81"/>
      <c r="J41" s="81"/>
      <c r="K41" s="81"/>
      <c r="L41" s="81"/>
    </row>
    <row r="42" spans="1:12" ht="31.5" hidden="1">
      <c r="A42" s="79">
        <f t="shared" si="14"/>
        <v>35</v>
      </c>
      <c r="B42" s="79">
        <f>Excavation!A433</f>
        <v>23</v>
      </c>
      <c r="C42" s="80" t="str">
        <f>Excavation!B433</f>
        <v>Excavation and disposal of slides in soft soil including manually haulage distance upto 50m all complete as per specification.</v>
      </c>
      <c r="D42" s="79" t="str">
        <f>Excavation!C433</f>
        <v>cum</v>
      </c>
      <c r="E42" s="81">
        <f>Excavation!H444</f>
        <v>604.5</v>
      </c>
      <c r="F42" s="81">
        <f>ROUND(E42/exr,2)</f>
        <v>4.6500000000000004</v>
      </c>
      <c r="G42" s="152">
        <f t="shared" si="6"/>
        <v>1</v>
      </c>
      <c r="H42" s="152">
        <f>Excavation!H446</f>
        <v>0</v>
      </c>
      <c r="I42" s="81">
        <f t="shared" si="7"/>
        <v>604.5</v>
      </c>
      <c r="J42" s="81">
        <f t="shared" si="8"/>
        <v>0</v>
      </c>
      <c r="K42" s="81"/>
      <c r="L42" s="81"/>
    </row>
    <row r="43" spans="1:12" ht="31.5" hidden="1">
      <c r="A43" s="79">
        <f t="shared" si="14"/>
        <v>36</v>
      </c>
      <c r="B43" s="79">
        <f>Excavation!A451</f>
        <v>24</v>
      </c>
      <c r="C43" s="80" t="str">
        <f>Excavation!B451</f>
        <v>Excavation and disposal of slides in hard soil/gravels/ boulder mixed soil including manually haulage distance upto 50m all complete as per specification.</v>
      </c>
      <c r="D43" s="79" t="str">
        <f>Excavation!C451</f>
        <v>cum</v>
      </c>
      <c r="E43" s="81">
        <f>Excavation!H463</f>
        <v>805.5</v>
      </c>
      <c r="F43" s="81">
        <f>ROUND(E43/exr,2)</f>
        <v>6.2</v>
      </c>
      <c r="G43" s="152">
        <f t="shared" si="6"/>
        <v>1</v>
      </c>
      <c r="H43" s="152">
        <f>Excavation!H465</f>
        <v>0</v>
      </c>
      <c r="I43" s="81">
        <f t="shared" si="7"/>
        <v>805.5</v>
      </c>
      <c r="J43" s="81">
        <f t="shared" si="8"/>
        <v>0</v>
      </c>
      <c r="K43" s="81"/>
      <c r="L43" s="81"/>
    </row>
    <row r="44" spans="1:12" ht="31.5" hidden="1">
      <c r="A44" s="79">
        <f t="shared" si="14"/>
        <v>37</v>
      </c>
      <c r="B44" s="79">
        <f>Excavation!A470</f>
        <v>25</v>
      </c>
      <c r="C44" s="80" t="str">
        <f>Excavation!B470</f>
        <v>Excavation in Soft rock including disposal upto 10m and lift upto 1.5 m etc. all complete as per specification.</v>
      </c>
      <c r="D44" s="79" t="str">
        <f>Excavation!C470</f>
        <v>cum</v>
      </c>
      <c r="E44" s="81">
        <f>Excavation!H481</f>
        <v>1611</v>
      </c>
      <c r="F44" s="81">
        <f>ROUND(E44/exr,2)</f>
        <v>12.39</v>
      </c>
      <c r="G44" s="152">
        <f t="shared" si="6"/>
        <v>1</v>
      </c>
      <c r="H44" s="152">
        <f>Excavation!H483</f>
        <v>0</v>
      </c>
      <c r="I44" s="81">
        <f t="shared" si="7"/>
        <v>1611</v>
      </c>
      <c r="J44" s="81">
        <f t="shared" si="8"/>
        <v>0</v>
      </c>
      <c r="K44" s="81"/>
      <c r="L44" s="81"/>
    </row>
    <row r="45" spans="1:12" hidden="1">
      <c r="A45" s="85"/>
      <c r="B45" s="85"/>
      <c r="C45" s="85"/>
      <c r="D45" s="85"/>
      <c r="E45" s="85"/>
      <c r="F45" s="85"/>
      <c r="G45" s="152"/>
      <c r="H45" s="152"/>
      <c r="I45" s="85"/>
      <c r="J45" s="85"/>
      <c r="K45" s="85"/>
      <c r="L45" s="85"/>
    </row>
    <row r="46" spans="1:12">
      <c r="A46" s="82" t="s">
        <v>226</v>
      </c>
      <c r="B46" s="82"/>
      <c r="C46" s="83" t="s">
        <v>227</v>
      </c>
      <c r="D46" s="83"/>
      <c r="E46" s="83"/>
      <c r="F46" s="83"/>
      <c r="G46" s="83"/>
      <c r="H46" s="83"/>
      <c r="I46" s="83"/>
      <c r="J46" s="83"/>
      <c r="K46" s="583">
        <v>1</v>
      </c>
      <c r="L46" s="83"/>
    </row>
    <row r="47" spans="1:12" ht="31.5" hidden="1">
      <c r="A47" s="79">
        <f>A44+1</f>
        <v>38</v>
      </c>
      <c r="B47" s="79">
        <f>Filling!A4</f>
        <v>1</v>
      </c>
      <c r="C47" s="80" t="str">
        <f>Filling!B4</f>
        <v>Transporation of excavated soil with loading and unloading 
(Haulage distance = 1km)</v>
      </c>
      <c r="D47" s="79" t="str">
        <f>Filling!C4</f>
        <v>cum</v>
      </c>
      <c r="E47" s="81">
        <f>Filling!H14</f>
        <v>552.5</v>
      </c>
      <c r="F47" s="81">
        <f t="shared" ref="F47:F55" si="15">ROUND(E47/exr,2)</f>
        <v>4.25</v>
      </c>
      <c r="G47" s="152">
        <f t="shared" ref="G47:G55" si="16">1-H47</f>
        <v>0.70750000000000002</v>
      </c>
      <c r="H47" s="152">
        <f>Filling!H16</f>
        <v>0.29249999999999998</v>
      </c>
      <c r="I47" s="81">
        <f t="shared" ref="I47:I55" si="17">E47*G47</f>
        <v>390.89375000000001</v>
      </c>
      <c r="J47" s="81">
        <f t="shared" ref="J47:J55" si="18">F47*H47</f>
        <v>1.243125</v>
      </c>
      <c r="K47" s="81"/>
      <c r="L47" s="81"/>
    </row>
    <row r="48" spans="1:12" ht="31.5" hidden="1">
      <c r="A48" s="79">
        <f>A47+1</f>
        <v>39</v>
      </c>
      <c r="B48" s="79">
        <f>Filling!A21</f>
        <v>2</v>
      </c>
      <c r="C48" s="80" t="str">
        <f>Filling!B21</f>
        <v>Transporation of excavated rock with loading and unloading 
(Haulage distance = 1km)</v>
      </c>
      <c r="D48" s="79" t="str">
        <f>Filling!C21</f>
        <v>cum</v>
      </c>
      <c r="E48" s="81">
        <f>Filling!H31</f>
        <v>678.5</v>
      </c>
      <c r="F48" s="81">
        <f t="shared" si="15"/>
        <v>5.22</v>
      </c>
      <c r="G48" s="152">
        <f t="shared" si="16"/>
        <v>0.72</v>
      </c>
      <c r="H48" s="152">
        <f>Filling!H33</f>
        <v>0.28000000000000003</v>
      </c>
      <c r="I48" s="81">
        <f t="shared" si="17"/>
        <v>488.52</v>
      </c>
      <c r="J48" s="81">
        <f t="shared" si="18"/>
        <v>1.4616</v>
      </c>
      <c r="K48" s="81"/>
      <c r="L48" s="81"/>
    </row>
    <row r="49" spans="1:12" ht="31.5" hidden="1">
      <c r="A49" s="79">
        <f t="shared" ref="A49:A55" si="19">A48+1</f>
        <v>40</v>
      </c>
      <c r="B49" s="79">
        <f>Filling!A38</f>
        <v>3</v>
      </c>
      <c r="C49" s="80" t="str">
        <f>Filling!B38</f>
        <v>Transporation of excavated soil with loading and unloading 
(Haulage distance = 2km)</v>
      </c>
      <c r="D49" s="79" t="str">
        <f>Filling!C38</f>
        <v>cum</v>
      </c>
      <c r="E49" s="81">
        <f>Filling!H48</f>
        <v>651</v>
      </c>
      <c r="F49" s="81">
        <f t="shared" si="15"/>
        <v>5.01</v>
      </c>
      <c r="G49" s="152">
        <f t="shared" si="16"/>
        <v>0.6</v>
      </c>
      <c r="H49" s="152">
        <f>Filling!H50</f>
        <v>0.4</v>
      </c>
      <c r="I49" s="81">
        <f t="shared" si="17"/>
        <v>390.59999999999997</v>
      </c>
      <c r="J49" s="81">
        <f t="shared" si="18"/>
        <v>2.004</v>
      </c>
      <c r="K49" s="81"/>
      <c r="L49" s="81"/>
    </row>
    <row r="50" spans="1:12" ht="31.5" hidden="1">
      <c r="A50" s="79">
        <f t="shared" si="19"/>
        <v>41</v>
      </c>
      <c r="B50" s="79">
        <f>Filling!A55</f>
        <v>4</v>
      </c>
      <c r="C50" s="80" t="str">
        <f>Filling!B55</f>
        <v>Transporation of excavated rock with loading and unloading 
(Haulage distance = 2km)</v>
      </c>
      <c r="D50" s="79" t="str">
        <f>Filling!C55</f>
        <v>cum</v>
      </c>
      <c r="E50" s="81">
        <f>Filling!H65</f>
        <v>793</v>
      </c>
      <c r="F50" s="81">
        <f t="shared" si="15"/>
        <v>6.1</v>
      </c>
      <c r="G50" s="152">
        <f t="shared" si="16"/>
        <v>0.61499999999999999</v>
      </c>
      <c r="H50" s="152">
        <f>Filling!H67</f>
        <v>0.38500000000000001</v>
      </c>
      <c r="I50" s="81">
        <f t="shared" si="17"/>
        <v>487.69499999999999</v>
      </c>
      <c r="J50" s="81">
        <f t="shared" si="18"/>
        <v>2.3485</v>
      </c>
      <c r="K50" s="81"/>
      <c r="L50" s="81"/>
    </row>
    <row r="51" spans="1:12" ht="31.5">
      <c r="A51" s="79">
        <f t="shared" si="19"/>
        <v>42</v>
      </c>
      <c r="B51" s="79">
        <f>Filling!A72</f>
        <v>5</v>
      </c>
      <c r="C51" s="218" t="str">
        <f>Filling!B72</f>
        <v>Formation of embankment including compaction in layers not exceeding 150mm. Compacted depth, watering and haulage 10m. etc. all complete as per specification.</v>
      </c>
      <c r="D51" s="79" t="str">
        <f>Filling!C72</f>
        <v>cum</v>
      </c>
      <c r="E51" s="81">
        <f>Filling!H85</f>
        <v>217.5</v>
      </c>
      <c r="F51" s="81">
        <f t="shared" si="15"/>
        <v>1.67</v>
      </c>
      <c r="G51" s="152">
        <f t="shared" si="16"/>
        <v>0.92500000000000004</v>
      </c>
      <c r="H51" s="152">
        <f>Filling!H87</f>
        <v>7.4999999999999997E-2</v>
      </c>
      <c r="I51" s="81">
        <f t="shared" si="17"/>
        <v>201.1875</v>
      </c>
      <c r="J51" s="81">
        <f t="shared" si="18"/>
        <v>0.12525</v>
      </c>
      <c r="K51" s="81">
        <f>E51</f>
        <v>217.5</v>
      </c>
      <c r="L51" s="81"/>
    </row>
    <row r="52" spans="1:12" ht="31.5" hidden="1">
      <c r="A52" s="79">
        <f t="shared" si="19"/>
        <v>43</v>
      </c>
      <c r="B52" s="79">
        <f>Filling!A92</f>
        <v>6</v>
      </c>
      <c r="C52" s="80" t="str">
        <f>Filling!B92</f>
        <v>Formation of rockfilled embankment including compaction  in layers not exceeding 450mm.  watering and haulage 10m. etc. all complete as per specification.</v>
      </c>
      <c r="D52" s="79" t="str">
        <f>Filling!C92</f>
        <v>cum</v>
      </c>
      <c r="E52" s="81">
        <f>Filling!H104</f>
        <v>2309</v>
      </c>
      <c r="F52" s="81">
        <f t="shared" si="15"/>
        <v>17.760000000000002</v>
      </c>
      <c r="G52" s="152">
        <f t="shared" si="16"/>
        <v>0.55249999999999999</v>
      </c>
      <c r="H52" s="152">
        <f>Filling!H106</f>
        <v>0.44750000000000001</v>
      </c>
      <c r="I52" s="81">
        <f t="shared" si="17"/>
        <v>1275.7225000000001</v>
      </c>
      <c r="J52" s="81">
        <f t="shared" si="18"/>
        <v>7.9476000000000004</v>
      </c>
      <c r="K52" s="81"/>
      <c r="L52" s="81"/>
    </row>
    <row r="53" spans="1:12" ht="33" hidden="1" customHeight="1">
      <c r="A53" s="79">
        <f t="shared" si="19"/>
        <v>44</v>
      </c>
      <c r="B53" s="79">
        <f>Filling!A111</f>
        <v>7</v>
      </c>
      <c r="C53" s="80" t="str">
        <f>Filling!B111</f>
        <v xml:space="preserve">Back filling in layers in foundaion pits, trenches , etc, including compaction and watering etc. complete, lead 10m.  
</v>
      </c>
      <c r="D53" s="79" t="str">
        <f>Filling!C111</f>
        <v>cum</v>
      </c>
      <c r="E53" s="81">
        <f>Filling!H122</f>
        <v>503.5</v>
      </c>
      <c r="F53" s="81">
        <f t="shared" si="15"/>
        <v>3.87</v>
      </c>
      <c r="G53" s="152">
        <f t="shared" si="16"/>
        <v>1</v>
      </c>
      <c r="H53" s="152">
        <f>Filling!H124</f>
        <v>0</v>
      </c>
      <c r="I53" s="81">
        <f t="shared" si="17"/>
        <v>503.5</v>
      </c>
      <c r="J53" s="81">
        <f t="shared" si="18"/>
        <v>0</v>
      </c>
      <c r="K53" s="81"/>
      <c r="L53" s="81"/>
    </row>
    <row r="54" spans="1:12" ht="31.5">
      <c r="A54" s="79">
        <f t="shared" si="19"/>
        <v>45</v>
      </c>
      <c r="B54" s="79">
        <f>Filling!A129</f>
        <v>8</v>
      </c>
      <c r="C54" s="218" t="str">
        <f>Filling!B129</f>
        <v>Back fill with graded filter materials in layer with  necessary watering and compaction, lead 30m, lift 1.5m.</v>
      </c>
      <c r="D54" s="79" t="str">
        <f>Filling!C129</f>
        <v>cum</v>
      </c>
      <c r="E54" s="81">
        <f>Filling!H140</f>
        <v>2173.5</v>
      </c>
      <c r="F54" s="81">
        <f t="shared" si="15"/>
        <v>16.72</v>
      </c>
      <c r="G54" s="152">
        <f t="shared" si="16"/>
        <v>1</v>
      </c>
      <c r="H54" s="152">
        <f>Filling!H142</f>
        <v>0</v>
      </c>
      <c r="I54" s="81">
        <f t="shared" si="17"/>
        <v>2173.5</v>
      </c>
      <c r="J54" s="81">
        <f t="shared" si="18"/>
        <v>0</v>
      </c>
      <c r="K54" s="81">
        <f>AVERAGE(E54:E55)</f>
        <v>1563.5</v>
      </c>
      <c r="L54" s="81"/>
    </row>
    <row r="55" spans="1:12" ht="31.5" hidden="1">
      <c r="A55" s="79">
        <f t="shared" si="19"/>
        <v>46</v>
      </c>
      <c r="B55" s="79">
        <v>9</v>
      </c>
      <c r="C55" s="244" t="str">
        <f>Filling!B147</f>
        <v>Back fill with graded filter materials in layer with  necessary watering and compaction, lead 10m, lift 1.5m.</v>
      </c>
      <c r="D55" s="79" t="str">
        <f>Filling!C147</f>
        <v>cum</v>
      </c>
      <c r="E55" s="81">
        <f>Filling!H158</f>
        <v>953.5</v>
      </c>
      <c r="F55" s="81">
        <f t="shared" si="15"/>
        <v>7.33</v>
      </c>
      <c r="G55" s="152">
        <f t="shared" si="16"/>
        <v>1</v>
      </c>
      <c r="H55" s="152">
        <f>Filling!H160</f>
        <v>0</v>
      </c>
      <c r="I55" s="81">
        <f t="shared" si="17"/>
        <v>953.5</v>
      </c>
      <c r="J55" s="81">
        <f t="shared" si="18"/>
        <v>0</v>
      </c>
      <c r="K55" s="81"/>
      <c r="L55" s="81"/>
    </row>
    <row r="56" spans="1:12" hidden="1">
      <c r="A56" s="85"/>
      <c r="B56" s="85"/>
      <c r="C56" s="85"/>
      <c r="D56" s="85"/>
      <c r="E56" s="85"/>
      <c r="F56" s="85"/>
      <c r="G56" s="152"/>
      <c r="H56" s="152"/>
      <c r="I56" s="85"/>
      <c r="J56" s="85"/>
      <c r="K56" s="85"/>
      <c r="L56" s="85"/>
    </row>
    <row r="57" spans="1:12">
      <c r="A57" s="82" t="s">
        <v>246</v>
      </c>
      <c r="B57" s="82"/>
      <c r="C57" s="83" t="s">
        <v>247</v>
      </c>
      <c r="D57" s="83"/>
      <c r="E57" s="83"/>
      <c r="F57" s="83"/>
      <c r="G57" s="83"/>
      <c r="H57" s="83"/>
      <c r="I57" s="83"/>
      <c r="J57" s="83"/>
      <c r="K57" s="583">
        <v>1</v>
      </c>
      <c r="L57" s="83"/>
    </row>
    <row r="58" spans="1:12" ht="31.5" hidden="1">
      <c r="A58" s="79">
        <f>A54+1</f>
        <v>46</v>
      </c>
      <c r="B58" s="79">
        <f>Formwork!A4</f>
        <v>1</v>
      </c>
      <c r="C58" s="243" t="str">
        <f>Formwork!B4</f>
        <v>Providing , Preparing and Installing form work including necessary supports and removing after completion for foundation and footings.(Scrap value neglected)</v>
      </c>
      <c r="D58" s="79" t="str">
        <f>Formwork!C5</f>
        <v>sqm</v>
      </c>
      <c r="E58" s="81">
        <f>Formwork!H17</f>
        <v>719.5</v>
      </c>
      <c r="F58" s="81">
        <f>ROUND(E58/exr,2)</f>
        <v>5.53</v>
      </c>
      <c r="G58" s="152">
        <f t="shared" ref="G58:G124" si="20">1-H58</f>
        <v>0.98</v>
      </c>
      <c r="H58" s="152">
        <f>Formwork!H19</f>
        <v>0.02</v>
      </c>
      <c r="I58" s="81">
        <f t="shared" ref="I58:J61" si="21">E58*G58</f>
        <v>705.11</v>
      </c>
      <c r="J58" s="81">
        <f t="shared" si="21"/>
        <v>0.1106</v>
      </c>
      <c r="K58" s="81"/>
      <c r="L58" s="81"/>
    </row>
    <row r="59" spans="1:12" ht="47.25" hidden="1">
      <c r="A59" s="79">
        <f>A58+1</f>
        <v>47</v>
      </c>
      <c r="B59" s="79">
        <f>Formwork!A24</f>
        <v>2</v>
      </c>
      <c r="C59" s="243" t="str">
        <f>Formwork!B24</f>
        <v>Providing , Preparing and Installing form work including necessary supports and removing after completion for walls [Vertical plain surface].(Scrap value neglected)
(Height upto 3m)</v>
      </c>
      <c r="D59" s="79" t="str">
        <f>Formwork!C25</f>
        <v>sqm</v>
      </c>
      <c r="E59" s="81">
        <f>Formwork!H38</f>
        <v>841.5</v>
      </c>
      <c r="F59" s="81">
        <f>ROUND(E59/exr,2)</f>
        <v>6.47</v>
      </c>
      <c r="G59" s="152">
        <f t="shared" si="20"/>
        <v>0.95750000000000002</v>
      </c>
      <c r="H59" s="152">
        <f>Formwork!H40</f>
        <v>4.2500000000000003E-2</v>
      </c>
      <c r="I59" s="81">
        <f t="shared" si="21"/>
        <v>805.73625000000004</v>
      </c>
      <c r="J59" s="81">
        <f t="shared" si="21"/>
        <v>0.27497500000000002</v>
      </c>
      <c r="K59" s="81"/>
      <c r="L59" s="81"/>
    </row>
    <row r="60" spans="1:12" ht="47.25" hidden="1">
      <c r="A60" s="79">
        <f>A59+1</f>
        <v>48</v>
      </c>
      <c r="B60" s="79">
        <f>Formwork!A45</f>
        <v>3</v>
      </c>
      <c r="C60" s="243" t="str">
        <f>Formwork!B45</f>
        <v>Providing , Preparing and Installing form work including necessary supports and removing after completion for walls [Vertical plain surface].(Scrap value neglected)
(Height more than 3m upto 6m)</v>
      </c>
      <c r="D60" s="79" t="str">
        <f>Formwork!C46</f>
        <v>sqm</v>
      </c>
      <c r="E60" s="81">
        <f>Formwork!H59</f>
        <v>1026.5</v>
      </c>
      <c r="F60" s="81">
        <f>ROUND(E60/exr,2)</f>
        <v>7.9</v>
      </c>
      <c r="G60" s="152">
        <f t="shared" si="20"/>
        <v>0.95</v>
      </c>
      <c r="H60" s="152">
        <f>Formwork!H61</f>
        <v>0.05</v>
      </c>
      <c r="I60" s="81">
        <f t="shared" si="21"/>
        <v>975.17499999999995</v>
      </c>
      <c r="J60" s="81">
        <f t="shared" si="21"/>
        <v>0.39500000000000002</v>
      </c>
      <c r="K60" s="81"/>
      <c r="L60" s="81"/>
    </row>
    <row r="61" spans="1:12" ht="47.25">
      <c r="A61" s="79">
        <f>A60+1</f>
        <v>49</v>
      </c>
      <c r="B61" s="79">
        <f>Formwork!A66</f>
        <v>4</v>
      </c>
      <c r="C61" s="218" t="str">
        <f>Formwork!B66</f>
        <v>Providing , Preparing and Installing form work including necessary supports and removing after completion for walls [Vertical plain surface].(Scrap value neglected)
(Height more than 6m upto 9m)</v>
      </c>
      <c r="D61" s="79" t="str">
        <f>Formwork!C67</f>
        <v>sqm</v>
      </c>
      <c r="E61" s="81">
        <f>Formwork!H80</f>
        <v>1295.5</v>
      </c>
      <c r="F61" s="81">
        <f>ROUND(E61/exr,2)</f>
        <v>9.9700000000000006</v>
      </c>
      <c r="G61" s="152">
        <f t="shared" si="20"/>
        <v>1</v>
      </c>
      <c r="H61" s="152"/>
      <c r="I61" s="572">
        <f t="shared" si="21"/>
        <v>1295.5</v>
      </c>
      <c r="J61" s="81">
        <f t="shared" si="21"/>
        <v>0</v>
      </c>
      <c r="K61" s="81">
        <f>AVERAGE(E58:E61,E63:E65)</f>
        <v>1228.5614285714287</v>
      </c>
      <c r="L61" s="81"/>
    </row>
    <row r="62" spans="1:12" ht="146.25" hidden="1" customHeight="1">
      <c r="A62" s="79">
        <f>A61+1</f>
        <v>50</v>
      </c>
      <c r="B62" s="79">
        <f>Formwork!A87</f>
        <v>5</v>
      </c>
      <c r="C62" s="243" t="str">
        <f>Formwork!B87</f>
        <v>Providing , Preparing and Installing form work including necessary supports and removing after completion for walls [Vertical plain surface].(Scrap value neglected)
(Height more than 9m)</v>
      </c>
      <c r="D62" s="79" t="str">
        <f>Formwork!C88</f>
        <v>sqm</v>
      </c>
      <c r="E62" s="86" t="str">
        <f>Formwork!J97</f>
        <v xml:space="preserve">Increase the rate  by 10% for every additional meter height to the rate for the previous height </v>
      </c>
      <c r="F62" s="81"/>
      <c r="G62" s="152"/>
      <c r="H62" s="152"/>
      <c r="I62" s="81"/>
      <c r="J62" s="81"/>
      <c r="K62" s="81"/>
      <c r="L62" s="81"/>
    </row>
    <row r="63" spans="1:12" ht="15.75" hidden="1" customHeight="1">
      <c r="A63" s="79"/>
      <c r="B63" s="79"/>
      <c r="C63" s="245" t="s">
        <v>727</v>
      </c>
      <c r="D63" s="79" t="str">
        <f>D62</f>
        <v>sqm</v>
      </c>
      <c r="E63" s="86">
        <f>ROUND(110%*E61,2)</f>
        <v>1425.05</v>
      </c>
      <c r="F63" s="81">
        <f t="shared" ref="F63:F77" si="22">ROUND(E63/exr,2)</f>
        <v>10.96</v>
      </c>
      <c r="G63" s="152">
        <f t="shared" si="20"/>
        <v>0.95374999999999999</v>
      </c>
      <c r="H63" s="152">
        <f>AVERAGE(H59:H61)</f>
        <v>4.6249999999999999E-2</v>
      </c>
      <c r="I63" s="81">
        <f t="shared" ref="I63:I74" si="23">E63*G63</f>
        <v>1359.1414374999999</v>
      </c>
      <c r="J63" s="81">
        <f t="shared" ref="J63:J74" si="24">F63*H63</f>
        <v>0.50690000000000002</v>
      </c>
      <c r="K63" s="81"/>
      <c r="L63" s="81"/>
    </row>
    <row r="64" spans="1:12" ht="15.75" hidden="1" customHeight="1">
      <c r="A64" s="79"/>
      <c r="B64" s="79"/>
      <c r="C64" s="245" t="s">
        <v>728</v>
      </c>
      <c r="D64" s="79" t="str">
        <f t="shared" ref="D64:D74" si="25">D63</f>
        <v>sqm</v>
      </c>
      <c r="E64" s="86">
        <f>ROUND(110%*E63,2)</f>
        <v>1567.56</v>
      </c>
      <c r="F64" s="81">
        <f t="shared" si="22"/>
        <v>12.06</v>
      </c>
      <c r="G64" s="152">
        <f t="shared" si="20"/>
        <v>0.95374999999999999</v>
      </c>
      <c r="H64" s="152">
        <f>H63</f>
        <v>4.6249999999999999E-2</v>
      </c>
      <c r="I64" s="81">
        <f t="shared" si="23"/>
        <v>1495.06035</v>
      </c>
      <c r="J64" s="81">
        <f t="shared" si="24"/>
        <v>0.55777500000000002</v>
      </c>
      <c r="K64" s="81"/>
      <c r="L64" s="81"/>
    </row>
    <row r="65" spans="1:12" ht="15.75" hidden="1" customHeight="1">
      <c r="A65" s="79"/>
      <c r="B65" s="79"/>
      <c r="C65" s="245" t="s">
        <v>729</v>
      </c>
      <c r="D65" s="79" t="str">
        <f t="shared" si="25"/>
        <v>sqm</v>
      </c>
      <c r="E65" s="86">
        <f t="shared" ref="E65:E74" si="26">ROUND(110%*E64,2)</f>
        <v>1724.32</v>
      </c>
      <c r="F65" s="81">
        <f t="shared" si="22"/>
        <v>13.26</v>
      </c>
      <c r="G65" s="152">
        <f t="shared" si="20"/>
        <v>0.95374999999999999</v>
      </c>
      <c r="H65" s="152">
        <f t="shared" ref="H65:H74" si="27">H64</f>
        <v>4.6249999999999999E-2</v>
      </c>
      <c r="I65" s="81">
        <f t="shared" si="23"/>
        <v>1644.5701999999999</v>
      </c>
      <c r="J65" s="81">
        <f t="shared" si="24"/>
        <v>0.61327500000000001</v>
      </c>
      <c r="K65" s="81"/>
      <c r="L65" s="81"/>
    </row>
    <row r="66" spans="1:12" ht="15.75" hidden="1" customHeight="1">
      <c r="A66" s="79"/>
      <c r="B66" s="79"/>
      <c r="C66" s="245" t="s">
        <v>730</v>
      </c>
      <c r="D66" s="79" t="str">
        <f t="shared" si="25"/>
        <v>sqm</v>
      </c>
      <c r="E66" s="86">
        <f t="shared" si="26"/>
        <v>1896.75</v>
      </c>
      <c r="F66" s="81">
        <f t="shared" si="22"/>
        <v>14.59</v>
      </c>
      <c r="G66" s="152">
        <f t="shared" si="20"/>
        <v>0.95374999999999999</v>
      </c>
      <c r="H66" s="152">
        <f t="shared" si="27"/>
        <v>4.6249999999999999E-2</v>
      </c>
      <c r="I66" s="81">
        <f t="shared" si="23"/>
        <v>1809.0253124999999</v>
      </c>
      <c r="J66" s="81">
        <f t="shared" si="24"/>
        <v>0.67478749999999998</v>
      </c>
      <c r="K66" s="81"/>
      <c r="L66" s="81"/>
    </row>
    <row r="67" spans="1:12" ht="15.75" hidden="1" customHeight="1">
      <c r="A67" s="79"/>
      <c r="B67" s="79"/>
      <c r="C67" s="245" t="s">
        <v>731</v>
      </c>
      <c r="D67" s="79" t="str">
        <f t="shared" si="25"/>
        <v>sqm</v>
      </c>
      <c r="E67" s="86">
        <f t="shared" si="26"/>
        <v>2086.4299999999998</v>
      </c>
      <c r="F67" s="81">
        <f t="shared" si="22"/>
        <v>16.05</v>
      </c>
      <c r="G67" s="152">
        <f t="shared" si="20"/>
        <v>0.95374999999999999</v>
      </c>
      <c r="H67" s="152">
        <f t="shared" si="27"/>
        <v>4.6249999999999999E-2</v>
      </c>
      <c r="I67" s="81">
        <f t="shared" si="23"/>
        <v>1989.9326124999998</v>
      </c>
      <c r="J67" s="81">
        <f t="shared" si="24"/>
        <v>0.74231250000000004</v>
      </c>
      <c r="K67" s="81"/>
      <c r="L67" s="81"/>
    </row>
    <row r="68" spans="1:12" ht="15.75" hidden="1" customHeight="1">
      <c r="A68" s="79"/>
      <c r="B68" s="79"/>
      <c r="C68" s="245" t="s">
        <v>732</v>
      </c>
      <c r="D68" s="79" t="str">
        <f t="shared" si="25"/>
        <v>sqm</v>
      </c>
      <c r="E68" s="86">
        <f t="shared" si="26"/>
        <v>2295.0700000000002</v>
      </c>
      <c r="F68" s="81">
        <f t="shared" si="22"/>
        <v>17.649999999999999</v>
      </c>
      <c r="G68" s="152">
        <f t="shared" si="20"/>
        <v>0.95374999999999999</v>
      </c>
      <c r="H68" s="152">
        <f t="shared" si="27"/>
        <v>4.6249999999999999E-2</v>
      </c>
      <c r="I68" s="81">
        <f t="shared" si="23"/>
        <v>2188.9230124999999</v>
      </c>
      <c r="J68" s="81">
        <f t="shared" si="24"/>
        <v>0.81631249999999989</v>
      </c>
      <c r="K68" s="81"/>
      <c r="L68" s="81"/>
    </row>
    <row r="69" spans="1:12" ht="15.75" hidden="1" customHeight="1">
      <c r="A69" s="79"/>
      <c r="B69" s="79"/>
      <c r="C69" s="245" t="s">
        <v>733</v>
      </c>
      <c r="D69" s="79" t="str">
        <f t="shared" si="25"/>
        <v>sqm</v>
      </c>
      <c r="E69" s="86">
        <f t="shared" si="26"/>
        <v>2524.58</v>
      </c>
      <c r="F69" s="81">
        <f t="shared" si="22"/>
        <v>19.420000000000002</v>
      </c>
      <c r="G69" s="152">
        <f t="shared" si="20"/>
        <v>0.95374999999999999</v>
      </c>
      <c r="H69" s="152">
        <f t="shared" si="27"/>
        <v>4.6249999999999999E-2</v>
      </c>
      <c r="I69" s="81">
        <f t="shared" si="23"/>
        <v>2407.8181749999999</v>
      </c>
      <c r="J69" s="81">
        <f t="shared" si="24"/>
        <v>0.89817500000000006</v>
      </c>
      <c r="K69" s="81"/>
      <c r="L69" s="81"/>
    </row>
    <row r="70" spans="1:12" ht="15.75" hidden="1" customHeight="1">
      <c r="A70" s="79"/>
      <c r="B70" s="79"/>
      <c r="C70" s="245" t="s">
        <v>734</v>
      </c>
      <c r="D70" s="79" t="str">
        <f t="shared" si="25"/>
        <v>sqm</v>
      </c>
      <c r="E70" s="86">
        <f t="shared" si="26"/>
        <v>2777.04</v>
      </c>
      <c r="F70" s="81">
        <f t="shared" si="22"/>
        <v>21.36</v>
      </c>
      <c r="G70" s="152">
        <f t="shared" si="20"/>
        <v>0.95374999999999999</v>
      </c>
      <c r="H70" s="152">
        <f t="shared" si="27"/>
        <v>4.6249999999999999E-2</v>
      </c>
      <c r="I70" s="81">
        <f t="shared" si="23"/>
        <v>2648.6019000000001</v>
      </c>
      <c r="J70" s="81">
        <f t="shared" si="24"/>
        <v>0.9879</v>
      </c>
      <c r="K70" s="81"/>
      <c r="L70" s="81"/>
    </row>
    <row r="71" spans="1:12" ht="15.75" hidden="1" customHeight="1">
      <c r="A71" s="79"/>
      <c r="B71" s="79"/>
      <c r="C71" s="245" t="s">
        <v>735</v>
      </c>
      <c r="D71" s="79" t="str">
        <f t="shared" si="25"/>
        <v>sqm</v>
      </c>
      <c r="E71" s="86">
        <f t="shared" si="26"/>
        <v>3054.74</v>
      </c>
      <c r="F71" s="81">
        <f t="shared" si="22"/>
        <v>23.5</v>
      </c>
      <c r="G71" s="152">
        <f t="shared" si="20"/>
        <v>0.95374999999999999</v>
      </c>
      <c r="H71" s="152">
        <f t="shared" si="27"/>
        <v>4.6249999999999999E-2</v>
      </c>
      <c r="I71" s="572">
        <f t="shared" si="23"/>
        <v>2913.458275</v>
      </c>
      <c r="J71" s="81">
        <f t="shared" si="24"/>
        <v>1.086875</v>
      </c>
      <c r="K71" s="81"/>
      <c r="L71" s="81"/>
    </row>
    <row r="72" spans="1:12" ht="15.75" hidden="1" customHeight="1">
      <c r="A72" s="79"/>
      <c r="B72" s="79"/>
      <c r="C72" s="245" t="s">
        <v>736</v>
      </c>
      <c r="D72" s="79" t="str">
        <f t="shared" si="25"/>
        <v>sqm</v>
      </c>
      <c r="E72" s="86">
        <f t="shared" si="26"/>
        <v>3360.21</v>
      </c>
      <c r="F72" s="81">
        <f t="shared" si="22"/>
        <v>25.85</v>
      </c>
      <c r="G72" s="152">
        <f t="shared" si="20"/>
        <v>0.95374999999999999</v>
      </c>
      <c r="H72" s="152">
        <f t="shared" si="27"/>
        <v>4.6249999999999999E-2</v>
      </c>
      <c r="I72" s="572">
        <f>E72*G72</f>
        <v>3204.8002875000002</v>
      </c>
      <c r="J72" s="81">
        <f t="shared" si="24"/>
        <v>1.1955625000000001</v>
      </c>
      <c r="K72" s="81"/>
      <c r="L72" s="81"/>
    </row>
    <row r="73" spans="1:12" ht="15.75" hidden="1" customHeight="1">
      <c r="A73" s="79"/>
      <c r="B73" s="79"/>
      <c r="C73" s="245" t="s">
        <v>737</v>
      </c>
      <c r="D73" s="79" t="str">
        <f t="shared" si="25"/>
        <v>sqm</v>
      </c>
      <c r="E73" s="86">
        <f t="shared" si="26"/>
        <v>3696.23</v>
      </c>
      <c r="F73" s="81">
        <f t="shared" si="22"/>
        <v>28.43</v>
      </c>
      <c r="G73" s="152">
        <f t="shared" si="20"/>
        <v>0.95374999999999999</v>
      </c>
      <c r="H73" s="152">
        <f t="shared" si="27"/>
        <v>4.6249999999999999E-2</v>
      </c>
      <c r="I73" s="572">
        <f t="shared" si="23"/>
        <v>3525.2793624999999</v>
      </c>
      <c r="J73" s="81">
        <f t="shared" si="24"/>
        <v>1.3148875</v>
      </c>
      <c r="K73" s="81"/>
      <c r="L73" s="81"/>
    </row>
    <row r="74" spans="1:12" ht="15.75" hidden="1" customHeight="1">
      <c r="A74" s="79"/>
      <c r="B74" s="79"/>
      <c r="C74" s="245" t="s">
        <v>738</v>
      </c>
      <c r="D74" s="79" t="str">
        <f t="shared" si="25"/>
        <v>sqm</v>
      </c>
      <c r="E74" s="86">
        <f t="shared" si="26"/>
        <v>4065.85</v>
      </c>
      <c r="F74" s="81">
        <f t="shared" si="22"/>
        <v>31.28</v>
      </c>
      <c r="G74" s="152">
        <f t="shared" si="20"/>
        <v>0.95374999999999999</v>
      </c>
      <c r="H74" s="152">
        <f t="shared" si="27"/>
        <v>4.6249999999999999E-2</v>
      </c>
      <c r="I74" s="572">
        <f t="shared" si="23"/>
        <v>3877.8044374999999</v>
      </c>
      <c r="J74" s="81">
        <f t="shared" si="24"/>
        <v>1.4467000000000001</v>
      </c>
      <c r="K74" s="81"/>
      <c r="L74" s="81"/>
    </row>
    <row r="75" spans="1:12" ht="47.25" hidden="1">
      <c r="A75" s="79">
        <f>A62+1</f>
        <v>51</v>
      </c>
      <c r="B75" s="79">
        <f>Formwork!A108</f>
        <v>6</v>
      </c>
      <c r="C75" s="148" t="str">
        <f>Formwork!B108</f>
        <v>Providing , Preparing and Installing form work including necessary supports and removing after completion for walls [Vertical curved surface].(Scrap value neglected)
(Height upto 3m)</v>
      </c>
      <c r="D75" s="79" t="str">
        <f>Formwork!C109</f>
        <v>sqm</v>
      </c>
      <c r="E75" s="577">
        <f>Formwork!H122</f>
        <v>1165.5</v>
      </c>
      <c r="F75" s="81">
        <f t="shared" si="22"/>
        <v>8.9700000000000006</v>
      </c>
      <c r="G75" s="152">
        <f t="shared" si="20"/>
        <v>0.95</v>
      </c>
      <c r="H75" s="152">
        <f>Formwork!H124</f>
        <v>0.05</v>
      </c>
      <c r="I75" s="81">
        <f>E75*G75</f>
        <v>1107.2249999999999</v>
      </c>
      <c r="J75" s="81">
        <f t="shared" ref="J75:J122" si="28">F75*H75</f>
        <v>0.44850000000000007</v>
      </c>
      <c r="K75" s="81"/>
      <c r="L75" s="81"/>
    </row>
    <row r="76" spans="1:12" ht="47.25" hidden="1">
      <c r="A76" s="79">
        <f>A75+1</f>
        <v>52</v>
      </c>
      <c r="B76" s="79">
        <f>Formwork!A129</f>
        <v>7</v>
      </c>
      <c r="C76" s="148" t="str">
        <f>Formwork!B129</f>
        <v>Providing , Preparing and Installing form work including necessary supports and removing after completion for walls [Vertical curved surface].(Scrap value neglected)
(Height more than 3m upto 6m)</v>
      </c>
      <c r="D76" s="79" t="str">
        <f>Formwork!C130</f>
        <v>sqm</v>
      </c>
      <c r="E76" s="577">
        <f>Formwork!H143</f>
        <v>1395</v>
      </c>
      <c r="F76" s="81">
        <f t="shared" si="22"/>
        <v>10.73</v>
      </c>
      <c r="G76" s="152">
        <f t="shared" si="20"/>
        <v>0.94750000000000001</v>
      </c>
      <c r="H76" s="152">
        <f>Formwork!H145</f>
        <v>5.2499999999999998E-2</v>
      </c>
      <c r="I76" s="81">
        <f>E76*G76</f>
        <v>1321.7625</v>
      </c>
      <c r="J76" s="81">
        <f t="shared" si="28"/>
        <v>0.56332499999999996</v>
      </c>
      <c r="K76" s="81"/>
      <c r="L76" s="81"/>
    </row>
    <row r="77" spans="1:12" ht="47.25" hidden="1">
      <c r="A77" s="79">
        <f>A76+1</f>
        <v>53</v>
      </c>
      <c r="B77" s="79">
        <f>Formwork!A150</f>
        <v>8</v>
      </c>
      <c r="C77" s="148" t="str">
        <f>Formwork!B150</f>
        <v>Providing , Preparing and Installing form work including necessary supports and removing after completion for walls [Vertical curved surface].(Scrap value neglected)
(Height more than 6m upto 9m)</v>
      </c>
      <c r="D77" s="79" t="str">
        <f>Formwork!C151</f>
        <v>sqm</v>
      </c>
      <c r="E77" s="577">
        <f>Formwork!H164</f>
        <v>1777.5</v>
      </c>
      <c r="F77" s="81">
        <f t="shared" si="22"/>
        <v>13.67</v>
      </c>
      <c r="G77" s="152">
        <f t="shared" si="20"/>
        <v>0.95</v>
      </c>
      <c r="H77" s="152">
        <f>Formwork!H166</f>
        <v>0.05</v>
      </c>
      <c r="I77" s="81">
        <f>E77*G77</f>
        <v>1688.625</v>
      </c>
      <c r="J77" s="81">
        <f t="shared" si="28"/>
        <v>0.6835</v>
      </c>
      <c r="K77" s="81"/>
      <c r="L77" s="81"/>
    </row>
    <row r="78" spans="1:12" ht="141.75" hidden="1">
      <c r="A78" s="79">
        <f>A77+1</f>
        <v>54</v>
      </c>
      <c r="B78" s="79">
        <f>Formwork!A171</f>
        <v>9</v>
      </c>
      <c r="C78" s="148" t="str">
        <f>Formwork!B171</f>
        <v>Providing , Preparing and Installing form work including necessary supports and removing after completion for walls [Vertical curved surface].(Scrap value neglected)
(Height more than 9m)</v>
      </c>
      <c r="D78" s="79" t="str">
        <f>Formwork!C172</f>
        <v>sqm</v>
      </c>
      <c r="E78" s="86" t="str">
        <f>Formwork!J181</f>
        <v xml:space="preserve">Increase the rate  by 10% for every additional meter height to the rate for the previous height </v>
      </c>
      <c r="F78" s="81"/>
      <c r="G78" s="152">
        <f t="shared" si="20"/>
        <v>1</v>
      </c>
      <c r="H78" s="152"/>
      <c r="I78" s="81"/>
      <c r="J78" s="81">
        <f t="shared" si="28"/>
        <v>0</v>
      </c>
      <c r="K78" s="81"/>
      <c r="L78" s="81"/>
    </row>
    <row r="79" spans="1:12" ht="15.75" hidden="1" customHeight="1">
      <c r="A79" s="79"/>
      <c r="B79" s="79"/>
      <c r="C79" s="173" t="s">
        <v>727</v>
      </c>
      <c r="D79" s="79" t="str">
        <f>D78</f>
        <v>sqm</v>
      </c>
      <c r="E79" s="577">
        <f>ROUND(110%*E77,2)</f>
        <v>1955.25</v>
      </c>
      <c r="F79" s="81">
        <f>ROUND(E79/exr,2)</f>
        <v>15.04</v>
      </c>
      <c r="G79" s="152">
        <f>1-H79</f>
        <v>0.94916666666666671</v>
      </c>
      <c r="H79" s="152">
        <f>AVERAGE(H75:H77)</f>
        <v>5.0833333333333341E-2</v>
      </c>
      <c r="I79" s="81">
        <f t="shared" ref="I79:I90" si="29">E79*G79</f>
        <v>1855.8581250000002</v>
      </c>
      <c r="J79" s="81">
        <f t="shared" si="28"/>
        <v>0.7645333333333334</v>
      </c>
      <c r="K79" s="81"/>
      <c r="L79" s="81"/>
    </row>
    <row r="80" spans="1:12" ht="15.75" hidden="1" customHeight="1">
      <c r="A80" s="79"/>
      <c r="B80" s="79"/>
      <c r="C80" s="173" t="s">
        <v>728</v>
      </c>
      <c r="D80" s="79" t="str">
        <f t="shared" ref="D80:D90" si="30">D79</f>
        <v>sqm</v>
      </c>
      <c r="E80" s="577">
        <f>ROUND(110%*E79,2)</f>
        <v>2150.7800000000002</v>
      </c>
      <c r="F80" s="81">
        <f t="shared" ref="F80:F90" si="31">ROUND(E80/exr,2)</f>
        <v>16.54</v>
      </c>
      <c r="G80" s="152">
        <f t="shared" ref="G80:G90" si="32">1-H80</f>
        <v>0.94916666666666671</v>
      </c>
      <c r="H80" s="152">
        <f>H79</f>
        <v>5.0833333333333341E-2</v>
      </c>
      <c r="I80" s="81">
        <f t="shared" si="29"/>
        <v>2041.4486833333335</v>
      </c>
      <c r="J80" s="81">
        <f t="shared" si="28"/>
        <v>0.84078333333333344</v>
      </c>
      <c r="K80" s="81"/>
      <c r="L80" s="81"/>
    </row>
    <row r="81" spans="1:12" ht="15.75" hidden="1" customHeight="1">
      <c r="A81" s="79"/>
      <c r="B81" s="79"/>
      <c r="C81" s="173" t="s">
        <v>729</v>
      </c>
      <c r="D81" s="79" t="str">
        <f t="shared" si="30"/>
        <v>sqm</v>
      </c>
      <c r="E81" s="577">
        <f t="shared" ref="E81:E90" si="33">ROUND(110%*E80,2)</f>
        <v>2365.86</v>
      </c>
      <c r="F81" s="81">
        <f t="shared" si="31"/>
        <v>18.2</v>
      </c>
      <c r="G81" s="152">
        <f t="shared" si="32"/>
        <v>0.94916666666666671</v>
      </c>
      <c r="H81" s="152">
        <f t="shared" ref="H81:H90" si="34">H80</f>
        <v>5.0833333333333341E-2</v>
      </c>
      <c r="I81" s="81">
        <f t="shared" si="29"/>
        <v>2245.5954500000003</v>
      </c>
      <c r="J81" s="81">
        <f t="shared" si="28"/>
        <v>0.9251666666666668</v>
      </c>
      <c r="K81" s="81"/>
      <c r="L81" s="81"/>
    </row>
    <row r="82" spans="1:12" ht="15.75" hidden="1" customHeight="1">
      <c r="A82" s="79"/>
      <c r="B82" s="79"/>
      <c r="C82" s="173" t="s">
        <v>730</v>
      </c>
      <c r="D82" s="79" t="str">
        <f t="shared" si="30"/>
        <v>sqm</v>
      </c>
      <c r="E82" s="577">
        <f t="shared" si="33"/>
        <v>2602.4499999999998</v>
      </c>
      <c r="F82" s="81">
        <f t="shared" si="31"/>
        <v>20.02</v>
      </c>
      <c r="G82" s="152">
        <f t="shared" si="32"/>
        <v>0.94916666666666671</v>
      </c>
      <c r="H82" s="152">
        <f t="shared" si="34"/>
        <v>5.0833333333333341E-2</v>
      </c>
      <c r="I82" s="81">
        <f t="shared" si="29"/>
        <v>2470.1587916666667</v>
      </c>
      <c r="J82" s="81">
        <f t="shared" si="28"/>
        <v>1.0176833333333335</v>
      </c>
      <c r="K82" s="81"/>
      <c r="L82" s="81"/>
    </row>
    <row r="83" spans="1:12" ht="15.75" hidden="1" customHeight="1">
      <c r="A83" s="79"/>
      <c r="B83" s="79"/>
      <c r="C83" s="173" t="s">
        <v>731</v>
      </c>
      <c r="D83" s="79" t="str">
        <f t="shared" si="30"/>
        <v>sqm</v>
      </c>
      <c r="E83" s="577">
        <f t="shared" si="33"/>
        <v>2862.7</v>
      </c>
      <c r="F83" s="81">
        <f t="shared" si="31"/>
        <v>22.02</v>
      </c>
      <c r="G83" s="152">
        <f t="shared" si="32"/>
        <v>0.94916666666666671</v>
      </c>
      <c r="H83" s="152">
        <f t="shared" si="34"/>
        <v>5.0833333333333341E-2</v>
      </c>
      <c r="I83" s="81">
        <f t="shared" si="29"/>
        <v>2717.1794166666668</v>
      </c>
      <c r="J83" s="81">
        <f t="shared" si="28"/>
        <v>1.1193500000000001</v>
      </c>
      <c r="K83" s="81"/>
      <c r="L83" s="81"/>
    </row>
    <row r="84" spans="1:12" ht="15.75" hidden="1" customHeight="1">
      <c r="A84" s="79"/>
      <c r="B84" s="79"/>
      <c r="C84" s="173" t="s">
        <v>732</v>
      </c>
      <c r="D84" s="79" t="str">
        <f t="shared" si="30"/>
        <v>sqm</v>
      </c>
      <c r="E84" s="577">
        <f t="shared" si="33"/>
        <v>3148.97</v>
      </c>
      <c r="F84" s="81">
        <f t="shared" si="31"/>
        <v>24.22</v>
      </c>
      <c r="G84" s="152">
        <f t="shared" si="32"/>
        <v>0.94916666666666671</v>
      </c>
      <c r="H84" s="152">
        <f t="shared" si="34"/>
        <v>5.0833333333333341E-2</v>
      </c>
      <c r="I84" s="81">
        <f t="shared" si="29"/>
        <v>2988.8973583333332</v>
      </c>
      <c r="J84" s="81">
        <f t="shared" si="28"/>
        <v>1.2311833333333335</v>
      </c>
      <c r="K84" s="81"/>
      <c r="L84" s="81"/>
    </row>
    <row r="85" spans="1:12" ht="15.75" hidden="1" customHeight="1">
      <c r="A85" s="79"/>
      <c r="B85" s="79"/>
      <c r="C85" s="173" t="s">
        <v>733</v>
      </c>
      <c r="D85" s="79" t="str">
        <f t="shared" si="30"/>
        <v>sqm</v>
      </c>
      <c r="E85" s="577">
        <f t="shared" si="33"/>
        <v>3463.87</v>
      </c>
      <c r="F85" s="81">
        <f t="shared" si="31"/>
        <v>26.65</v>
      </c>
      <c r="G85" s="152">
        <f t="shared" si="32"/>
        <v>0.94916666666666671</v>
      </c>
      <c r="H85" s="152">
        <f t="shared" si="34"/>
        <v>5.0833333333333341E-2</v>
      </c>
      <c r="I85" s="81">
        <f t="shared" si="29"/>
        <v>3287.7899416666669</v>
      </c>
      <c r="J85" s="81">
        <f t="shared" si="28"/>
        <v>1.3547083333333334</v>
      </c>
      <c r="K85" s="81"/>
      <c r="L85" s="81"/>
    </row>
    <row r="86" spans="1:12" ht="15.75" hidden="1" customHeight="1">
      <c r="A86" s="79"/>
      <c r="B86" s="79"/>
      <c r="C86" s="173" t="s">
        <v>734</v>
      </c>
      <c r="D86" s="79" t="str">
        <f t="shared" si="30"/>
        <v>sqm</v>
      </c>
      <c r="E86" s="577">
        <f t="shared" si="33"/>
        <v>3810.26</v>
      </c>
      <c r="F86" s="81">
        <f t="shared" si="31"/>
        <v>29.31</v>
      </c>
      <c r="G86" s="152">
        <f t="shared" si="32"/>
        <v>0.94916666666666671</v>
      </c>
      <c r="H86" s="152">
        <f t="shared" si="34"/>
        <v>5.0833333333333341E-2</v>
      </c>
      <c r="I86" s="81">
        <f t="shared" si="29"/>
        <v>3616.5717833333338</v>
      </c>
      <c r="J86" s="81">
        <f t="shared" si="28"/>
        <v>1.4899250000000002</v>
      </c>
      <c r="K86" s="81"/>
      <c r="L86" s="81"/>
    </row>
    <row r="87" spans="1:12" ht="15.75" hidden="1" customHeight="1">
      <c r="A87" s="79"/>
      <c r="B87" s="79"/>
      <c r="C87" s="173" t="s">
        <v>735</v>
      </c>
      <c r="D87" s="79" t="str">
        <f t="shared" si="30"/>
        <v>sqm</v>
      </c>
      <c r="E87" s="577">
        <f t="shared" si="33"/>
        <v>4191.29</v>
      </c>
      <c r="F87" s="81">
        <f t="shared" si="31"/>
        <v>32.24</v>
      </c>
      <c r="G87" s="152">
        <f t="shared" si="32"/>
        <v>0.94916666666666671</v>
      </c>
      <c r="H87" s="152">
        <f t="shared" si="34"/>
        <v>5.0833333333333341E-2</v>
      </c>
      <c r="I87" s="81">
        <f t="shared" si="29"/>
        <v>3978.2327583333335</v>
      </c>
      <c r="J87" s="81">
        <f t="shared" si="28"/>
        <v>1.6388666666666671</v>
      </c>
      <c r="K87" s="81"/>
      <c r="L87" s="81"/>
    </row>
    <row r="88" spans="1:12" ht="15.75" hidden="1" customHeight="1">
      <c r="A88" s="79"/>
      <c r="B88" s="79"/>
      <c r="C88" s="173" t="s">
        <v>736</v>
      </c>
      <c r="D88" s="79" t="str">
        <f t="shared" si="30"/>
        <v>sqm</v>
      </c>
      <c r="E88" s="577">
        <f t="shared" si="33"/>
        <v>4610.42</v>
      </c>
      <c r="F88" s="81">
        <f t="shared" si="31"/>
        <v>35.46</v>
      </c>
      <c r="G88" s="152">
        <f t="shared" si="32"/>
        <v>0.94916666666666671</v>
      </c>
      <c r="H88" s="152">
        <f t="shared" si="34"/>
        <v>5.0833333333333341E-2</v>
      </c>
      <c r="I88" s="81">
        <f t="shared" si="29"/>
        <v>4376.0569833333338</v>
      </c>
      <c r="J88" s="81">
        <f t="shared" si="28"/>
        <v>1.8025500000000003</v>
      </c>
      <c r="K88" s="81"/>
      <c r="L88" s="81"/>
    </row>
    <row r="89" spans="1:12" ht="15.75" hidden="1" customHeight="1">
      <c r="A89" s="79"/>
      <c r="B89" s="79"/>
      <c r="C89" s="173" t="s">
        <v>737</v>
      </c>
      <c r="D89" s="79" t="str">
        <f t="shared" si="30"/>
        <v>sqm</v>
      </c>
      <c r="E89" s="577">
        <f t="shared" si="33"/>
        <v>5071.46</v>
      </c>
      <c r="F89" s="81">
        <f t="shared" si="31"/>
        <v>39.01</v>
      </c>
      <c r="G89" s="152">
        <f t="shared" si="32"/>
        <v>0.94916666666666671</v>
      </c>
      <c r="H89" s="152">
        <f t="shared" si="34"/>
        <v>5.0833333333333341E-2</v>
      </c>
      <c r="I89" s="81">
        <f t="shared" si="29"/>
        <v>4813.6607833333337</v>
      </c>
      <c r="J89" s="81">
        <f t="shared" si="28"/>
        <v>1.9830083333333335</v>
      </c>
      <c r="K89" s="81"/>
      <c r="L89" s="81"/>
    </row>
    <row r="90" spans="1:12" ht="15.75" hidden="1" customHeight="1">
      <c r="A90" s="79"/>
      <c r="B90" s="79"/>
      <c r="C90" s="173" t="s">
        <v>738</v>
      </c>
      <c r="D90" s="79" t="str">
        <f t="shared" si="30"/>
        <v>sqm</v>
      </c>
      <c r="E90" s="577">
        <f t="shared" si="33"/>
        <v>5578.61</v>
      </c>
      <c r="F90" s="81">
        <f t="shared" si="31"/>
        <v>42.91</v>
      </c>
      <c r="G90" s="152">
        <f t="shared" si="32"/>
        <v>0.94916666666666671</v>
      </c>
      <c r="H90" s="152">
        <f t="shared" si="34"/>
        <v>5.0833333333333341E-2</v>
      </c>
      <c r="I90" s="81">
        <f t="shared" si="29"/>
        <v>5295.0306583333331</v>
      </c>
      <c r="J90" s="81">
        <f t="shared" si="28"/>
        <v>2.1812583333333335</v>
      </c>
      <c r="K90" s="81"/>
      <c r="L90" s="81"/>
    </row>
    <row r="91" spans="1:12" ht="47.25" hidden="1">
      <c r="A91" s="79">
        <f>A78+1</f>
        <v>55</v>
      </c>
      <c r="B91" s="79">
        <f>Formwork!A192</f>
        <v>10</v>
      </c>
      <c r="C91" s="148" t="str">
        <f>Formwork!B192</f>
        <v>Providing , Preparing and Installing form work including necessary supports and removing after completion for columns [Square/ recatangular surface].(Scrap value neglected)
(Height upto 3m)</v>
      </c>
      <c r="D91" s="79" t="str">
        <f>Formwork!C193</f>
        <v>sqm</v>
      </c>
      <c r="E91" s="577">
        <f>Formwork!H206</f>
        <v>1021.5</v>
      </c>
      <c r="F91" s="81">
        <f>ROUND(E91/exr,2)</f>
        <v>7.86</v>
      </c>
      <c r="G91" s="152">
        <f t="shared" si="20"/>
        <v>0.95750000000000002</v>
      </c>
      <c r="H91" s="152">
        <f>Formwork!H208</f>
        <v>4.2500000000000003E-2</v>
      </c>
      <c r="I91" s="81">
        <f>E91*G91</f>
        <v>978.08625000000006</v>
      </c>
      <c r="J91" s="81">
        <f t="shared" si="28"/>
        <v>0.33405000000000001</v>
      </c>
      <c r="K91" s="81"/>
      <c r="L91" s="81"/>
    </row>
    <row r="92" spans="1:12" ht="47.25" hidden="1">
      <c r="A92" s="79">
        <f>A91+1</f>
        <v>56</v>
      </c>
      <c r="B92" s="79">
        <f>Formwork!A213</f>
        <v>11</v>
      </c>
      <c r="C92" s="148" t="str">
        <f>Formwork!B213</f>
        <v>Providing , Preparing and Installing form work including necessary supports and removing after completion for columns [Square/ recatangular surface].(Scrap value neglected)
(Height more than 3m upto 6m)</v>
      </c>
      <c r="D92" s="79" t="str">
        <f>Formwork!C214</f>
        <v>sqm</v>
      </c>
      <c r="E92" s="577">
        <f>Formwork!H227</f>
        <v>1232.5</v>
      </c>
      <c r="F92" s="81">
        <f>ROUND(E92/exr,2)</f>
        <v>9.48</v>
      </c>
      <c r="G92" s="152">
        <f t="shared" si="20"/>
        <v>0.95250000000000001</v>
      </c>
      <c r="H92" s="152">
        <f>Formwork!H229</f>
        <v>4.7500000000000001E-2</v>
      </c>
      <c r="I92" s="81">
        <f>E92*G92</f>
        <v>1173.95625</v>
      </c>
      <c r="J92" s="81">
        <f t="shared" si="28"/>
        <v>0.45030000000000003</v>
      </c>
      <c r="K92" s="81"/>
      <c r="L92" s="81"/>
    </row>
    <row r="93" spans="1:12" ht="47.25" hidden="1">
      <c r="A93" s="79">
        <f>A92+1</f>
        <v>57</v>
      </c>
      <c r="B93" s="79">
        <f>Formwork!A234</f>
        <v>12</v>
      </c>
      <c r="C93" s="148" t="str">
        <f>Formwork!B234</f>
        <v>Providing , Preparing and Installing form work including necessary supports and removing after completion for columns [Square/ recatangular  surface].(Scrap value neglected)
(Height more than 6m upto 9m)</v>
      </c>
      <c r="D93" s="79" t="str">
        <f>Formwork!C235</f>
        <v>sqm</v>
      </c>
      <c r="E93" s="577">
        <f>Formwork!H248</f>
        <v>1557.5</v>
      </c>
      <c r="F93" s="81">
        <f>ROUND(E93/exr,2)</f>
        <v>11.98</v>
      </c>
      <c r="G93" s="152">
        <f t="shared" si="20"/>
        <v>0.95250000000000001</v>
      </c>
      <c r="H93" s="152">
        <f>Formwork!H250</f>
        <v>4.7500000000000001E-2</v>
      </c>
      <c r="I93" s="81">
        <f>E93*G93</f>
        <v>1483.51875</v>
      </c>
      <c r="J93" s="81">
        <f t="shared" si="28"/>
        <v>0.56905000000000006</v>
      </c>
      <c r="K93" s="81"/>
      <c r="L93" s="81"/>
    </row>
    <row r="94" spans="1:12" ht="141.75" hidden="1">
      <c r="A94" s="79">
        <f>A93+1</f>
        <v>58</v>
      </c>
      <c r="B94" s="79">
        <f>Formwork!A255</f>
        <v>13</v>
      </c>
      <c r="C94" s="148" t="str">
        <f>Formwork!B255</f>
        <v>Providing , Preparing and Installing form work including necessary supports and removing after completion for columns [Square/ recatangular  surface].(Scrap value neglected)
(Height more than 9m)</v>
      </c>
      <c r="D94" s="79" t="str">
        <f>Formwork!C256</f>
        <v>sqm</v>
      </c>
      <c r="E94" s="86" t="str">
        <f>Formwork!J265</f>
        <v xml:space="preserve">Increase the rate  by 10% for every additional meter height to the rate for the previous height </v>
      </c>
      <c r="F94" s="81"/>
      <c r="G94" s="152">
        <f t="shared" si="20"/>
        <v>1</v>
      </c>
      <c r="H94" s="152"/>
      <c r="I94" s="81"/>
      <c r="J94" s="81">
        <f t="shared" si="28"/>
        <v>0</v>
      </c>
      <c r="K94" s="81"/>
      <c r="L94" s="81"/>
    </row>
    <row r="95" spans="1:12" ht="15.75" hidden="1" customHeight="1">
      <c r="A95" s="79"/>
      <c r="B95" s="79"/>
      <c r="C95" s="173" t="s">
        <v>727</v>
      </c>
      <c r="D95" s="79" t="str">
        <f>D94</f>
        <v>sqm</v>
      </c>
      <c r="E95" s="577">
        <f>ROUND(110%*E93,2)</f>
        <v>1713.25</v>
      </c>
      <c r="F95" s="81">
        <f t="shared" ref="F95:F106" si="35">ROUND(E95/exr,2)</f>
        <v>13.18</v>
      </c>
      <c r="G95" s="152">
        <f t="shared" si="20"/>
        <v>0.95416666666666661</v>
      </c>
      <c r="H95" s="152">
        <f>AVERAGE(H91:H93)</f>
        <v>4.5833333333333337E-2</v>
      </c>
      <c r="I95" s="81">
        <f t="shared" ref="I95:I106" si="36">E95*G95</f>
        <v>1634.7260416666666</v>
      </c>
      <c r="J95" s="81">
        <f t="shared" ref="J95:J106" si="37">F95*H95</f>
        <v>0.60408333333333342</v>
      </c>
      <c r="K95" s="81"/>
      <c r="L95" s="81"/>
    </row>
    <row r="96" spans="1:12" ht="15.75" hidden="1" customHeight="1">
      <c r="A96" s="79"/>
      <c r="B96" s="79"/>
      <c r="C96" s="173" t="s">
        <v>728</v>
      </c>
      <c r="D96" s="79" t="str">
        <f t="shared" ref="D96:D106" si="38">D95</f>
        <v>sqm</v>
      </c>
      <c r="E96" s="577">
        <f>ROUND(110%*E95,2)</f>
        <v>1884.58</v>
      </c>
      <c r="F96" s="81">
        <f t="shared" si="35"/>
        <v>14.5</v>
      </c>
      <c r="G96" s="152">
        <f t="shared" si="20"/>
        <v>0.95416666666666661</v>
      </c>
      <c r="H96" s="152">
        <f>H95</f>
        <v>4.5833333333333337E-2</v>
      </c>
      <c r="I96" s="81">
        <f t="shared" si="36"/>
        <v>1798.2034166666665</v>
      </c>
      <c r="J96" s="81">
        <f t="shared" si="37"/>
        <v>0.66458333333333341</v>
      </c>
      <c r="K96" s="81"/>
      <c r="L96" s="81"/>
    </row>
    <row r="97" spans="1:12" ht="15.75" hidden="1" customHeight="1">
      <c r="A97" s="79"/>
      <c r="B97" s="79"/>
      <c r="C97" s="173" t="s">
        <v>729</v>
      </c>
      <c r="D97" s="79" t="str">
        <f t="shared" si="38"/>
        <v>sqm</v>
      </c>
      <c r="E97" s="577">
        <f t="shared" ref="E97:E106" si="39">ROUND(110%*E96,2)</f>
        <v>2073.04</v>
      </c>
      <c r="F97" s="81">
        <f t="shared" si="35"/>
        <v>15.95</v>
      </c>
      <c r="G97" s="152">
        <f t="shared" si="20"/>
        <v>0.95416666666666661</v>
      </c>
      <c r="H97" s="152">
        <f t="shared" ref="H97:H106" si="40">H96</f>
        <v>4.5833333333333337E-2</v>
      </c>
      <c r="I97" s="81">
        <f t="shared" si="36"/>
        <v>1978.0256666666664</v>
      </c>
      <c r="J97" s="81">
        <f t="shared" si="37"/>
        <v>0.7310416666666667</v>
      </c>
      <c r="K97" s="81"/>
      <c r="L97" s="81"/>
    </row>
    <row r="98" spans="1:12" ht="15.75" hidden="1" customHeight="1">
      <c r="A98" s="79"/>
      <c r="B98" s="79"/>
      <c r="C98" s="173" t="s">
        <v>730</v>
      </c>
      <c r="D98" s="79" t="str">
        <f t="shared" si="38"/>
        <v>sqm</v>
      </c>
      <c r="E98" s="577">
        <f t="shared" si="39"/>
        <v>2280.34</v>
      </c>
      <c r="F98" s="81">
        <f t="shared" si="35"/>
        <v>17.54</v>
      </c>
      <c r="G98" s="152">
        <f t="shared" si="20"/>
        <v>0.95416666666666661</v>
      </c>
      <c r="H98" s="152">
        <f t="shared" si="40"/>
        <v>4.5833333333333337E-2</v>
      </c>
      <c r="I98" s="81">
        <f t="shared" si="36"/>
        <v>2175.8244166666668</v>
      </c>
      <c r="J98" s="81">
        <f t="shared" si="37"/>
        <v>0.80391666666666672</v>
      </c>
      <c r="K98" s="81"/>
      <c r="L98" s="81"/>
    </row>
    <row r="99" spans="1:12" ht="15.75" hidden="1" customHeight="1">
      <c r="A99" s="79"/>
      <c r="B99" s="79"/>
      <c r="C99" s="173" t="s">
        <v>731</v>
      </c>
      <c r="D99" s="79" t="str">
        <f t="shared" si="38"/>
        <v>sqm</v>
      </c>
      <c r="E99" s="577">
        <f t="shared" si="39"/>
        <v>2508.37</v>
      </c>
      <c r="F99" s="81">
        <f t="shared" si="35"/>
        <v>19.3</v>
      </c>
      <c r="G99" s="152">
        <f t="shared" si="20"/>
        <v>0.95416666666666661</v>
      </c>
      <c r="H99" s="152">
        <f t="shared" si="40"/>
        <v>4.5833333333333337E-2</v>
      </c>
      <c r="I99" s="81">
        <f t="shared" si="36"/>
        <v>2393.4030416666665</v>
      </c>
      <c r="J99" s="81">
        <f t="shared" si="37"/>
        <v>0.88458333333333339</v>
      </c>
      <c r="K99" s="81"/>
      <c r="L99" s="81"/>
    </row>
    <row r="100" spans="1:12" ht="15.75" hidden="1" customHeight="1">
      <c r="A100" s="79"/>
      <c r="B100" s="79"/>
      <c r="C100" s="173" t="s">
        <v>732</v>
      </c>
      <c r="D100" s="79" t="str">
        <f t="shared" si="38"/>
        <v>sqm</v>
      </c>
      <c r="E100" s="577">
        <f t="shared" si="39"/>
        <v>2759.21</v>
      </c>
      <c r="F100" s="81">
        <f t="shared" si="35"/>
        <v>21.22</v>
      </c>
      <c r="G100" s="152">
        <f t="shared" si="20"/>
        <v>0.95416666666666661</v>
      </c>
      <c r="H100" s="152">
        <f t="shared" si="40"/>
        <v>4.5833333333333337E-2</v>
      </c>
      <c r="I100" s="81">
        <f t="shared" si="36"/>
        <v>2632.746208333333</v>
      </c>
      <c r="J100" s="81">
        <f t="shared" si="37"/>
        <v>0.97258333333333336</v>
      </c>
      <c r="K100" s="81"/>
      <c r="L100" s="81"/>
    </row>
    <row r="101" spans="1:12" ht="15.75" hidden="1" customHeight="1">
      <c r="A101" s="79"/>
      <c r="B101" s="79"/>
      <c r="C101" s="173" t="s">
        <v>733</v>
      </c>
      <c r="D101" s="79" t="str">
        <f t="shared" si="38"/>
        <v>sqm</v>
      </c>
      <c r="E101" s="577">
        <f t="shared" si="39"/>
        <v>3035.13</v>
      </c>
      <c r="F101" s="81">
        <f t="shared" si="35"/>
        <v>23.35</v>
      </c>
      <c r="G101" s="152">
        <f t="shared" si="20"/>
        <v>0.95416666666666661</v>
      </c>
      <c r="H101" s="152">
        <f t="shared" si="40"/>
        <v>4.5833333333333337E-2</v>
      </c>
      <c r="I101" s="81">
        <f t="shared" si="36"/>
        <v>2896.019875</v>
      </c>
      <c r="J101" s="81">
        <f t="shared" si="37"/>
        <v>1.0702083333333334</v>
      </c>
      <c r="K101" s="81"/>
      <c r="L101" s="81"/>
    </row>
    <row r="102" spans="1:12" ht="15.75" hidden="1" customHeight="1">
      <c r="A102" s="79"/>
      <c r="B102" s="79"/>
      <c r="C102" s="173" t="s">
        <v>734</v>
      </c>
      <c r="D102" s="79" t="str">
        <f t="shared" si="38"/>
        <v>sqm</v>
      </c>
      <c r="E102" s="577">
        <f t="shared" si="39"/>
        <v>3338.64</v>
      </c>
      <c r="F102" s="81">
        <f t="shared" si="35"/>
        <v>25.68</v>
      </c>
      <c r="G102" s="152">
        <f t="shared" si="20"/>
        <v>0.95416666666666661</v>
      </c>
      <c r="H102" s="152">
        <f t="shared" si="40"/>
        <v>4.5833333333333337E-2</v>
      </c>
      <c r="I102" s="81">
        <f t="shared" si="36"/>
        <v>3185.6189999999997</v>
      </c>
      <c r="J102" s="81">
        <f t="shared" si="37"/>
        <v>1.177</v>
      </c>
      <c r="K102" s="81"/>
      <c r="L102" s="81"/>
    </row>
    <row r="103" spans="1:12" ht="15.75" hidden="1" customHeight="1">
      <c r="A103" s="79"/>
      <c r="B103" s="79"/>
      <c r="C103" s="173" t="s">
        <v>735</v>
      </c>
      <c r="D103" s="79" t="str">
        <f t="shared" si="38"/>
        <v>sqm</v>
      </c>
      <c r="E103" s="577">
        <f t="shared" si="39"/>
        <v>3672.5</v>
      </c>
      <c r="F103" s="81">
        <f t="shared" si="35"/>
        <v>28.25</v>
      </c>
      <c r="G103" s="152">
        <f t="shared" si="20"/>
        <v>0.95416666666666661</v>
      </c>
      <c r="H103" s="152">
        <f t="shared" si="40"/>
        <v>4.5833333333333337E-2</v>
      </c>
      <c r="I103" s="81">
        <f t="shared" si="36"/>
        <v>3504.177083333333</v>
      </c>
      <c r="J103" s="81">
        <f t="shared" si="37"/>
        <v>1.2947916666666668</v>
      </c>
      <c r="K103" s="81"/>
      <c r="L103" s="81"/>
    </row>
    <row r="104" spans="1:12" ht="15.75" hidden="1" customHeight="1">
      <c r="A104" s="79"/>
      <c r="B104" s="79"/>
      <c r="C104" s="173" t="s">
        <v>736</v>
      </c>
      <c r="D104" s="79" t="str">
        <f t="shared" si="38"/>
        <v>sqm</v>
      </c>
      <c r="E104" s="577">
        <f t="shared" si="39"/>
        <v>4039.75</v>
      </c>
      <c r="F104" s="81">
        <f t="shared" si="35"/>
        <v>31.08</v>
      </c>
      <c r="G104" s="152">
        <f t="shared" si="20"/>
        <v>0.95416666666666661</v>
      </c>
      <c r="H104" s="152">
        <f t="shared" si="40"/>
        <v>4.5833333333333337E-2</v>
      </c>
      <c r="I104" s="81">
        <f t="shared" si="36"/>
        <v>3854.5947916666664</v>
      </c>
      <c r="J104" s="81">
        <f t="shared" si="37"/>
        <v>1.4245000000000001</v>
      </c>
      <c r="K104" s="81"/>
      <c r="L104" s="81"/>
    </row>
    <row r="105" spans="1:12" ht="15.75" hidden="1" customHeight="1">
      <c r="A105" s="79"/>
      <c r="B105" s="79"/>
      <c r="C105" s="173" t="s">
        <v>737</v>
      </c>
      <c r="D105" s="79" t="str">
        <f t="shared" si="38"/>
        <v>sqm</v>
      </c>
      <c r="E105" s="577">
        <f t="shared" si="39"/>
        <v>4443.7299999999996</v>
      </c>
      <c r="F105" s="81">
        <f t="shared" si="35"/>
        <v>34.18</v>
      </c>
      <c r="G105" s="152">
        <f t="shared" si="20"/>
        <v>0.95416666666666661</v>
      </c>
      <c r="H105" s="152">
        <f t="shared" si="40"/>
        <v>4.5833333333333337E-2</v>
      </c>
      <c r="I105" s="81">
        <f t="shared" si="36"/>
        <v>4240.0590416666664</v>
      </c>
      <c r="J105" s="81">
        <f t="shared" si="37"/>
        <v>1.5665833333333334</v>
      </c>
      <c r="K105" s="81"/>
      <c r="L105" s="81"/>
    </row>
    <row r="106" spans="1:12" ht="15.75" hidden="1" customHeight="1">
      <c r="A106" s="79"/>
      <c r="B106" s="79"/>
      <c r="C106" s="173" t="s">
        <v>738</v>
      </c>
      <c r="D106" s="79" t="str">
        <f t="shared" si="38"/>
        <v>sqm</v>
      </c>
      <c r="E106" s="577">
        <f t="shared" si="39"/>
        <v>4888.1000000000004</v>
      </c>
      <c r="F106" s="81">
        <f t="shared" si="35"/>
        <v>37.6</v>
      </c>
      <c r="G106" s="152">
        <f t="shared" si="20"/>
        <v>0.95416666666666661</v>
      </c>
      <c r="H106" s="152">
        <f t="shared" si="40"/>
        <v>4.5833333333333337E-2</v>
      </c>
      <c r="I106" s="81">
        <f t="shared" si="36"/>
        <v>4664.0620833333332</v>
      </c>
      <c r="J106" s="81">
        <f t="shared" si="37"/>
        <v>1.7233333333333336</v>
      </c>
      <c r="K106" s="81"/>
      <c r="L106" s="81"/>
    </row>
    <row r="107" spans="1:12" ht="47.25" hidden="1">
      <c r="A107" s="79">
        <f>A94+1</f>
        <v>59</v>
      </c>
      <c r="B107" s="79">
        <f>Formwork!A276</f>
        <v>14</v>
      </c>
      <c r="C107" s="148" t="str">
        <f>Formwork!B276</f>
        <v>Providing , Preparing and Installing form work including necessary supports and removing after completion for columns [Circular surface].(Scrap value neglected)
(Height upto 3m)</v>
      </c>
      <c r="D107" s="79" t="str">
        <f>Formwork!C277</f>
        <v>sqm</v>
      </c>
      <c r="E107" s="577">
        <f>Formwork!H290</f>
        <v>1399</v>
      </c>
      <c r="F107" s="81">
        <f>ROUND(E107/exr,2)</f>
        <v>10.76</v>
      </c>
      <c r="G107" s="152">
        <f t="shared" si="20"/>
        <v>0.94750000000000001</v>
      </c>
      <c r="H107" s="152">
        <f>Formwork!H292</f>
        <v>5.2499999999999998E-2</v>
      </c>
      <c r="I107" s="81">
        <f>E107*G107</f>
        <v>1325.5525</v>
      </c>
      <c r="J107" s="81">
        <f t="shared" si="28"/>
        <v>0.56489999999999996</v>
      </c>
      <c r="K107" s="81"/>
      <c r="L107" s="81"/>
    </row>
    <row r="108" spans="1:12" ht="47.25" hidden="1">
      <c r="A108" s="79">
        <f>A107+1</f>
        <v>60</v>
      </c>
      <c r="B108" s="79">
        <f>Formwork!A297</f>
        <v>15</v>
      </c>
      <c r="C108" s="148" t="str">
        <f>Formwork!B297</f>
        <v>Providing , Preparing and Installing form work including necessary supports and removing after completion for columns [Circular surface].(Scrap value neglected)
(Height more than 3m upto 6m)</v>
      </c>
      <c r="D108" s="79" t="str">
        <f>Formwork!C298</f>
        <v>sqm</v>
      </c>
      <c r="E108" s="577">
        <f>Formwork!H311</f>
        <v>1738</v>
      </c>
      <c r="F108" s="81">
        <f>ROUND(E108/exr,2)</f>
        <v>13.37</v>
      </c>
      <c r="G108" s="152">
        <f t="shared" si="20"/>
        <v>0.94499999999999995</v>
      </c>
      <c r="H108" s="152">
        <f>Formwork!H313</f>
        <v>5.5E-2</v>
      </c>
      <c r="I108" s="81">
        <f>E108*G108</f>
        <v>1642.4099999999999</v>
      </c>
      <c r="J108" s="81">
        <f t="shared" si="28"/>
        <v>0.73534999999999995</v>
      </c>
      <c r="K108" s="81"/>
      <c r="L108" s="81"/>
    </row>
    <row r="109" spans="1:12" ht="47.25" hidden="1">
      <c r="A109" s="79">
        <f>A108+1</f>
        <v>61</v>
      </c>
      <c r="B109" s="79">
        <f>Formwork!A318</f>
        <v>16</v>
      </c>
      <c r="C109" s="148" t="str">
        <f>Formwork!B318</f>
        <v>Providing , Preparing and Installing form work including necessary supports and removing after completion for columns [Circular surface].(Scrap value neglected)
(Height more than 6m upto 9m)</v>
      </c>
      <c r="D109" s="79" t="str">
        <f>Formwork!C319</f>
        <v>sqm</v>
      </c>
      <c r="E109" s="86">
        <f>Formwork!H332</f>
        <v>2175</v>
      </c>
      <c r="F109" s="81">
        <f>ROUND(E109/exr,2)</f>
        <v>16.73</v>
      </c>
      <c r="G109" s="152">
        <f t="shared" si="20"/>
        <v>0.94499999999999995</v>
      </c>
      <c r="H109" s="152">
        <f>Formwork!H334</f>
        <v>5.5E-2</v>
      </c>
      <c r="I109" s="81">
        <f>E109*G109</f>
        <v>2055.375</v>
      </c>
      <c r="J109" s="81">
        <f t="shared" si="28"/>
        <v>0.92015000000000002</v>
      </c>
      <c r="K109" s="81"/>
      <c r="L109" s="81"/>
    </row>
    <row r="110" spans="1:12" ht="141.75" hidden="1">
      <c r="A110" s="79">
        <f>A109+1</f>
        <v>62</v>
      </c>
      <c r="B110" s="79">
        <f>Formwork!A339</f>
        <v>17</v>
      </c>
      <c r="C110" s="148" t="str">
        <f>Formwork!B339</f>
        <v>Providing , Preparing and Installing form work including necessary supports and removing after completion for columns [Circular surface].(Scrap value neglected)
(Height more than 9m)</v>
      </c>
      <c r="D110" s="79" t="str">
        <f>Formwork!C340</f>
        <v>sqm</v>
      </c>
      <c r="E110" s="86" t="str">
        <f>Formwork!J349</f>
        <v xml:space="preserve">Increase the rate  by 10% for every additional meter height to the rate for the previous height </v>
      </c>
      <c r="F110" s="81"/>
      <c r="G110" s="152">
        <f t="shared" si="20"/>
        <v>1</v>
      </c>
      <c r="H110" s="152"/>
      <c r="I110" s="81"/>
      <c r="J110" s="81">
        <f t="shared" si="28"/>
        <v>0</v>
      </c>
      <c r="K110" s="81"/>
      <c r="L110" s="81"/>
    </row>
    <row r="111" spans="1:12" ht="15.75" hidden="1" customHeight="1">
      <c r="A111" s="79"/>
      <c r="B111" s="79"/>
      <c r="C111" s="173" t="s">
        <v>727</v>
      </c>
      <c r="D111" s="79" t="str">
        <f>D110</f>
        <v>sqm</v>
      </c>
      <c r="E111" s="577">
        <f>ROUND(110%*E109,2)</f>
        <v>2392.5</v>
      </c>
      <c r="F111" s="81">
        <f t="shared" ref="F111:F122" si="41">ROUND(E111/exr,2)</f>
        <v>18.399999999999999</v>
      </c>
      <c r="G111" s="152">
        <f t="shared" ref="G111:G122" si="42">1-H111</f>
        <v>0.9458333333333333</v>
      </c>
      <c r="H111" s="152">
        <f>AVERAGE(H107:H109)</f>
        <v>5.4166666666666669E-2</v>
      </c>
      <c r="I111" s="81">
        <f t="shared" ref="I111:I122" si="43">E111*G111</f>
        <v>2262.90625</v>
      </c>
      <c r="J111" s="81">
        <f t="shared" si="28"/>
        <v>0.99666666666666659</v>
      </c>
      <c r="K111" s="81"/>
      <c r="L111" s="81"/>
    </row>
    <row r="112" spans="1:12" ht="15.75" hidden="1" customHeight="1">
      <c r="A112" s="79"/>
      <c r="B112" s="79"/>
      <c r="C112" s="173" t="s">
        <v>728</v>
      </c>
      <c r="D112" s="79" t="str">
        <f t="shared" ref="D112:D122" si="44">D111</f>
        <v>sqm</v>
      </c>
      <c r="E112" s="577">
        <f>ROUND(110%*E111,2)</f>
        <v>2631.75</v>
      </c>
      <c r="F112" s="81">
        <f t="shared" si="41"/>
        <v>20.239999999999998</v>
      </c>
      <c r="G112" s="152">
        <f t="shared" si="42"/>
        <v>0.9458333333333333</v>
      </c>
      <c r="H112" s="152">
        <f>H111</f>
        <v>5.4166666666666669E-2</v>
      </c>
      <c r="I112" s="81">
        <f t="shared" si="43"/>
        <v>2489.1968750000001</v>
      </c>
      <c r="J112" s="81">
        <f t="shared" si="28"/>
        <v>1.0963333333333334</v>
      </c>
      <c r="K112" s="81"/>
      <c r="L112" s="81"/>
    </row>
    <row r="113" spans="1:12" ht="15.75" hidden="1" customHeight="1">
      <c r="A113" s="79"/>
      <c r="B113" s="79"/>
      <c r="C113" s="173" t="s">
        <v>729</v>
      </c>
      <c r="D113" s="79" t="str">
        <f t="shared" si="44"/>
        <v>sqm</v>
      </c>
      <c r="E113" s="577">
        <f t="shared" ref="E113:E122" si="45">ROUND(110%*E112,2)</f>
        <v>2894.93</v>
      </c>
      <c r="F113" s="81">
        <f t="shared" si="41"/>
        <v>22.27</v>
      </c>
      <c r="G113" s="152">
        <f t="shared" si="42"/>
        <v>0.9458333333333333</v>
      </c>
      <c r="H113" s="152">
        <f t="shared" ref="H113:H122" si="46">H112</f>
        <v>5.4166666666666669E-2</v>
      </c>
      <c r="I113" s="81">
        <f t="shared" si="43"/>
        <v>2738.1212916666664</v>
      </c>
      <c r="J113" s="81">
        <f t="shared" si="28"/>
        <v>1.2062916666666668</v>
      </c>
      <c r="K113" s="81"/>
      <c r="L113" s="81"/>
    </row>
    <row r="114" spans="1:12" ht="15.75" hidden="1" customHeight="1">
      <c r="A114" s="79"/>
      <c r="B114" s="79"/>
      <c r="C114" s="173" t="s">
        <v>730</v>
      </c>
      <c r="D114" s="79" t="str">
        <f t="shared" si="44"/>
        <v>sqm</v>
      </c>
      <c r="E114" s="577">
        <f t="shared" si="45"/>
        <v>3184.42</v>
      </c>
      <c r="F114" s="81">
        <f t="shared" si="41"/>
        <v>24.5</v>
      </c>
      <c r="G114" s="152">
        <f t="shared" si="42"/>
        <v>0.9458333333333333</v>
      </c>
      <c r="H114" s="152">
        <f t="shared" si="46"/>
        <v>5.4166666666666669E-2</v>
      </c>
      <c r="I114" s="81">
        <f t="shared" si="43"/>
        <v>3011.9305833333333</v>
      </c>
      <c r="J114" s="81">
        <f t="shared" si="28"/>
        <v>1.3270833333333334</v>
      </c>
      <c r="K114" s="81"/>
      <c r="L114" s="81"/>
    </row>
    <row r="115" spans="1:12" ht="15.75" hidden="1" customHeight="1">
      <c r="A115" s="79"/>
      <c r="B115" s="79"/>
      <c r="C115" s="173" t="s">
        <v>731</v>
      </c>
      <c r="D115" s="79" t="str">
        <f t="shared" si="44"/>
        <v>sqm</v>
      </c>
      <c r="E115" s="577">
        <f t="shared" si="45"/>
        <v>3502.86</v>
      </c>
      <c r="F115" s="81">
        <f t="shared" si="41"/>
        <v>26.95</v>
      </c>
      <c r="G115" s="152">
        <f t="shared" si="42"/>
        <v>0.9458333333333333</v>
      </c>
      <c r="H115" s="152">
        <f t="shared" si="46"/>
        <v>5.4166666666666669E-2</v>
      </c>
      <c r="I115" s="81">
        <f t="shared" si="43"/>
        <v>3313.1217499999998</v>
      </c>
      <c r="J115" s="81">
        <f t="shared" si="28"/>
        <v>1.4597916666666666</v>
      </c>
      <c r="K115" s="81"/>
      <c r="L115" s="81"/>
    </row>
    <row r="116" spans="1:12" ht="15.75" hidden="1" customHeight="1">
      <c r="A116" s="79"/>
      <c r="B116" s="79"/>
      <c r="C116" s="173" t="s">
        <v>732</v>
      </c>
      <c r="D116" s="79" t="str">
        <f t="shared" si="44"/>
        <v>sqm</v>
      </c>
      <c r="E116" s="577">
        <f t="shared" si="45"/>
        <v>3853.15</v>
      </c>
      <c r="F116" s="81">
        <f t="shared" si="41"/>
        <v>29.64</v>
      </c>
      <c r="G116" s="152">
        <f t="shared" si="42"/>
        <v>0.9458333333333333</v>
      </c>
      <c r="H116" s="152">
        <f t="shared" si="46"/>
        <v>5.4166666666666669E-2</v>
      </c>
      <c r="I116" s="81">
        <f t="shared" si="43"/>
        <v>3644.4377083333334</v>
      </c>
      <c r="J116" s="81">
        <f t="shared" si="28"/>
        <v>1.6055000000000001</v>
      </c>
      <c r="K116" s="81"/>
      <c r="L116" s="81"/>
    </row>
    <row r="117" spans="1:12" ht="15.75" hidden="1" customHeight="1">
      <c r="A117" s="79"/>
      <c r="B117" s="79"/>
      <c r="C117" s="173" t="s">
        <v>733</v>
      </c>
      <c r="D117" s="79" t="str">
        <f t="shared" si="44"/>
        <v>sqm</v>
      </c>
      <c r="E117" s="577">
        <f t="shared" si="45"/>
        <v>4238.47</v>
      </c>
      <c r="F117" s="81">
        <f t="shared" si="41"/>
        <v>32.6</v>
      </c>
      <c r="G117" s="152">
        <f t="shared" si="42"/>
        <v>0.9458333333333333</v>
      </c>
      <c r="H117" s="152">
        <f t="shared" si="46"/>
        <v>5.4166666666666669E-2</v>
      </c>
      <c r="I117" s="81">
        <f t="shared" si="43"/>
        <v>4008.8862083333333</v>
      </c>
      <c r="J117" s="81">
        <f t="shared" si="28"/>
        <v>1.7658333333333334</v>
      </c>
      <c r="K117" s="81"/>
      <c r="L117" s="81"/>
    </row>
    <row r="118" spans="1:12" ht="15.75" hidden="1" customHeight="1">
      <c r="A118" s="79"/>
      <c r="B118" s="79"/>
      <c r="C118" s="173" t="s">
        <v>734</v>
      </c>
      <c r="D118" s="79" t="str">
        <f t="shared" si="44"/>
        <v>sqm</v>
      </c>
      <c r="E118" s="577">
        <f t="shared" si="45"/>
        <v>4662.32</v>
      </c>
      <c r="F118" s="81">
        <f t="shared" si="41"/>
        <v>35.86</v>
      </c>
      <c r="G118" s="152">
        <f t="shared" si="42"/>
        <v>0.9458333333333333</v>
      </c>
      <c r="H118" s="152">
        <f t="shared" si="46"/>
        <v>5.4166666666666669E-2</v>
      </c>
      <c r="I118" s="81">
        <f t="shared" si="43"/>
        <v>4409.7776666666659</v>
      </c>
      <c r="J118" s="81">
        <f t="shared" si="28"/>
        <v>1.9424166666666667</v>
      </c>
      <c r="K118" s="81"/>
      <c r="L118" s="81"/>
    </row>
    <row r="119" spans="1:12" ht="15.75" hidden="1" customHeight="1">
      <c r="A119" s="79"/>
      <c r="B119" s="79"/>
      <c r="C119" s="173" t="s">
        <v>735</v>
      </c>
      <c r="D119" s="79" t="str">
        <f t="shared" si="44"/>
        <v>sqm</v>
      </c>
      <c r="E119" s="577">
        <f t="shared" si="45"/>
        <v>5128.55</v>
      </c>
      <c r="F119" s="81">
        <f t="shared" si="41"/>
        <v>39.450000000000003</v>
      </c>
      <c r="G119" s="152">
        <f t="shared" si="42"/>
        <v>0.9458333333333333</v>
      </c>
      <c r="H119" s="152">
        <f t="shared" si="46"/>
        <v>5.4166666666666669E-2</v>
      </c>
      <c r="I119" s="81">
        <f t="shared" si="43"/>
        <v>4850.7535416666669</v>
      </c>
      <c r="J119" s="81">
        <f t="shared" si="28"/>
        <v>2.1368750000000003</v>
      </c>
      <c r="K119" s="81"/>
      <c r="L119" s="81"/>
    </row>
    <row r="120" spans="1:12" ht="15.75" hidden="1" customHeight="1">
      <c r="A120" s="79"/>
      <c r="B120" s="79"/>
      <c r="C120" s="173" t="s">
        <v>736</v>
      </c>
      <c r="D120" s="79" t="str">
        <f t="shared" si="44"/>
        <v>sqm</v>
      </c>
      <c r="E120" s="577">
        <f t="shared" si="45"/>
        <v>5641.41</v>
      </c>
      <c r="F120" s="81">
        <f t="shared" si="41"/>
        <v>43.4</v>
      </c>
      <c r="G120" s="152">
        <f t="shared" si="42"/>
        <v>0.9458333333333333</v>
      </c>
      <c r="H120" s="152">
        <f t="shared" si="46"/>
        <v>5.4166666666666669E-2</v>
      </c>
      <c r="I120" s="81">
        <f t="shared" si="43"/>
        <v>5335.8336249999993</v>
      </c>
      <c r="J120" s="81">
        <f t="shared" si="28"/>
        <v>2.3508333333333336</v>
      </c>
      <c r="K120" s="81"/>
      <c r="L120" s="81"/>
    </row>
    <row r="121" spans="1:12" ht="15.75" hidden="1" customHeight="1">
      <c r="A121" s="79"/>
      <c r="B121" s="79"/>
      <c r="C121" s="173" t="s">
        <v>737</v>
      </c>
      <c r="D121" s="79" t="str">
        <f t="shared" si="44"/>
        <v>sqm</v>
      </c>
      <c r="E121" s="577">
        <f t="shared" si="45"/>
        <v>6205.55</v>
      </c>
      <c r="F121" s="81">
        <f t="shared" si="41"/>
        <v>47.74</v>
      </c>
      <c r="G121" s="152">
        <f t="shared" si="42"/>
        <v>0.9458333333333333</v>
      </c>
      <c r="H121" s="152">
        <f t="shared" si="46"/>
        <v>5.4166666666666669E-2</v>
      </c>
      <c r="I121" s="81">
        <f t="shared" si="43"/>
        <v>5869.4160416666664</v>
      </c>
      <c r="J121" s="81">
        <f t="shared" si="28"/>
        <v>2.5859166666666669</v>
      </c>
      <c r="K121" s="81"/>
      <c r="L121" s="81"/>
    </row>
    <row r="122" spans="1:12" ht="15.75" hidden="1" customHeight="1">
      <c r="A122" s="79"/>
      <c r="B122" s="79"/>
      <c r="C122" s="173" t="s">
        <v>738</v>
      </c>
      <c r="D122" s="79" t="str">
        <f t="shared" si="44"/>
        <v>sqm</v>
      </c>
      <c r="E122" s="577">
        <f t="shared" si="45"/>
        <v>6826.11</v>
      </c>
      <c r="F122" s="81">
        <f t="shared" si="41"/>
        <v>52.51</v>
      </c>
      <c r="G122" s="152">
        <f t="shared" si="42"/>
        <v>0.9458333333333333</v>
      </c>
      <c r="H122" s="152">
        <f t="shared" si="46"/>
        <v>5.4166666666666669E-2</v>
      </c>
      <c r="I122" s="81">
        <f t="shared" si="43"/>
        <v>6456.3623749999997</v>
      </c>
      <c r="J122" s="81">
        <f t="shared" si="28"/>
        <v>2.8442916666666664</v>
      </c>
      <c r="K122" s="81"/>
      <c r="L122" s="81"/>
    </row>
    <row r="123" spans="1:12" ht="31.5" hidden="1">
      <c r="A123" s="79">
        <f>A110+1</f>
        <v>63</v>
      </c>
      <c r="B123" s="79">
        <f>Formwork!A360</f>
        <v>18</v>
      </c>
      <c r="C123" s="80" t="str">
        <f>Formwork!B360</f>
        <v>Providing , Preparing and Installing form work &amp; removing after completion for Slab &amp; beam structure (Scrap value neglected)</v>
      </c>
      <c r="D123" s="79" t="str">
        <f>Formwork!C361</f>
        <v>sqm</v>
      </c>
      <c r="E123" s="572">
        <f>Formwork!H374</f>
        <v>1331</v>
      </c>
      <c r="F123" s="81">
        <f>ROUND(E123/exr,2)</f>
        <v>10.24</v>
      </c>
      <c r="G123" s="152">
        <f t="shared" si="20"/>
        <v>0.95499999999999996</v>
      </c>
      <c r="H123" s="152">
        <f>Formwork!H376</f>
        <v>4.4999999999999998E-2</v>
      </c>
      <c r="I123" s="81">
        <f>E123*G123</f>
        <v>1271.105</v>
      </c>
      <c r="J123" s="81">
        <f>F123*H123</f>
        <v>0.46079999999999999</v>
      </c>
      <c r="K123" s="81"/>
      <c r="L123" s="81"/>
    </row>
    <row r="124" spans="1:12" ht="31.5" hidden="1">
      <c r="A124" s="79">
        <f>A123+1</f>
        <v>64</v>
      </c>
      <c r="B124" s="79">
        <f>Formwork!A381</f>
        <v>19</v>
      </c>
      <c r="C124" s="80" t="str">
        <f>Formwork!B381</f>
        <v>Providing , Preparing and Installing form work &amp; removing after completion for archstructure (Scrap value neglected)</v>
      </c>
      <c r="D124" s="79" t="str">
        <f>Formwork!C382</f>
        <v>sqm</v>
      </c>
      <c r="E124" s="572">
        <f>Formwork!H395</f>
        <v>1251</v>
      </c>
      <c r="F124" s="81">
        <f>ROUND(E124/exr,2)</f>
        <v>9.6199999999999992</v>
      </c>
      <c r="G124" s="152">
        <f t="shared" si="20"/>
        <v>0.95250000000000001</v>
      </c>
      <c r="H124" s="152">
        <f>Formwork!H397</f>
        <v>4.7500000000000001E-2</v>
      </c>
      <c r="I124" s="81">
        <f>E124*G124</f>
        <v>1191.5775000000001</v>
      </c>
      <c r="J124" s="81">
        <f>F124*H124</f>
        <v>0.45694999999999997</v>
      </c>
      <c r="K124" s="81"/>
      <c r="L124" s="81"/>
    </row>
    <row r="125" spans="1:12" hidden="1">
      <c r="A125" s="85"/>
      <c r="B125" s="85"/>
      <c r="C125" s="85"/>
      <c r="D125" s="85"/>
      <c r="E125" s="85"/>
      <c r="F125" s="85"/>
      <c r="G125" s="152"/>
      <c r="H125" s="152"/>
      <c r="I125" s="85"/>
      <c r="J125" s="85"/>
      <c r="K125" s="85"/>
      <c r="L125" s="85"/>
    </row>
    <row r="126" spans="1:12">
      <c r="A126" s="82" t="s">
        <v>272</v>
      </c>
      <c r="B126" s="82"/>
      <c r="C126" s="83" t="s">
        <v>273</v>
      </c>
      <c r="D126" s="83"/>
      <c r="E126" s="83"/>
      <c r="F126" s="83"/>
      <c r="G126" s="83"/>
      <c r="H126" s="83"/>
      <c r="I126" s="83"/>
      <c r="J126" s="83"/>
      <c r="K126" s="583">
        <v>1</v>
      </c>
      <c r="L126" s="83"/>
    </row>
    <row r="127" spans="1:12" ht="47.25">
      <c r="A127" s="79">
        <f>A124+1</f>
        <v>65</v>
      </c>
      <c r="B127" s="79">
        <v>1</v>
      </c>
      <c r="C127" s="243" t="str">
        <f>Concrete!B4</f>
        <v>Providing and placing machine mixed cement concrete C10 for the foundation and footing etc. including compaction, curing, testing and  lead  30m. etc. all complete as per specification and drawing.</v>
      </c>
      <c r="D127" s="219" t="str">
        <f>Concrete!C4</f>
        <v>cum</v>
      </c>
      <c r="E127" s="220">
        <f>Concrete!H20</f>
        <v>14140.5</v>
      </c>
      <c r="F127" s="220">
        <f t="shared" ref="F127:F143" si="47">ROUND(E127/exr,2)</f>
        <v>108.77</v>
      </c>
      <c r="G127" s="221">
        <f t="shared" ref="G127:G143" si="48">1-H127</f>
        <v>0.94</v>
      </c>
      <c r="H127" s="221">
        <f>Concrete!H22</f>
        <v>0.06</v>
      </c>
      <c r="I127" s="220">
        <f t="shared" ref="I127:I141" si="49">E127*G127</f>
        <v>13292.07</v>
      </c>
      <c r="J127" s="220">
        <f t="shared" ref="J127:J141" si="50">F127*H127</f>
        <v>6.5261999999999993</v>
      </c>
      <c r="K127" s="220"/>
      <c r="L127" s="220"/>
    </row>
    <row r="128" spans="1:12" ht="47.25">
      <c r="A128" s="79">
        <f>A127+1</f>
        <v>66</v>
      </c>
      <c r="B128" s="79">
        <v>2</v>
      </c>
      <c r="C128" s="218" t="str">
        <f>Concrete!B27</f>
        <v>Providing and placing machine mixed cement concrete C15 for the foundation and footing etc. including compaction, curing, testing and  lead  30m. etc. all complete as per specification and drawing.</v>
      </c>
      <c r="D128" s="219" t="str">
        <f>Concrete!C27</f>
        <v>cum</v>
      </c>
      <c r="E128" s="220">
        <f>Concrete!H43</f>
        <v>13187.5</v>
      </c>
      <c r="F128" s="220">
        <f t="shared" si="47"/>
        <v>101.44</v>
      </c>
      <c r="G128" s="221">
        <f t="shared" si="48"/>
        <v>0.9375</v>
      </c>
      <c r="H128" s="221">
        <f>Concrete!H45</f>
        <v>6.25E-2</v>
      </c>
      <c r="I128" s="220">
        <f t="shared" si="49"/>
        <v>12363.28125</v>
      </c>
      <c r="J128" s="220">
        <f t="shared" si="50"/>
        <v>6.34</v>
      </c>
      <c r="K128" s="220">
        <f>E128</f>
        <v>13187.5</v>
      </c>
      <c r="L128" s="220"/>
    </row>
    <row r="129" spans="1:12" ht="31.5" hidden="1" customHeight="1">
      <c r="A129" s="79">
        <f t="shared" ref="A129:A134" si="51">A128+1</f>
        <v>67</v>
      </c>
      <c r="B129" s="79">
        <v>3</v>
      </c>
      <c r="C129" s="80" t="str">
        <f>Concrete!B50</f>
        <v>Providing and placing manually mixed cement concrete C15 for the foundation and footing etc. including compaction, curing, testing and  lead  30m. etc. all complete as per specification and drawing.</v>
      </c>
      <c r="D129" s="79" t="str">
        <f>Concrete!C50</f>
        <v>cum</v>
      </c>
      <c r="E129" s="81">
        <f>Concrete!H66</f>
        <v>16255.5</v>
      </c>
      <c r="F129" s="81">
        <f t="shared" si="47"/>
        <v>125.04</v>
      </c>
      <c r="G129" s="152">
        <f t="shared" si="48"/>
        <v>0.99750000000000005</v>
      </c>
      <c r="H129" s="152">
        <f>Concrete!H68</f>
        <v>2.5000000000000001E-3</v>
      </c>
      <c r="I129" s="81">
        <f t="shared" si="49"/>
        <v>16214.861250000002</v>
      </c>
      <c r="J129" s="81">
        <f t="shared" si="50"/>
        <v>0.31260000000000004</v>
      </c>
      <c r="K129" s="81"/>
      <c r="L129" s="81"/>
    </row>
    <row r="130" spans="1:12" ht="31.5" customHeight="1">
      <c r="A130" s="79">
        <f t="shared" si="51"/>
        <v>68</v>
      </c>
      <c r="B130" s="79">
        <v>4</v>
      </c>
      <c r="C130" s="218" t="str">
        <f>Concrete!B73</f>
        <v>Providing and placing machine mixed cement concrete C20 for the foundation and footing etc. including compaction, curing, testing and  lead  30m. etc. all complete as per specification and drawing.</v>
      </c>
      <c r="D130" s="79" t="str">
        <f>Concrete!C73</f>
        <v>cum</v>
      </c>
      <c r="E130" s="81">
        <f>Concrete!H89</f>
        <v>13726</v>
      </c>
      <c r="F130" s="81">
        <f t="shared" si="47"/>
        <v>105.58</v>
      </c>
      <c r="G130" s="152">
        <f t="shared" si="48"/>
        <v>0.94</v>
      </c>
      <c r="H130" s="152">
        <f>Concrete!H91</f>
        <v>0.06</v>
      </c>
      <c r="I130" s="81">
        <f t="shared" ref="I130:J133" si="52">E130*G130</f>
        <v>12902.439999999999</v>
      </c>
      <c r="J130" s="81">
        <f t="shared" si="52"/>
        <v>6.3347999999999995</v>
      </c>
      <c r="K130" s="81">
        <f>AVERAGE(E130,E132)</f>
        <v>15391.75</v>
      </c>
      <c r="L130" s="81"/>
    </row>
    <row r="131" spans="1:12" ht="31.5" hidden="1" customHeight="1">
      <c r="A131" s="79">
        <f t="shared" si="51"/>
        <v>69</v>
      </c>
      <c r="B131" s="79">
        <v>5</v>
      </c>
      <c r="C131" s="80" t="str">
        <f>Concrete!B96</f>
        <v>Providing and placing manually mixed cement concrete C20 for the foundation and footing etc. including compaction, curing, testing and  lead  30m. etc. all complete as per specification and drawing.</v>
      </c>
      <c r="D131" s="79" t="str">
        <f>Concrete!C96</f>
        <v>cum</v>
      </c>
      <c r="E131" s="81">
        <f>Concrete!H112</f>
        <v>18651</v>
      </c>
      <c r="F131" s="81">
        <f t="shared" si="47"/>
        <v>143.47</v>
      </c>
      <c r="G131" s="152">
        <f t="shared" si="48"/>
        <v>0.99750000000000005</v>
      </c>
      <c r="H131" s="152">
        <f>Concrete!H114</f>
        <v>2.5000000000000001E-3</v>
      </c>
      <c r="I131" s="81">
        <f t="shared" si="52"/>
        <v>18604.372500000001</v>
      </c>
      <c r="J131" s="81">
        <f t="shared" si="52"/>
        <v>0.35867500000000002</v>
      </c>
      <c r="K131" s="81"/>
      <c r="L131" s="81"/>
    </row>
    <row r="132" spans="1:12" ht="31.5" hidden="1" customHeight="1">
      <c r="A132" s="79">
        <f t="shared" si="51"/>
        <v>70</v>
      </c>
      <c r="B132" s="79">
        <v>6</v>
      </c>
      <c r="C132" s="243" t="str">
        <f>Concrete!B119</f>
        <v>Providing and placing machine mixed cement concrete C20 for the super structure, deckslab, girder etc.  including compaction, curing,  testing and lead 30m. etc. all complete as per specification and drawing.</v>
      </c>
      <c r="D132" s="79" t="str">
        <f>Concrete!C119</f>
        <v>cum</v>
      </c>
      <c r="E132" s="81">
        <f>Concrete!H135</f>
        <v>17057.5</v>
      </c>
      <c r="F132" s="81">
        <f t="shared" si="47"/>
        <v>131.21</v>
      </c>
      <c r="G132" s="152">
        <f t="shared" si="48"/>
        <v>0.95</v>
      </c>
      <c r="H132" s="152">
        <f>Concrete!H137</f>
        <v>0.05</v>
      </c>
      <c r="I132" s="81">
        <f t="shared" si="52"/>
        <v>16204.625</v>
      </c>
      <c r="J132" s="81">
        <f t="shared" si="52"/>
        <v>6.5605000000000011</v>
      </c>
      <c r="K132" s="81"/>
      <c r="L132" s="81"/>
    </row>
    <row r="133" spans="1:12" ht="31.5" hidden="1" customHeight="1">
      <c r="A133" s="79">
        <f t="shared" si="51"/>
        <v>71</v>
      </c>
      <c r="B133" s="79">
        <v>7</v>
      </c>
      <c r="C133" s="80" t="str">
        <f>Concrete!B142</f>
        <v>Providing and placing manual mixed cement concrete C20 for the super structure, deckslab, girder etc.  including compaction, curing,  testing and lead 30m. etc. all complete as per specification and drawing.</v>
      </c>
      <c r="D133" s="79" t="str">
        <f>Concrete!C142</f>
        <v>cum</v>
      </c>
      <c r="E133" s="81">
        <f>Concrete!H158</f>
        <v>21330.5</v>
      </c>
      <c r="F133" s="81">
        <f t="shared" si="47"/>
        <v>164.08</v>
      </c>
      <c r="G133" s="152">
        <f t="shared" si="48"/>
        <v>0.99750000000000005</v>
      </c>
      <c r="H133" s="152">
        <f>Concrete!H160</f>
        <v>2.5000000000000001E-3</v>
      </c>
      <c r="I133" s="81">
        <f t="shared" si="52"/>
        <v>21277.173750000002</v>
      </c>
      <c r="J133" s="81">
        <f t="shared" si="52"/>
        <v>0.41020000000000006</v>
      </c>
      <c r="K133" s="81"/>
      <c r="L133" s="81"/>
    </row>
    <row r="134" spans="1:12" ht="31.5" customHeight="1">
      <c r="A134" s="79">
        <f t="shared" si="51"/>
        <v>72</v>
      </c>
      <c r="B134" s="79">
        <v>8</v>
      </c>
      <c r="C134" s="218" t="str">
        <f>Concrete!B165</f>
        <v>Providing and placing machine mixed cement concrete C25 for the foundation and footing etc. including compaction, curing, testing and  lead  30m. etc. all complete as per specification and drawing.</v>
      </c>
      <c r="D134" s="219" t="str">
        <f>Concrete!C165</f>
        <v>cum</v>
      </c>
      <c r="E134" s="220">
        <f>Concrete!H181</f>
        <v>16604.5</v>
      </c>
      <c r="F134" s="220">
        <f t="shared" si="47"/>
        <v>127.73</v>
      </c>
      <c r="G134" s="221">
        <f t="shared" si="48"/>
        <v>0.95</v>
      </c>
      <c r="H134" s="221">
        <f>Concrete!H183</f>
        <v>0.05</v>
      </c>
      <c r="I134" s="220">
        <f t="shared" si="49"/>
        <v>15774.275</v>
      </c>
      <c r="J134" s="220">
        <f t="shared" si="50"/>
        <v>6.3865000000000007</v>
      </c>
      <c r="K134" s="220">
        <f>AVERAGE(E134,E136)</f>
        <v>18375.5</v>
      </c>
      <c r="L134" s="220"/>
    </row>
    <row r="135" spans="1:12" ht="31.5" hidden="1" customHeight="1">
      <c r="A135" s="79">
        <f t="shared" ref="A135:A144" si="53">A134+1</f>
        <v>73</v>
      </c>
      <c r="B135" s="79">
        <v>9</v>
      </c>
      <c r="C135" s="80" t="str">
        <f>Concrete!B188</f>
        <v>Providing and placing manually mixed cement concrete C25 for the foundation and footing etc. including compaction, curing, testing and  lead  30m. etc. all complete as per specification and drawing.</v>
      </c>
      <c r="D135" s="79" t="str">
        <f>Concrete!C188</f>
        <v>cum</v>
      </c>
      <c r="E135" s="81">
        <f>Concrete!H204</f>
        <v>20034</v>
      </c>
      <c r="F135" s="81">
        <f t="shared" si="47"/>
        <v>154.11000000000001</v>
      </c>
      <c r="G135" s="152">
        <f t="shared" si="48"/>
        <v>0.99750000000000005</v>
      </c>
      <c r="H135" s="152">
        <f>Concrete!H206</f>
        <v>2.5000000000000001E-3</v>
      </c>
      <c r="I135" s="81">
        <f t="shared" si="49"/>
        <v>19983.915000000001</v>
      </c>
      <c r="J135" s="81">
        <f t="shared" si="50"/>
        <v>0.38527500000000003</v>
      </c>
      <c r="K135" s="81"/>
      <c r="L135" s="81"/>
    </row>
    <row r="136" spans="1:12" ht="31.5" hidden="1" customHeight="1">
      <c r="A136" s="79">
        <f t="shared" si="53"/>
        <v>74</v>
      </c>
      <c r="B136" s="79">
        <v>10</v>
      </c>
      <c r="C136" s="243" t="str">
        <f>Concrete!B211</f>
        <v>Providing and placing machine mixed cement concrete C25 for the abutement, pier, wall etc. including compaction, curing, testing and  lead  30m. etc. all complete as per specification and drawing.</v>
      </c>
      <c r="D136" s="219" t="str">
        <f>Concrete!C211</f>
        <v>cum</v>
      </c>
      <c r="E136" s="220">
        <f>Concrete!H227</f>
        <v>20146.5</v>
      </c>
      <c r="F136" s="220">
        <f t="shared" si="47"/>
        <v>154.97</v>
      </c>
      <c r="G136" s="221">
        <f t="shared" si="48"/>
        <v>0.95750000000000002</v>
      </c>
      <c r="H136" s="221">
        <f>Concrete!H229</f>
        <v>4.2500000000000003E-2</v>
      </c>
      <c r="I136" s="220">
        <f t="shared" si="49"/>
        <v>19290.27375</v>
      </c>
      <c r="J136" s="220">
        <f t="shared" si="50"/>
        <v>6.5862250000000007</v>
      </c>
      <c r="K136" s="220"/>
      <c r="L136" s="220"/>
    </row>
    <row r="137" spans="1:12" ht="31.5" hidden="1" customHeight="1">
      <c r="A137" s="79">
        <f t="shared" si="53"/>
        <v>75</v>
      </c>
      <c r="B137" s="79">
        <v>11</v>
      </c>
      <c r="C137" s="80" t="str">
        <f>Concrete!B234</f>
        <v>Providing and placing manually mixed cement concrete C25 for the abutement, pier, wall etc. including compaction, curing, testing and  lead  30m. etc. all complete as per specification and drawing.</v>
      </c>
      <c r="D137" s="79" t="str">
        <f>Concrete!C234</f>
        <v>cum</v>
      </c>
      <c r="E137" s="81">
        <f>Concrete!H250</f>
        <v>24807</v>
      </c>
      <c r="F137" s="81">
        <f t="shared" si="47"/>
        <v>190.82</v>
      </c>
      <c r="G137" s="152">
        <f t="shared" si="48"/>
        <v>0.99750000000000005</v>
      </c>
      <c r="H137" s="152">
        <f>Concrete!H252</f>
        <v>2.5000000000000001E-3</v>
      </c>
      <c r="I137" s="81">
        <f t="shared" si="49"/>
        <v>24744.982500000002</v>
      </c>
      <c r="J137" s="81">
        <f t="shared" si="50"/>
        <v>0.47704999999999997</v>
      </c>
      <c r="K137" s="81"/>
      <c r="L137" s="81"/>
    </row>
    <row r="138" spans="1:12" ht="31.5" hidden="1" customHeight="1">
      <c r="A138" s="79">
        <f t="shared" si="53"/>
        <v>76</v>
      </c>
      <c r="B138" s="79">
        <v>12</v>
      </c>
      <c r="C138" s="218" t="str">
        <f>Concrete!B257</f>
        <v>Providing and placing machine mixed cement concrete C25 for the super structure, deckslab, girder etc.  including compaction, curing,  testing and lead 30m. etc. all complete as per specification and drawing.</v>
      </c>
      <c r="D138" s="219" t="str">
        <f>Concrete!C257</f>
        <v>cum</v>
      </c>
      <c r="E138" s="220">
        <f>Concrete!H273</f>
        <v>21848.5</v>
      </c>
      <c r="F138" s="220">
        <f t="shared" si="47"/>
        <v>168.07</v>
      </c>
      <c r="G138" s="221">
        <f t="shared" si="48"/>
        <v>0.96250000000000002</v>
      </c>
      <c r="H138" s="221">
        <f>Concrete!H275</f>
        <v>3.7499999999999999E-2</v>
      </c>
      <c r="I138" s="220">
        <f>E138*G138</f>
        <v>21029.181250000001</v>
      </c>
      <c r="J138" s="220">
        <f>F138*H138</f>
        <v>6.3026249999999999</v>
      </c>
      <c r="K138" s="220"/>
      <c r="L138" s="220"/>
    </row>
    <row r="139" spans="1:12" ht="31.5" hidden="1" customHeight="1">
      <c r="A139" s="79">
        <f t="shared" si="53"/>
        <v>77</v>
      </c>
      <c r="B139" s="79">
        <v>13</v>
      </c>
      <c r="C139" s="80" t="str">
        <f>Concrete!B280</f>
        <v>Providing and placing manually mixed cement concrete C25 for the super structure, deckslab, girder etc.  including compaction, curing,  testing and lead 30m. etc. all complete as per specification and drawing.</v>
      </c>
      <c r="D139" s="79" t="str">
        <f>Concrete!C280</f>
        <v>cum</v>
      </c>
      <c r="E139" s="81">
        <f>Concrete!H296</f>
        <v>22725.5</v>
      </c>
      <c r="F139" s="81">
        <f t="shared" si="47"/>
        <v>174.81</v>
      </c>
      <c r="G139" s="152">
        <f t="shared" si="48"/>
        <v>0.99750000000000005</v>
      </c>
      <c r="H139" s="152">
        <f>Concrete!H298</f>
        <v>2.5000000000000001E-3</v>
      </c>
      <c r="I139" s="81">
        <f>E139*G139</f>
        <v>22668.686250000002</v>
      </c>
      <c r="J139" s="81">
        <f>F139*H139</f>
        <v>0.437025</v>
      </c>
      <c r="K139" s="81"/>
      <c r="L139" s="81"/>
    </row>
    <row r="140" spans="1:12" ht="47.25">
      <c r="A140" s="79">
        <f t="shared" si="53"/>
        <v>78</v>
      </c>
      <c r="B140" s="79">
        <v>14</v>
      </c>
      <c r="C140" s="218" t="str">
        <f>Concrete!B303</f>
        <v>Providing and placing machine mixed cement concrete C35 for the abutement, pier, wall etc. including compaction, curing, testing and  lead  30m. etc. all complete as per specification and drawing.</v>
      </c>
      <c r="D140" s="219" t="str">
        <f>Concrete!C303</f>
        <v>cum</v>
      </c>
      <c r="E140" s="220">
        <f>Concrete!H319</f>
        <v>26617.5</v>
      </c>
      <c r="F140" s="220">
        <f t="shared" si="47"/>
        <v>204.75</v>
      </c>
      <c r="G140" s="221">
        <f t="shared" si="48"/>
        <v>0.96750000000000003</v>
      </c>
      <c r="H140" s="221">
        <f>Concrete!H321</f>
        <v>3.2500000000000001E-2</v>
      </c>
      <c r="I140" s="220">
        <f t="shared" si="49"/>
        <v>25752.431250000001</v>
      </c>
      <c r="J140" s="220">
        <f t="shared" si="50"/>
        <v>6.6543749999999999</v>
      </c>
      <c r="K140" s="220">
        <f>AVERAGE(E140,E141,E142,E143)</f>
        <v>25562.875</v>
      </c>
      <c r="L140" s="220"/>
    </row>
    <row r="141" spans="1:12" ht="47.25">
      <c r="A141" s="79">
        <f t="shared" si="53"/>
        <v>79</v>
      </c>
      <c r="B141" s="79">
        <v>15</v>
      </c>
      <c r="C141" s="80" t="str">
        <f>Concrete!B326</f>
        <v>Providing and placing manually mixed cement concrete C35 for the abutement, pier, wall etc. including compaction, curing, testing and  lead  30m. etc. all complete as per specification and drawing.</v>
      </c>
      <c r="D141" s="79" t="str">
        <f>Concrete!C326</f>
        <v>cum</v>
      </c>
      <c r="E141" s="81">
        <f>Concrete!H342</f>
        <v>27078.5</v>
      </c>
      <c r="F141" s="81">
        <f t="shared" si="47"/>
        <v>208.3</v>
      </c>
      <c r="G141" s="152">
        <f t="shared" si="48"/>
        <v>0.99750000000000005</v>
      </c>
      <c r="H141" s="152">
        <f>Concrete!H344</f>
        <v>2.5000000000000001E-3</v>
      </c>
      <c r="I141" s="81">
        <f t="shared" si="49"/>
        <v>27010.803750000003</v>
      </c>
      <c r="J141" s="81">
        <f t="shared" si="50"/>
        <v>0.52075000000000005</v>
      </c>
      <c r="K141" s="81"/>
      <c r="L141" s="81"/>
    </row>
    <row r="142" spans="1:12" ht="47.25">
      <c r="A142" s="79">
        <f t="shared" si="53"/>
        <v>80</v>
      </c>
      <c r="B142" s="79">
        <v>16</v>
      </c>
      <c r="C142" s="80" t="str">
        <f>Concrete!B349</f>
        <v>Providing and placing machine mixed cement concrete C35 for the super structure, deckslab, girder etc.  including compaction, curing,  testing and lead 30m. etc. all complete as per specification and drawing.</v>
      </c>
      <c r="D142" s="79" t="str">
        <f>Concrete!C349</f>
        <v>cum</v>
      </c>
      <c r="E142" s="81">
        <f>Concrete!H365</f>
        <v>23558.5</v>
      </c>
      <c r="F142" s="81">
        <f t="shared" si="47"/>
        <v>181.22</v>
      </c>
      <c r="G142" s="152">
        <f t="shared" si="48"/>
        <v>0.96499999999999997</v>
      </c>
      <c r="H142" s="152">
        <f>Concrete!H367</f>
        <v>3.5000000000000003E-2</v>
      </c>
      <c r="I142" s="81">
        <f t="shared" ref="I142:J144" si="54">E142*G142</f>
        <v>22733.952499999999</v>
      </c>
      <c r="J142" s="81">
        <f t="shared" si="54"/>
        <v>6.3427000000000007</v>
      </c>
      <c r="K142" s="81"/>
      <c r="L142" s="81"/>
    </row>
    <row r="143" spans="1:12" ht="47.25">
      <c r="A143" s="79">
        <f t="shared" si="53"/>
        <v>81</v>
      </c>
      <c r="B143" s="79">
        <v>17</v>
      </c>
      <c r="C143" s="80" t="str">
        <f>Concrete!B372</f>
        <v>Providing and placing manually mixed cement concrete C35 for the super structure, deckslab, girder etc.  including compaction, curing,  testing and lead 30m. etc. all complete as per specification and drawing.</v>
      </c>
      <c r="D143" s="79" t="str">
        <f>Concrete!C372</f>
        <v>cum</v>
      </c>
      <c r="E143" s="81">
        <f>Concrete!H388</f>
        <v>24997</v>
      </c>
      <c r="F143" s="81">
        <f t="shared" si="47"/>
        <v>192.28</v>
      </c>
      <c r="G143" s="152">
        <f t="shared" si="48"/>
        <v>0.99750000000000005</v>
      </c>
      <c r="H143" s="152">
        <f>Concrete!H390</f>
        <v>2.5000000000000001E-3</v>
      </c>
      <c r="I143" s="81">
        <f t="shared" si="54"/>
        <v>24934.5075</v>
      </c>
      <c r="J143" s="81">
        <f t="shared" si="54"/>
        <v>0.48070000000000002</v>
      </c>
      <c r="K143" s="81"/>
      <c r="L143" s="81"/>
    </row>
    <row r="144" spans="1:12" ht="31.5">
      <c r="A144" s="79">
        <f t="shared" si="53"/>
        <v>82</v>
      </c>
      <c r="B144" s="79">
        <v>18</v>
      </c>
      <c r="C144" s="80" t="str">
        <f>Concrete!B416</f>
        <v xml:space="preserve">Machine Mixed Plum concrete -  40% plum (Supply of materials &amp; haulage dist up to 30 m) Concrete grade C15 </v>
      </c>
      <c r="D144" s="79" t="str">
        <f>Concrete!C416</f>
        <v>cum</v>
      </c>
      <c r="E144" s="81">
        <f>Concrete!H433</f>
        <v>11539.5</v>
      </c>
      <c r="F144" s="81">
        <f t="shared" ref="F144" si="55">ROUND(E144/exr,2)</f>
        <v>88.77</v>
      </c>
      <c r="G144" s="152">
        <f t="shared" ref="G144" si="56">1-H144</f>
        <v>1</v>
      </c>
      <c r="H144" s="152">
        <f>Concrete!H391</f>
        <v>0</v>
      </c>
      <c r="I144" s="81">
        <f t="shared" si="54"/>
        <v>11539.5</v>
      </c>
      <c r="J144" s="81">
        <f t="shared" si="54"/>
        <v>0</v>
      </c>
      <c r="K144" s="81">
        <f>E144</f>
        <v>11539.5</v>
      </c>
      <c r="L144" s="81"/>
    </row>
    <row r="145" spans="1:12" hidden="1">
      <c r="A145" s="85"/>
      <c r="B145" s="85"/>
      <c r="C145" s="85"/>
      <c r="D145" s="85"/>
      <c r="E145" s="85"/>
      <c r="F145" s="85"/>
      <c r="G145" s="152"/>
      <c r="H145" s="152"/>
      <c r="I145" s="85"/>
      <c r="J145" s="85"/>
      <c r="K145" s="85"/>
      <c r="L145" s="85"/>
    </row>
    <row r="146" spans="1:12">
      <c r="A146" s="82" t="s">
        <v>280</v>
      </c>
      <c r="B146" s="82"/>
      <c r="C146" s="83" t="s">
        <v>281</v>
      </c>
      <c r="D146" s="83"/>
      <c r="E146" s="83"/>
      <c r="F146" s="83"/>
      <c r="G146" s="83"/>
      <c r="H146" s="83"/>
      <c r="I146" s="83"/>
      <c r="J146" s="83"/>
      <c r="K146" s="583">
        <v>1</v>
      </c>
      <c r="L146" s="83"/>
    </row>
    <row r="147" spans="1:12" ht="47.25" hidden="1">
      <c r="A147" s="79">
        <f>A144+1</f>
        <v>83</v>
      </c>
      <c r="B147" s="79">
        <f>Reinforcement!A4</f>
        <v>1</v>
      </c>
      <c r="C147" s="243" t="str">
        <f>Reinforcement!B4</f>
        <v xml:space="preserve"> Providing and laying  Reinforcement including cutting, bending, binding,  fixing in position and lead 30m. etc. all complete as per specification and drawing. 
(Diameter upto 8mm)</v>
      </c>
      <c r="D147" s="79" t="str">
        <f>Reinforcement!C4</f>
        <v>ton</v>
      </c>
      <c r="E147" s="81">
        <f>Reinforcement!H17</f>
        <v>190413</v>
      </c>
      <c r="F147" s="81">
        <f>ROUND(E147/exr,2)</f>
        <v>1464.72</v>
      </c>
      <c r="G147" s="152">
        <f>1-H147</f>
        <v>0.17499999999999993</v>
      </c>
      <c r="H147" s="152">
        <f>Reinforcement!H19</f>
        <v>0.82500000000000007</v>
      </c>
      <c r="I147" s="81">
        <f t="shared" ref="I147:J149" si="57">E147*G147</f>
        <v>33322.274999999987</v>
      </c>
      <c r="J147" s="81">
        <f t="shared" si="57"/>
        <v>1208.3940000000002</v>
      </c>
      <c r="K147" s="81"/>
      <c r="L147" s="81"/>
    </row>
    <row r="148" spans="1:12" ht="47.25" hidden="1">
      <c r="A148" s="79">
        <f>A147+1</f>
        <v>84</v>
      </c>
      <c r="B148" s="79">
        <f>Reinforcement!A24</f>
        <v>2</v>
      </c>
      <c r="C148" s="243" t="str">
        <f>Reinforcement!B24</f>
        <v xml:space="preserve"> Providing and laying  Reinforcement including cutting, bending, binding,  fixing in position and lead 30m. etc. all complete as per specification and drawing. 
(Diameter above 8mm  and  upto 16mm.)</v>
      </c>
      <c r="D148" s="79" t="str">
        <f>Reinforcement!C24</f>
        <v>ton</v>
      </c>
      <c r="E148" s="81">
        <f>Reinforcement!H37</f>
        <v>183446</v>
      </c>
      <c r="F148" s="81">
        <f>ROUND(E148/exr,2)</f>
        <v>1411.12</v>
      </c>
      <c r="G148" s="152">
        <f>1-H148</f>
        <v>0.14500000000000002</v>
      </c>
      <c r="H148" s="152">
        <f>Reinforcement!H39</f>
        <v>0.85499999999999998</v>
      </c>
      <c r="I148" s="81">
        <f t="shared" si="57"/>
        <v>26599.670000000002</v>
      </c>
      <c r="J148" s="81">
        <f t="shared" si="57"/>
        <v>1206.5075999999999</v>
      </c>
      <c r="K148" s="81"/>
      <c r="L148" s="81"/>
    </row>
    <row r="149" spans="1:12" ht="47.25">
      <c r="A149" s="79">
        <f>A148+1</f>
        <v>85</v>
      </c>
      <c r="B149" s="79">
        <f>Reinforcement!A44</f>
        <v>3</v>
      </c>
      <c r="C149" s="218" t="str">
        <f>Reinforcement!B44</f>
        <v xml:space="preserve"> Providing and laying  Reinforcement including cutting, bending, binding,  fixing in position and lead 30m. etc. all complete as per specification and drawing. 
(Diameter above 16mm.)</v>
      </c>
      <c r="D149" s="79" t="str">
        <f>Reinforcement!C44</f>
        <v>ton</v>
      </c>
      <c r="E149" s="81">
        <f>Reinforcement!H57</f>
        <v>176598.5</v>
      </c>
      <c r="F149" s="81">
        <f>ROUND(E149/exr,2)</f>
        <v>1358.45</v>
      </c>
      <c r="G149" s="152">
        <f>1-H149</f>
        <v>0.11249999999999993</v>
      </c>
      <c r="H149" s="152">
        <f>Reinforcement!H59</f>
        <v>0.88750000000000007</v>
      </c>
      <c r="I149" s="81">
        <f t="shared" si="57"/>
        <v>19867.331249999988</v>
      </c>
      <c r="J149" s="81">
        <f t="shared" si="57"/>
        <v>1205.6243750000001</v>
      </c>
      <c r="K149" s="81">
        <f>E149</f>
        <v>176598.5</v>
      </c>
      <c r="L149" s="81"/>
    </row>
    <row r="150" spans="1:12">
      <c r="A150" s="79"/>
      <c r="B150" s="79"/>
      <c r="C150" s="80"/>
      <c r="D150" s="79"/>
      <c r="E150" s="81"/>
      <c r="F150" s="81"/>
      <c r="G150" s="152"/>
      <c r="H150" s="152"/>
      <c r="I150" s="81"/>
      <c r="J150" s="81"/>
      <c r="K150" s="81"/>
      <c r="L150" s="81"/>
    </row>
    <row r="151" spans="1:12">
      <c r="A151" s="82" t="s">
        <v>296</v>
      </c>
      <c r="B151" s="82"/>
      <c r="C151" s="83" t="s">
        <v>297</v>
      </c>
      <c r="D151" s="83"/>
      <c r="E151" s="83"/>
      <c r="F151" s="83"/>
      <c r="G151" s="83"/>
      <c r="H151" s="83"/>
      <c r="I151" s="83"/>
      <c r="J151" s="83"/>
      <c r="K151" s="83"/>
      <c r="L151" s="83"/>
    </row>
    <row r="152" spans="1:12" ht="31.5">
      <c r="A152" s="79">
        <f>A149+1</f>
        <v>86</v>
      </c>
      <c r="B152" s="79">
        <f>Brickwork!A4</f>
        <v>1</v>
      </c>
      <c r="C152" s="80" t="str">
        <f>Brickwork!B4</f>
        <v>Providing and laying brick masonry in machine mixed cement mortar (cement : sand = 1:3) including preparation of mortar as per specification, lead 30 m.</v>
      </c>
      <c r="D152" s="79" t="str">
        <f>Brickwork!C4</f>
        <v>cum</v>
      </c>
      <c r="E152" s="81">
        <f>Brickwork!H18</f>
        <v>19437.5</v>
      </c>
      <c r="F152" s="81">
        <f t="shared" ref="F152:F157" si="58">ROUND(E152/exr,2)</f>
        <v>149.52000000000001</v>
      </c>
      <c r="G152" s="152">
        <f t="shared" ref="G152:G157" si="59">1-H152</f>
        <v>0.81499999999999995</v>
      </c>
      <c r="H152" s="152">
        <f>Brickwork!H20</f>
        <v>0.185</v>
      </c>
      <c r="I152" s="81">
        <f t="shared" ref="I152:I157" si="60">E152*G152</f>
        <v>15841.562499999998</v>
      </c>
      <c r="J152" s="81">
        <f t="shared" ref="J152:J157" si="61">F152*H152</f>
        <v>27.661200000000001</v>
      </c>
      <c r="K152" s="81"/>
      <c r="L152" s="81"/>
    </row>
    <row r="153" spans="1:12" ht="31.5">
      <c r="A153" s="79">
        <f>A152+1</f>
        <v>87</v>
      </c>
      <c r="B153" s="79">
        <f>Brickwork!A25</f>
        <v>2</v>
      </c>
      <c r="C153" s="243" t="str">
        <f>Brickwork!B25</f>
        <v>Providing and laying brick masonry in machine mixed cement mortar (cement : sand = 1:4) including preparation of mortar as per specification, lead 30 m.</v>
      </c>
      <c r="D153" s="79" t="str">
        <f>Brickwork!C25</f>
        <v>cum</v>
      </c>
      <c r="E153" s="81">
        <f>Brickwork!H39</f>
        <v>18644</v>
      </c>
      <c r="F153" s="81">
        <f t="shared" si="58"/>
        <v>143.41999999999999</v>
      </c>
      <c r="G153" s="152">
        <f t="shared" si="59"/>
        <v>0.85250000000000004</v>
      </c>
      <c r="H153" s="152">
        <f>Brickwork!H41</f>
        <v>0.14749999999999999</v>
      </c>
      <c r="I153" s="81">
        <f t="shared" si="60"/>
        <v>15894.01</v>
      </c>
      <c r="J153" s="81">
        <f t="shared" si="61"/>
        <v>21.154449999999997</v>
      </c>
      <c r="K153" s="81"/>
      <c r="L153" s="81"/>
    </row>
    <row r="154" spans="1:12" ht="31.5">
      <c r="A154" s="79">
        <f>A153+1</f>
        <v>88</v>
      </c>
      <c r="B154" s="79">
        <f>Brickwork!A46</f>
        <v>3</v>
      </c>
      <c r="C154" s="80" t="str">
        <f>Brickwork!B46</f>
        <v>Providing and laying brick masonry in machine mixed cement mortar (cement : sand = 1:6) including preparation of mortar as per specification, lead 30 m.</v>
      </c>
      <c r="D154" s="79" t="str">
        <f>Brickwork!C46</f>
        <v>cum</v>
      </c>
      <c r="E154" s="81">
        <f>Brickwork!H60</f>
        <v>15543.5</v>
      </c>
      <c r="F154" s="81">
        <f t="shared" si="58"/>
        <v>119.57</v>
      </c>
      <c r="G154" s="152">
        <f t="shared" si="59"/>
        <v>0.89249999999999996</v>
      </c>
      <c r="H154" s="152">
        <f>Brickwork!H62</f>
        <v>0.1075</v>
      </c>
      <c r="I154" s="81">
        <f t="shared" si="60"/>
        <v>13872.57375</v>
      </c>
      <c r="J154" s="81">
        <f t="shared" si="61"/>
        <v>12.853774999999999</v>
      </c>
      <c r="K154" s="81"/>
      <c r="L154" s="81"/>
    </row>
    <row r="155" spans="1:12" ht="31.5">
      <c r="A155" s="79">
        <f>A154+1</f>
        <v>89</v>
      </c>
      <c r="B155" s="79">
        <f>Brickwork!A67</f>
        <v>4</v>
      </c>
      <c r="C155" s="80" t="str">
        <f>Brickwork!B67</f>
        <v>Providing and laying brick masonry in manually mixed cement mortar (cement : sand = 1:3) including preparation of mortar as per specification, lead 30 m.</v>
      </c>
      <c r="D155" s="79" t="str">
        <f>Brickwork!C67</f>
        <v>cum</v>
      </c>
      <c r="E155" s="81">
        <f>Brickwork!H81</f>
        <v>19829.5</v>
      </c>
      <c r="F155" s="81">
        <f t="shared" si="58"/>
        <v>152.53</v>
      </c>
      <c r="G155" s="152">
        <f t="shared" si="59"/>
        <v>0.83250000000000002</v>
      </c>
      <c r="H155" s="152">
        <f>Brickwork!H83</f>
        <v>0.16750000000000001</v>
      </c>
      <c r="I155" s="81">
        <f t="shared" si="60"/>
        <v>16508.05875</v>
      </c>
      <c r="J155" s="81">
        <f t="shared" si="61"/>
        <v>25.548775000000003</v>
      </c>
      <c r="K155" s="81"/>
      <c r="L155" s="81"/>
    </row>
    <row r="156" spans="1:12" ht="31.5">
      <c r="A156" s="79">
        <f>A155+1</f>
        <v>90</v>
      </c>
      <c r="B156" s="79">
        <f>Brickwork!A88</f>
        <v>5</v>
      </c>
      <c r="C156" s="80" t="str">
        <f>Brickwork!B88</f>
        <v>Providing and laying brick masonry in manually mixed cement mortar (cement : sand = 1:4) including preparation of mortar as per specification, lead 30 m.</v>
      </c>
      <c r="D156" s="79" t="str">
        <f>Brickwork!C88</f>
        <v>cum</v>
      </c>
      <c r="E156" s="81">
        <f>Brickwork!H102</f>
        <v>19036</v>
      </c>
      <c r="F156" s="81">
        <f t="shared" si="58"/>
        <v>146.43</v>
      </c>
      <c r="G156" s="152">
        <f t="shared" si="59"/>
        <v>0.86749999999999994</v>
      </c>
      <c r="H156" s="152">
        <f>Brickwork!H104</f>
        <v>0.13250000000000001</v>
      </c>
      <c r="I156" s="81">
        <f t="shared" si="60"/>
        <v>16513.73</v>
      </c>
      <c r="J156" s="81">
        <f t="shared" si="61"/>
        <v>19.401975</v>
      </c>
      <c r="K156" s="81"/>
      <c r="L156" s="81"/>
    </row>
    <row r="157" spans="1:12" ht="31.5">
      <c r="A157" s="79">
        <f>A156+1</f>
        <v>91</v>
      </c>
      <c r="B157" s="79">
        <f>Brickwork!A109</f>
        <v>6</v>
      </c>
      <c r="C157" s="80" t="str">
        <f>Brickwork!B109</f>
        <v>Providing and laying brick masonry in manually mixed cement mortar (cement : sand = 1:6) including preparation of mortar as per specification, lead 30 m.</v>
      </c>
      <c r="D157" s="79" t="str">
        <f>Brickwork!C109</f>
        <v>cum</v>
      </c>
      <c r="E157" s="81">
        <f>Brickwork!H123</f>
        <v>18267</v>
      </c>
      <c r="F157" s="81">
        <f t="shared" si="58"/>
        <v>140.52000000000001</v>
      </c>
      <c r="G157" s="152">
        <f t="shared" si="59"/>
        <v>0.90749999999999997</v>
      </c>
      <c r="H157" s="152">
        <f>Brickwork!H125</f>
        <v>9.2499999999999999E-2</v>
      </c>
      <c r="I157" s="81">
        <f t="shared" si="60"/>
        <v>16577.302499999998</v>
      </c>
      <c r="J157" s="81">
        <f t="shared" si="61"/>
        <v>12.998100000000001</v>
      </c>
      <c r="K157" s="81"/>
      <c r="L157" s="81"/>
    </row>
    <row r="158" spans="1:12">
      <c r="A158" s="79"/>
      <c r="B158" s="79"/>
      <c r="C158" s="80"/>
      <c r="D158" s="79"/>
      <c r="E158" s="81"/>
      <c r="F158" s="81"/>
      <c r="G158" s="152"/>
      <c r="H158" s="152"/>
      <c r="I158" s="81"/>
      <c r="J158" s="81"/>
      <c r="K158" s="81"/>
      <c r="L158" s="81"/>
    </row>
    <row r="159" spans="1:12">
      <c r="A159" s="82" t="s">
        <v>310</v>
      </c>
      <c r="B159" s="82"/>
      <c r="C159" s="83" t="s">
        <v>311</v>
      </c>
      <c r="D159" s="83"/>
      <c r="E159" s="83"/>
      <c r="F159" s="83"/>
      <c r="G159" s="83"/>
      <c r="H159" s="83"/>
      <c r="I159" s="83"/>
      <c r="J159" s="83"/>
      <c r="K159" s="83"/>
      <c r="L159" s="83"/>
    </row>
    <row r="160" spans="1:12" ht="31.5">
      <c r="A160" s="79">
        <f>A157+1</f>
        <v>92</v>
      </c>
      <c r="B160" s="79">
        <f>Plaster!A4</f>
        <v>1</v>
      </c>
      <c r="C160" s="80" t="str">
        <f>Plaster!B4</f>
        <v>Providing and applying 12.5mm  thick cement plaster (cement : sand = 1:2) including mortar mixing, scaffolding, curing etc. complete as per specification lead 30 m (manual mixing)</v>
      </c>
      <c r="D160" s="79" t="str">
        <f>Plaster!C5</f>
        <v>sqm</v>
      </c>
      <c r="E160" s="81">
        <f>Plaster!H17</f>
        <v>567.5</v>
      </c>
      <c r="F160" s="81">
        <f t="shared" ref="F160:F167" si="62">ROUND(E160/exr,2)</f>
        <v>4.37</v>
      </c>
      <c r="G160" s="152">
        <f t="shared" ref="G160:G167" si="63">1-H160</f>
        <v>0.58499999999999996</v>
      </c>
      <c r="H160" s="152">
        <f>Plaster!H19</f>
        <v>0.41500000000000004</v>
      </c>
      <c r="I160" s="81">
        <f t="shared" ref="I160:I167" si="64">E160*G160</f>
        <v>331.98749999999995</v>
      </c>
      <c r="J160" s="81">
        <f t="shared" ref="J160:J167" si="65">F160*H160</f>
        <v>1.8135500000000002</v>
      </c>
      <c r="K160" s="81"/>
      <c r="L160" s="81"/>
    </row>
    <row r="161" spans="1:12" ht="31.5">
      <c r="A161" s="79">
        <f>A160+1</f>
        <v>93</v>
      </c>
      <c r="B161" s="79">
        <f>Plaster!A24</f>
        <v>2</v>
      </c>
      <c r="C161" s="80" t="str">
        <f>Plaster!B24</f>
        <v>Providing and applying 12.5mm  thick cement plaster (cement : sand = 1:3) including mortar mixing, scaffolding, curing etc. complete as per specification lead 30 m (manual mixing)</v>
      </c>
      <c r="D161" s="79" t="str">
        <f>Plaster!C25</f>
        <v>sqm</v>
      </c>
      <c r="E161" s="81">
        <f>Plaster!H37</f>
        <v>513</v>
      </c>
      <c r="F161" s="81">
        <f t="shared" si="62"/>
        <v>3.95</v>
      </c>
      <c r="G161" s="152">
        <f t="shared" si="63"/>
        <v>0.64749999999999996</v>
      </c>
      <c r="H161" s="152">
        <f>Plaster!H39</f>
        <v>0.35249999999999998</v>
      </c>
      <c r="I161" s="81">
        <f t="shared" si="64"/>
        <v>332.16749999999996</v>
      </c>
      <c r="J161" s="81">
        <f t="shared" si="65"/>
        <v>1.3923749999999999</v>
      </c>
      <c r="K161" s="81"/>
      <c r="L161" s="81"/>
    </row>
    <row r="162" spans="1:12" ht="31.5">
      <c r="A162" s="79">
        <f t="shared" ref="A162:A167" si="66">A161+1</f>
        <v>94</v>
      </c>
      <c r="B162" s="79">
        <f>Plaster!A44</f>
        <v>3</v>
      </c>
      <c r="C162" s="243" t="str">
        <f>Plaster!B44</f>
        <v>Providing and applying 12.5mm  thick cement plaster (cement : sand = 1:4) including mortar mixing, scaffolding, curing etc. complete as per specification lead 30 m (manual mixing)</v>
      </c>
      <c r="D162" s="79" t="str">
        <f>Plaster!C45</f>
        <v>sqm</v>
      </c>
      <c r="E162" s="81">
        <f>Plaster!H57</f>
        <v>487.5</v>
      </c>
      <c r="F162" s="81">
        <f t="shared" si="62"/>
        <v>3.75</v>
      </c>
      <c r="G162" s="152">
        <f t="shared" si="63"/>
        <v>0.6875</v>
      </c>
      <c r="H162" s="152">
        <f>Plaster!H59</f>
        <v>0.3125</v>
      </c>
      <c r="I162" s="81">
        <f t="shared" si="64"/>
        <v>335.15625</v>
      </c>
      <c r="J162" s="81">
        <f t="shared" si="65"/>
        <v>1.171875</v>
      </c>
      <c r="K162" s="81"/>
      <c r="L162" s="81"/>
    </row>
    <row r="163" spans="1:12" ht="31.5">
      <c r="A163" s="79">
        <f t="shared" si="66"/>
        <v>95</v>
      </c>
      <c r="B163" s="79">
        <f>Plaster!A64</f>
        <v>4</v>
      </c>
      <c r="C163" s="80" t="str">
        <f>Plaster!B64</f>
        <v>Providing and applying 12.5mm  thick cement plaster (cement : sand = 1:6) including mortar mixing, scaffolding, curing etc. complete as per specification lead 30 m (manual mixing)</v>
      </c>
      <c r="D163" s="79" t="str">
        <f>Plaster!C65</f>
        <v>sqm</v>
      </c>
      <c r="E163" s="81">
        <f>Plaster!H77</f>
        <v>441.5</v>
      </c>
      <c r="F163" s="81">
        <f t="shared" si="62"/>
        <v>3.4</v>
      </c>
      <c r="G163" s="152">
        <f t="shared" si="63"/>
        <v>0.76</v>
      </c>
      <c r="H163" s="152">
        <f>Plaster!H79</f>
        <v>0.24</v>
      </c>
      <c r="I163" s="81">
        <f t="shared" si="64"/>
        <v>335.54</v>
      </c>
      <c r="J163" s="81">
        <f t="shared" si="65"/>
        <v>0.81599999999999995</v>
      </c>
      <c r="K163" s="81"/>
      <c r="L163" s="81"/>
    </row>
    <row r="164" spans="1:12" ht="31.5">
      <c r="A164" s="79">
        <f t="shared" si="66"/>
        <v>96</v>
      </c>
      <c r="B164" s="79">
        <f>Plaster!A84</f>
        <v>5</v>
      </c>
      <c r="C164" s="80" t="str">
        <f>Plaster!B84</f>
        <v>Providing and applying 20mm  thick cement plaster (cement : sand = 1:2) including mortar mixing, scaffolding, curing etc. complete as per specification lead 30 m (manual mixing)</v>
      </c>
      <c r="D164" s="79" t="str">
        <f>Plaster!C85</f>
        <v>sqm</v>
      </c>
      <c r="E164" s="81">
        <f>Plaster!H97</f>
        <v>755</v>
      </c>
      <c r="F164" s="81">
        <f t="shared" si="62"/>
        <v>5.81</v>
      </c>
      <c r="G164" s="152">
        <f t="shared" si="63"/>
        <v>0.52249999999999996</v>
      </c>
      <c r="H164" s="152">
        <f>Plaster!H99</f>
        <v>0.47750000000000004</v>
      </c>
      <c r="I164" s="81">
        <f t="shared" si="64"/>
        <v>394.48749999999995</v>
      </c>
      <c r="J164" s="81">
        <f t="shared" si="65"/>
        <v>2.7742749999999998</v>
      </c>
      <c r="K164" s="81"/>
      <c r="L164" s="81"/>
    </row>
    <row r="165" spans="1:12" ht="31.5">
      <c r="A165" s="79">
        <f t="shared" si="66"/>
        <v>97</v>
      </c>
      <c r="B165" s="79">
        <f>Plaster!A104</f>
        <v>6</v>
      </c>
      <c r="C165" s="80" t="str">
        <f>Plaster!B104</f>
        <v>Providing and applying 20mm  thick cement plaster (cement : sand = 1:3) including mortar mixing, scaffolding, curing etc. complete as per specification lead 30 m (manual mixing)</v>
      </c>
      <c r="D165" s="79" t="str">
        <f>Plaster!C105</f>
        <v>sqm</v>
      </c>
      <c r="E165" s="81">
        <f>Plaster!H117</f>
        <v>660</v>
      </c>
      <c r="F165" s="81">
        <f t="shared" si="62"/>
        <v>5.08</v>
      </c>
      <c r="G165" s="152">
        <f t="shared" si="63"/>
        <v>0.6</v>
      </c>
      <c r="H165" s="152">
        <f>Plaster!H119</f>
        <v>0.4</v>
      </c>
      <c r="I165" s="81">
        <f t="shared" si="64"/>
        <v>396</v>
      </c>
      <c r="J165" s="81">
        <f t="shared" si="65"/>
        <v>2.032</v>
      </c>
      <c r="K165" s="81"/>
      <c r="L165" s="81"/>
    </row>
    <row r="166" spans="1:12" ht="31.5">
      <c r="A166" s="79">
        <f t="shared" si="66"/>
        <v>98</v>
      </c>
      <c r="B166" s="79">
        <f>Plaster!A124</f>
        <v>7</v>
      </c>
      <c r="C166" s="80" t="str">
        <f>Plaster!B124</f>
        <v>Providing and applying 20mm  thick cement plaster (cement : sand = 1:4) including mortar mixing, scaffolding, curing etc. complete as per specification lead 30 m (manual mixing)</v>
      </c>
      <c r="D166" s="79" t="str">
        <f>Plaster!C125</f>
        <v>sqm</v>
      </c>
      <c r="E166" s="81">
        <f>Plaster!H137</f>
        <v>622</v>
      </c>
      <c r="F166" s="81">
        <f t="shared" si="62"/>
        <v>4.78</v>
      </c>
      <c r="G166" s="152">
        <f t="shared" si="63"/>
        <v>0.64250000000000007</v>
      </c>
      <c r="H166" s="152">
        <f>Plaster!H139</f>
        <v>0.35749999999999998</v>
      </c>
      <c r="I166" s="81">
        <f t="shared" si="64"/>
        <v>399.63500000000005</v>
      </c>
      <c r="J166" s="81">
        <f t="shared" si="65"/>
        <v>1.70885</v>
      </c>
      <c r="K166" s="81"/>
      <c r="L166" s="81"/>
    </row>
    <row r="167" spans="1:12" ht="31.5">
      <c r="A167" s="79">
        <f t="shared" si="66"/>
        <v>99</v>
      </c>
      <c r="B167" s="79">
        <f>Plaster!A144</f>
        <v>8</v>
      </c>
      <c r="C167" s="80" t="str">
        <f>Plaster!B144</f>
        <v>Providing and applying 20mm  thick cement plaster (cement : sand = 1:6) including mortar mixing, scaffolding, curing etc. complete as per specification lead 30 m (manual mixing)</v>
      </c>
      <c r="D167" s="79" t="str">
        <f>Plaster!C145</f>
        <v>sqm</v>
      </c>
      <c r="E167" s="81">
        <f>Plaster!H157</f>
        <v>562.5</v>
      </c>
      <c r="F167" s="81">
        <f t="shared" si="62"/>
        <v>4.33</v>
      </c>
      <c r="G167" s="152">
        <f t="shared" si="63"/>
        <v>0.71249999999999991</v>
      </c>
      <c r="H167" s="152">
        <f>Plaster!H159</f>
        <v>0.28750000000000003</v>
      </c>
      <c r="I167" s="81">
        <f t="shared" si="64"/>
        <v>400.78124999999994</v>
      </c>
      <c r="J167" s="81">
        <f t="shared" si="65"/>
        <v>1.2448750000000002</v>
      </c>
      <c r="K167" s="81"/>
      <c r="L167" s="81"/>
    </row>
    <row r="168" spans="1:12">
      <c r="A168" s="79"/>
      <c r="B168" s="79"/>
      <c r="C168" s="80"/>
      <c r="D168" s="79"/>
      <c r="E168" s="81"/>
      <c r="F168" s="81"/>
      <c r="G168" s="152"/>
      <c r="H168" s="152"/>
      <c r="I168" s="81"/>
      <c r="J168" s="81"/>
      <c r="K168" s="81"/>
      <c r="L168" s="81"/>
    </row>
    <row r="169" spans="1:12">
      <c r="A169" s="82" t="s">
        <v>330</v>
      </c>
      <c r="B169" s="82"/>
      <c r="C169" s="83" t="s">
        <v>331</v>
      </c>
      <c r="D169" s="83"/>
      <c r="E169" s="83"/>
      <c r="F169" s="83"/>
      <c r="G169" s="83"/>
      <c r="H169" s="83"/>
      <c r="I169" s="83"/>
      <c r="J169" s="83"/>
      <c r="K169" s="583">
        <v>1</v>
      </c>
      <c r="L169" s="83"/>
    </row>
    <row r="170" spans="1:12" ht="31.5" hidden="1">
      <c r="A170" s="79">
        <f>A167+1</f>
        <v>100</v>
      </c>
      <c r="B170" s="79">
        <f>Masonry!A4</f>
        <v>1</v>
      </c>
      <c r="C170" s="80" t="str">
        <f>Masonry!B4</f>
        <v xml:space="preserve"> Providing and laying dry stone masonry (coursed rubble) including dressing etc. complete as per specification, lead 30m.</v>
      </c>
      <c r="D170" s="79" t="str">
        <f>Masonry!C4</f>
        <v>cum</v>
      </c>
      <c r="E170" s="81">
        <f>Masonry!H18</f>
        <v>5445</v>
      </c>
      <c r="F170" s="81">
        <f t="shared" ref="F170:F179" si="67">ROUND(E170/exr,2)</f>
        <v>41.88</v>
      </c>
      <c r="G170" s="152">
        <f t="shared" ref="G170:G179" si="68">1-H170</f>
        <v>1</v>
      </c>
      <c r="H170" s="152">
        <f>Masonry!H20</f>
        <v>0</v>
      </c>
      <c r="I170" s="81">
        <f t="shared" ref="I170:I179" si="69">E170*G170</f>
        <v>5445</v>
      </c>
      <c r="J170" s="81">
        <f t="shared" ref="J170:J179" si="70">F170*H170</f>
        <v>0</v>
      </c>
      <c r="K170" s="81"/>
      <c r="L170" s="81"/>
    </row>
    <row r="171" spans="1:12" ht="47.25">
      <c r="A171" s="79">
        <f>A170+1</f>
        <v>101</v>
      </c>
      <c r="B171" s="79">
        <f>Masonry!A25</f>
        <v>2</v>
      </c>
      <c r="C171" s="80" t="str">
        <f>Masonry!B25</f>
        <v>Providing and laying Random rubble masonry in cement mortar (cement : sand = 1:3) including scaffolding, curing, preparation of  mortar etc. complete, masoned height 0-5m,  lead 30m (Using Concrete mixer) mortar 35%</v>
      </c>
      <c r="D171" s="79" t="str">
        <f>Masonry!C25</f>
        <v>cum</v>
      </c>
      <c r="E171" s="81">
        <f>Masonry!H40</f>
        <v>13101</v>
      </c>
      <c r="F171" s="81">
        <f t="shared" si="67"/>
        <v>100.78</v>
      </c>
      <c r="G171" s="152">
        <f t="shared" si="68"/>
        <v>0.58000000000000007</v>
      </c>
      <c r="H171" s="152">
        <f>Masonry!H42</f>
        <v>0.42</v>
      </c>
      <c r="I171" s="81">
        <f t="shared" si="69"/>
        <v>7598.5800000000008</v>
      </c>
      <c r="J171" s="81">
        <f t="shared" si="70"/>
        <v>42.327599999999997</v>
      </c>
      <c r="K171" s="81"/>
      <c r="L171" s="81"/>
    </row>
    <row r="172" spans="1:12" ht="47.25">
      <c r="A172" s="79">
        <f t="shared" ref="A172:A179" si="71">A171+1</f>
        <v>102</v>
      </c>
      <c r="B172" s="79">
        <f>Masonry!A47</f>
        <v>3</v>
      </c>
      <c r="C172" s="218" t="str">
        <f>Masonry!B47</f>
        <v>Providing and laying Random rubble masonry in cement mortar (cement : sand = 1:4) including scaffolding, curing, preparation of  mortar etc. complete, masoned height 0-5m,  lead 30m (Using Concrete mixer) mortar 35%</v>
      </c>
      <c r="D172" s="79" t="str">
        <f>Masonry!C47</f>
        <v>cum</v>
      </c>
      <c r="E172" s="81">
        <f>Masonry!H62</f>
        <v>9852.5</v>
      </c>
      <c r="F172" s="81">
        <f t="shared" si="67"/>
        <v>75.790000000000006</v>
      </c>
      <c r="G172" s="152">
        <f t="shared" si="68"/>
        <v>0.6925</v>
      </c>
      <c r="H172" s="152">
        <f>Masonry!H64</f>
        <v>0.3075</v>
      </c>
      <c r="I172" s="81">
        <f t="shared" si="69"/>
        <v>6822.8562499999998</v>
      </c>
      <c r="J172" s="81">
        <f t="shared" si="70"/>
        <v>23.305425000000003</v>
      </c>
      <c r="K172" s="81">
        <f>E172</f>
        <v>9852.5</v>
      </c>
      <c r="L172" s="81"/>
    </row>
    <row r="173" spans="1:12" ht="47.25" hidden="1">
      <c r="A173" s="79">
        <f t="shared" si="71"/>
        <v>103</v>
      </c>
      <c r="B173" s="79">
        <f>Masonry!A69</f>
        <v>4</v>
      </c>
      <c r="C173" s="80" t="str">
        <f>Masonry!B69</f>
        <v>Providing and laying Random rubble masonry in cement mortar (cement : sand = 1:3) including scaffolding, curing, preparation of  mortar etc. complete, masoned height 0-5m,  lead 30m (manual mixing) mortar 35%</v>
      </c>
      <c r="D173" s="79" t="str">
        <f>Masonry!C69</f>
        <v>cum</v>
      </c>
      <c r="E173" s="81">
        <f>Masonry!H84</f>
        <v>14026</v>
      </c>
      <c r="F173" s="81">
        <f t="shared" si="67"/>
        <v>107.89</v>
      </c>
      <c r="G173" s="152">
        <f t="shared" si="68"/>
        <v>0.61</v>
      </c>
      <c r="H173" s="152">
        <f>Masonry!H86</f>
        <v>0.39</v>
      </c>
      <c r="I173" s="81">
        <f t="shared" si="69"/>
        <v>8555.86</v>
      </c>
      <c r="J173" s="81">
        <f t="shared" si="70"/>
        <v>42.077100000000002</v>
      </c>
      <c r="K173" s="81"/>
      <c r="L173" s="81"/>
    </row>
    <row r="174" spans="1:12" ht="47.25" hidden="1">
      <c r="A174" s="79">
        <f t="shared" si="71"/>
        <v>104</v>
      </c>
      <c r="B174" s="79">
        <f>Masonry!A91</f>
        <v>5</v>
      </c>
      <c r="C174" s="80" t="str">
        <f>Masonry!B91</f>
        <v>Providing and laying Random rubble masonry in cement mortar (cement : sand = 1:4) including scaffolding, curing, preparation of  mortar etc. complete, masoned height 0-5m,  lead 30m (manual mixing) mortar 35%</v>
      </c>
      <c r="D174" s="79" t="str">
        <f>Masonry!C91</f>
        <v>cum</v>
      </c>
      <c r="E174" s="81">
        <f>Masonry!H106</f>
        <v>13118</v>
      </c>
      <c r="F174" s="81">
        <f t="shared" si="67"/>
        <v>100.91</v>
      </c>
      <c r="G174" s="152">
        <f t="shared" si="68"/>
        <v>0.65749999999999997</v>
      </c>
      <c r="H174" s="152">
        <f>Masonry!H108</f>
        <v>0.34250000000000003</v>
      </c>
      <c r="I174" s="81">
        <f t="shared" si="69"/>
        <v>8625.0849999999991</v>
      </c>
      <c r="J174" s="81">
        <f t="shared" si="70"/>
        <v>34.561675000000001</v>
      </c>
      <c r="K174" s="81"/>
      <c r="L174" s="81"/>
    </row>
    <row r="175" spans="1:12" ht="47.25" hidden="1">
      <c r="A175" s="79">
        <f t="shared" si="71"/>
        <v>105</v>
      </c>
      <c r="B175" s="79">
        <f>Masonry!A113</f>
        <v>6</v>
      </c>
      <c r="C175" s="218" t="str">
        <f>Masonry!B113</f>
        <v>Providing and laying coursed rubble masonry in cement mortar (cement : sand = 1:3) including dressing, scaffolding, curing and preparation of  mortar etc. complete, masoned height 0-5m,  lead 30m (machine mixing) mortar 30%</v>
      </c>
      <c r="D175" s="219" t="str">
        <f>Masonry!C113</f>
        <v>cum</v>
      </c>
      <c r="E175" s="220">
        <f>Masonry!H128</f>
        <v>13733.5</v>
      </c>
      <c r="F175" s="220">
        <f t="shared" si="67"/>
        <v>105.64</v>
      </c>
      <c r="G175" s="221">
        <f t="shared" si="68"/>
        <v>0.59749999999999992</v>
      </c>
      <c r="H175" s="221">
        <f>Masonry!H130</f>
        <v>0.40250000000000002</v>
      </c>
      <c r="I175" s="220">
        <f t="shared" si="69"/>
        <v>8205.7662499999988</v>
      </c>
      <c r="J175" s="220">
        <f t="shared" si="70"/>
        <v>42.520099999999999</v>
      </c>
      <c r="K175" s="220"/>
      <c r="L175" s="220"/>
    </row>
    <row r="176" spans="1:12" ht="47.25" hidden="1">
      <c r="A176" s="79">
        <f t="shared" si="71"/>
        <v>106</v>
      </c>
      <c r="B176" s="79">
        <f>Masonry!A135</f>
        <v>7</v>
      </c>
      <c r="C176" s="218" t="str">
        <f>Masonry!B135</f>
        <v>Providing and laying coursed rubble masonry in cement mortar (cement : sand = 1:4) including dressing, scaffolding, curing and preparation of  mortar etc. complete, masoned height 0-5m,  lead 30m (machine mixing) mortar 30%</v>
      </c>
      <c r="D176" s="219" t="str">
        <f>Masonry!C135</f>
        <v>cum</v>
      </c>
      <c r="E176" s="220">
        <f>Masonry!H150</f>
        <v>12826</v>
      </c>
      <c r="F176" s="220">
        <f t="shared" si="67"/>
        <v>98.66</v>
      </c>
      <c r="G176" s="221">
        <f t="shared" si="68"/>
        <v>0.64500000000000002</v>
      </c>
      <c r="H176" s="221">
        <f>Masonry!H152</f>
        <v>0.35499999999999998</v>
      </c>
      <c r="I176" s="220">
        <f t="shared" si="69"/>
        <v>8272.77</v>
      </c>
      <c r="J176" s="220">
        <f t="shared" si="70"/>
        <v>35.024299999999997</v>
      </c>
      <c r="K176" s="220"/>
      <c r="L176" s="220"/>
    </row>
    <row r="177" spans="1:12" ht="47.25" hidden="1">
      <c r="A177" s="79">
        <f t="shared" si="71"/>
        <v>107</v>
      </c>
      <c r="B177" s="79">
        <f>Masonry!A157</f>
        <v>8</v>
      </c>
      <c r="C177" s="218" t="str">
        <f>Masonry!B157</f>
        <v>Providing and laying coursed rubble masonry in cement mortar (cement : sand = 1:3) including dressing, scaffolding, curing and preparation of  mortar etc. complete, masoned height 0-5m,  lead 30m (manual mixing) mortar 30%</v>
      </c>
      <c r="D177" s="219" t="str">
        <f>Masonry!C157</f>
        <v>cum</v>
      </c>
      <c r="E177" s="220">
        <f>Masonry!H172</f>
        <v>14677.5</v>
      </c>
      <c r="F177" s="220">
        <f t="shared" si="67"/>
        <v>112.9</v>
      </c>
      <c r="G177" s="221">
        <f t="shared" si="68"/>
        <v>0.64</v>
      </c>
      <c r="H177" s="221">
        <f>Masonry!H174</f>
        <v>0.36</v>
      </c>
      <c r="I177" s="220">
        <f t="shared" si="69"/>
        <v>9393.6</v>
      </c>
      <c r="J177" s="220">
        <f t="shared" si="70"/>
        <v>40.643999999999998</v>
      </c>
      <c r="K177" s="220"/>
      <c r="L177" s="220"/>
    </row>
    <row r="178" spans="1:12" ht="47.25" hidden="1">
      <c r="A178" s="79">
        <f t="shared" si="71"/>
        <v>108</v>
      </c>
      <c r="B178" s="79">
        <f>Masonry!A179</f>
        <v>9</v>
      </c>
      <c r="C178" s="218" t="str">
        <f>Masonry!B179</f>
        <v>Providing and laying coursed rubble masonry in cement mortar (cement : sand = 1:4)  including dressing, scaffolding, curing and preparation of  mortar etc. complete, masoned height 0-5m,  lead 30m (manual mixing) mortar 30%</v>
      </c>
      <c r="D178" s="219" t="str">
        <f>Masonry!C179</f>
        <v>cum</v>
      </c>
      <c r="E178" s="220">
        <f>Masonry!H194</f>
        <v>13769.5</v>
      </c>
      <c r="F178" s="220">
        <f t="shared" si="67"/>
        <v>105.92</v>
      </c>
      <c r="G178" s="221">
        <f t="shared" si="68"/>
        <v>0.6875</v>
      </c>
      <c r="H178" s="221">
        <f>Masonry!H196</f>
        <v>0.3125</v>
      </c>
      <c r="I178" s="220">
        <f t="shared" si="69"/>
        <v>9466.53125</v>
      </c>
      <c r="J178" s="220">
        <f t="shared" si="70"/>
        <v>33.1</v>
      </c>
      <c r="K178" s="220"/>
      <c r="L178" s="220"/>
    </row>
    <row r="179" spans="1:12" ht="31.5" hidden="1">
      <c r="A179" s="79">
        <f t="shared" si="71"/>
        <v>109</v>
      </c>
      <c r="B179" s="79">
        <f>Masonry!A201</f>
        <v>10</v>
      </c>
      <c r="C179" s="80" t="str">
        <f>Masonry!B201</f>
        <v>Providing, Mixing and Pointing cement mortar (cement : sand = 1:2) over mansory works including scaffolding etc.complete as per specification lead 30m (manual mixing)</v>
      </c>
      <c r="D179" s="79" t="str">
        <f>Masonry!C202</f>
        <v>sqm</v>
      </c>
      <c r="E179" s="81">
        <f>Masonry!H214</f>
        <v>391</v>
      </c>
      <c r="F179" s="81">
        <f t="shared" si="67"/>
        <v>3.01</v>
      </c>
      <c r="G179" s="152">
        <f t="shared" si="68"/>
        <v>0.71</v>
      </c>
      <c r="H179" s="152">
        <f>Masonry!H216</f>
        <v>0.28999999999999998</v>
      </c>
      <c r="I179" s="81">
        <f t="shared" si="69"/>
        <v>277.61</v>
      </c>
      <c r="J179" s="81">
        <f t="shared" si="70"/>
        <v>0.8728999999999999</v>
      </c>
      <c r="K179" s="81"/>
      <c r="L179" s="81"/>
    </row>
    <row r="180" spans="1:12" hidden="1">
      <c r="A180" s="79"/>
      <c r="B180" s="79"/>
      <c r="C180" s="80"/>
      <c r="D180" s="79"/>
      <c r="E180" s="81"/>
      <c r="F180" s="81"/>
      <c r="G180" s="152"/>
      <c r="H180" s="152"/>
      <c r="I180" s="81"/>
      <c r="J180" s="81"/>
      <c r="K180" s="81"/>
      <c r="L180" s="81"/>
    </row>
    <row r="181" spans="1:12">
      <c r="A181" s="82" t="s">
        <v>348</v>
      </c>
      <c r="B181" s="82"/>
      <c r="C181" s="83" t="s">
        <v>349</v>
      </c>
      <c r="D181" s="83"/>
      <c r="E181" s="83"/>
      <c r="F181" s="83"/>
      <c r="G181" s="83"/>
      <c r="H181" s="83"/>
      <c r="I181" s="83"/>
      <c r="J181" s="83"/>
      <c r="K181" s="583">
        <v>1</v>
      </c>
      <c r="L181" s="83"/>
    </row>
    <row r="182" spans="1:12" ht="63" hidden="1">
      <c r="A182" s="79">
        <f>A179+1</f>
        <v>110</v>
      </c>
      <c r="B182" s="79">
        <f>Gabion!A4</f>
        <v>1</v>
      </c>
      <c r="C182" s="80" t="str">
        <f>Gabion!B4</f>
        <v>Making gabion boxes (box size 2m x 1m x 1m) including cutting wire &amp; netting etc. Hexagonal mesh size 100 mm x 120 mm, mesh wire-10 SWG, selvedge wire-7 SWG; Gabion construction works including placing in position, tying gabion by tightening wire closing from the top, tying wire-12 SWG; and filling stones in gabion box and including supply of materials all complete</v>
      </c>
      <c r="D182" s="79" t="str">
        <f>Gabion!C5</f>
        <v>cum</v>
      </c>
      <c r="E182" s="81">
        <f>Gabion!H22</f>
        <v>5321.5</v>
      </c>
      <c r="F182" s="81">
        <f>ROUND(E182/exr,2)</f>
        <v>40.93</v>
      </c>
      <c r="G182" s="152">
        <f>1-H182</f>
        <v>0.64250000000000007</v>
      </c>
      <c r="H182" s="152">
        <f>Gabion!H24</f>
        <v>0.35749999999999998</v>
      </c>
      <c r="I182" s="81">
        <f t="shared" ref="I182:J186" si="72">E182*G182</f>
        <v>3419.0637500000003</v>
      </c>
      <c r="J182" s="81">
        <f t="shared" si="72"/>
        <v>14.632474999999999</v>
      </c>
      <c r="K182" s="81"/>
      <c r="L182" s="81"/>
    </row>
    <row r="183" spans="1:12" ht="63">
      <c r="A183" s="79">
        <f>A182+1</f>
        <v>111</v>
      </c>
      <c r="B183" s="79">
        <f>Gabion!A29</f>
        <v>2</v>
      </c>
      <c r="C183" s="80" t="str">
        <f>Gabion!B29</f>
        <v>Making gabion boxes (box size 3m x 1m x 1m) including cutting wire &amp; netting etc. Hexagonal mesh size 100 mm x 120 mm, mesh wire-10 SWG, selvedge wire-7 SWG; Gabion construction works including placing in position, tying gabion by tightening wire closing from the top, tying wire-12 SWG; and filling stones in gabion box, including supply of materials all complete</v>
      </c>
      <c r="D183" s="79" t="str">
        <f>Gabion!C30</f>
        <v>cum</v>
      </c>
      <c r="E183" s="81">
        <f>Gabion!H47</f>
        <v>5206</v>
      </c>
      <c r="F183" s="81">
        <f>ROUND(E183/exr,2)</f>
        <v>40.049999999999997</v>
      </c>
      <c r="G183" s="152">
        <f>1-H183</f>
        <v>0.64999999999999991</v>
      </c>
      <c r="H183" s="152">
        <f>Gabion!H49</f>
        <v>0.35000000000000003</v>
      </c>
      <c r="I183" s="81">
        <f t="shared" si="72"/>
        <v>3383.8999999999996</v>
      </c>
      <c r="J183" s="81">
        <f t="shared" si="72"/>
        <v>14.0175</v>
      </c>
      <c r="K183" s="81">
        <f>E183</f>
        <v>5206</v>
      </c>
      <c r="L183" s="81"/>
    </row>
    <row r="184" spans="1:12" ht="63" hidden="1">
      <c r="A184" s="79">
        <f>A183+1</f>
        <v>112</v>
      </c>
      <c r="B184" s="79">
        <f>Gabion!A54</f>
        <v>3</v>
      </c>
      <c r="C184" s="80" t="str">
        <f>Gabion!B54</f>
        <v>Making gabion boxes (box size 2m x 1m x 0.5m) including cutting wire &amp; netting etc. Hexagonal mesh size 100 mm x 120 mm, mesh wire-10 SWG, selvedge wire-7 SWG; Gabion construction works including placing in position, tying gabion by tightening wire closing from the top, tying wire-12 SWG; and filling stones in gabion box, including supply of materials all complete</v>
      </c>
      <c r="D184" s="79" t="str">
        <f>Gabion!C55</f>
        <v>cum</v>
      </c>
      <c r="E184" s="81">
        <f>Gabion!H72</f>
        <v>5799.5</v>
      </c>
      <c r="F184" s="81">
        <f>ROUND(E184/exr,2)</f>
        <v>44.61</v>
      </c>
      <c r="G184" s="152">
        <f>1-H184</f>
        <v>0.54249999999999998</v>
      </c>
      <c r="H184" s="152">
        <f>Gabion!H74</f>
        <v>0.45750000000000002</v>
      </c>
      <c r="I184" s="81">
        <f t="shared" si="72"/>
        <v>3146.2287499999998</v>
      </c>
      <c r="J184" s="81">
        <f t="shared" si="72"/>
        <v>20.409075000000001</v>
      </c>
      <c r="K184" s="81"/>
      <c r="L184" s="81"/>
    </row>
    <row r="185" spans="1:12" ht="63" hidden="1">
      <c r="A185" s="79">
        <f>A184+1</f>
        <v>113</v>
      </c>
      <c r="B185" s="79">
        <f>Gabion!A79</f>
        <v>4</v>
      </c>
      <c r="C185" s="80" t="str">
        <f>Gabion!B79</f>
        <v>Making gabion boxes (box size 3m x 1m x 0.5m) including cutting wire &amp; netting etc. Hexagonal mesh size 100 mm x 120 mm, mesh wire-10 SWG, selvedge wire-7 SWG; Gabion construction works including placing in position, tying gabion by tightening wire closing from the top, tying wire-12 SWG; and filling stones in gabion box, including supply of materials all complete</v>
      </c>
      <c r="D185" s="79" t="str">
        <f>Gabion!C80</f>
        <v>cum</v>
      </c>
      <c r="E185" s="81">
        <f>Gabion!H97</f>
        <v>6201</v>
      </c>
      <c r="F185" s="81">
        <f>ROUND(E185/exr,2)</f>
        <v>47.7</v>
      </c>
      <c r="G185" s="152">
        <f>1-H185</f>
        <v>0.58749999999999991</v>
      </c>
      <c r="H185" s="152">
        <f>Gabion!H99</f>
        <v>0.41250000000000003</v>
      </c>
      <c r="I185" s="81">
        <f t="shared" si="72"/>
        <v>3643.0874999999996</v>
      </c>
      <c r="J185" s="81">
        <f t="shared" si="72"/>
        <v>19.676250000000003</v>
      </c>
      <c r="K185" s="81"/>
      <c r="L185" s="81"/>
    </row>
    <row r="186" spans="1:12" ht="63" hidden="1">
      <c r="A186" s="79">
        <f>A185+1</f>
        <v>114</v>
      </c>
      <c r="B186" s="79">
        <f>Gabion!A104</f>
        <v>5</v>
      </c>
      <c r="C186" s="80" t="str">
        <f>Gabion!B104</f>
        <v>Making gabion boxes (box size 3m x 1m x 0.3m) including cutting wire &amp; netting etc. Hexagonal mesh size 100 mm x 120 mm, mesh wire-10 SWG, selvedge wire-7 SWG; Gabion construction works including placing in position, tying gabion by tightening wire closing from the top, tying wire-12 SWG; and filling stones in gabion box, including supply of materials all complete</v>
      </c>
      <c r="D186" s="79" t="str">
        <f>Gabion!C105</f>
        <v>cum</v>
      </c>
      <c r="E186" s="81">
        <f>Gabion!H122</f>
        <v>7528.5</v>
      </c>
      <c r="F186" s="81">
        <f>ROUND(E186/exr,2)</f>
        <v>57.91</v>
      </c>
      <c r="G186" s="152">
        <f>1-H186</f>
        <v>0.53249999999999997</v>
      </c>
      <c r="H186" s="152">
        <f>Gabion!H124</f>
        <v>0.46750000000000003</v>
      </c>
      <c r="I186" s="81">
        <f t="shared" si="72"/>
        <v>4008.92625</v>
      </c>
      <c r="J186" s="81">
        <f t="shared" si="72"/>
        <v>27.072925000000001</v>
      </c>
      <c r="K186" s="81"/>
      <c r="L186" s="81"/>
    </row>
    <row r="187" spans="1:12" hidden="1">
      <c r="A187" s="79"/>
      <c r="B187" s="79"/>
      <c r="C187" s="80"/>
      <c r="D187" s="79"/>
      <c r="E187" s="81"/>
      <c r="F187" s="81"/>
      <c r="G187" s="152"/>
      <c r="H187" s="152"/>
      <c r="I187" s="81"/>
      <c r="J187" s="81"/>
      <c r="K187" s="81"/>
      <c r="L187" s="81"/>
    </row>
    <row r="188" spans="1:12">
      <c r="A188" s="82" t="s">
        <v>354</v>
      </c>
      <c r="B188" s="82"/>
      <c r="C188" s="83" t="s">
        <v>355</v>
      </c>
      <c r="D188" s="83"/>
      <c r="E188" s="83"/>
      <c r="F188" s="83"/>
      <c r="G188" s="83"/>
      <c r="H188" s="83"/>
      <c r="I188" s="83"/>
      <c r="J188" s="83"/>
      <c r="K188" s="583">
        <v>1</v>
      </c>
      <c r="L188" s="83"/>
    </row>
    <row r="189" spans="1:12">
      <c r="A189" s="79">
        <f>A186+1</f>
        <v>115</v>
      </c>
      <c r="B189" s="79">
        <f>Grouting!A4</f>
        <v>1</v>
      </c>
      <c r="C189" s="80" t="str">
        <f>Grouting!B4</f>
        <v>Providing and performing cement grouting</v>
      </c>
      <c r="D189" s="79" t="str">
        <f>Grouting!C5</f>
        <v>kg</v>
      </c>
      <c r="E189" s="81">
        <f>Grouting!H17</f>
        <v>56.5</v>
      </c>
      <c r="F189" s="81">
        <f>ROUND(E189/exr,2)</f>
        <v>0.43</v>
      </c>
      <c r="G189" s="152">
        <f>1-H189</f>
        <v>0.11749999999999994</v>
      </c>
      <c r="H189" s="152">
        <f>Grouting!H19</f>
        <v>0.88250000000000006</v>
      </c>
      <c r="I189" s="81">
        <f>E189*G189</f>
        <v>6.6387499999999964</v>
      </c>
      <c r="J189" s="81">
        <f>F189*H189</f>
        <v>0.37947500000000001</v>
      </c>
      <c r="K189" s="81">
        <f>E189</f>
        <v>56.5</v>
      </c>
      <c r="L189" s="81"/>
    </row>
    <row r="190" spans="1:12" hidden="1">
      <c r="A190" s="79"/>
      <c r="B190" s="79"/>
      <c r="C190" s="80"/>
      <c r="D190" s="79"/>
      <c r="E190" s="81"/>
      <c r="F190" s="81"/>
      <c r="G190" s="152"/>
      <c r="H190" s="152"/>
      <c r="I190" s="81"/>
      <c r="J190" s="81"/>
      <c r="K190" s="81"/>
      <c r="L190" s="81"/>
    </row>
    <row r="191" spans="1:12">
      <c r="A191" s="82" t="s">
        <v>370</v>
      </c>
      <c r="B191" s="82"/>
      <c r="C191" s="83" t="s">
        <v>739</v>
      </c>
      <c r="D191" s="83"/>
      <c r="E191" s="83"/>
      <c r="F191" s="83"/>
      <c r="G191" s="83"/>
      <c r="H191" s="83"/>
      <c r="I191" s="83"/>
      <c r="J191" s="83"/>
      <c r="K191" s="583">
        <v>1</v>
      </c>
      <c r="L191" s="83"/>
    </row>
    <row r="192" spans="1:12" ht="31.5" hidden="1">
      <c r="A192" s="79">
        <f>A186+1</f>
        <v>115</v>
      </c>
      <c r="B192" s="79">
        <f>'Protection(Boulder Riprap)'!A4</f>
        <v>1</v>
      </c>
      <c r="C192" s="243" t="str">
        <f>'Protection(Boulder Riprap)'!B4</f>
        <v>Providing &amp; laying Dry-stone pitching in protection work, lead 30m, lift 1.5m with stone size not less than 0.01cum including levelling all complete</v>
      </c>
      <c r="D192" s="79" t="str">
        <f>'Protection(Boulder Riprap)'!C4</f>
        <v>cum</v>
      </c>
      <c r="E192" s="81">
        <f>'Protection(Boulder Riprap)'!H18</f>
        <v>3979</v>
      </c>
      <c r="F192" s="81">
        <f>ROUND(E192/exr,2)</f>
        <v>30.61</v>
      </c>
      <c r="G192" s="152">
        <f>1-H192</f>
        <v>1</v>
      </c>
      <c r="H192" s="152">
        <f>'Protection(Boulder Riprap)'!H20</f>
        <v>0</v>
      </c>
      <c r="I192" s="81">
        <f t="shared" ref="I192:J196" si="73">E192*G192</f>
        <v>3979</v>
      </c>
      <c r="J192" s="81">
        <f t="shared" si="73"/>
        <v>0</v>
      </c>
      <c r="K192" s="81"/>
      <c r="L192" s="81"/>
    </row>
    <row r="193" spans="1:12" ht="31.5">
      <c r="A193" s="79">
        <f>A192+1</f>
        <v>116</v>
      </c>
      <c r="B193" s="79">
        <f>'Protection(Boulder Riprap)'!A25</f>
        <v>2</v>
      </c>
      <c r="C193" s="218" t="str">
        <f>'Protection(Boulder Riprap)'!B25</f>
        <v>Providing &amp; laying boulder packing in protection work, lead 30m, lift 1.5m with stone weight not less than 40 kg including levelling all complete</v>
      </c>
      <c r="D193" s="79" t="str">
        <f>'Protection(Boulder Riprap)'!C25</f>
        <v>cum</v>
      </c>
      <c r="E193" s="81">
        <f>'Protection(Boulder Riprap)'!H39</f>
        <v>4956.5</v>
      </c>
      <c r="F193" s="81">
        <f>ROUND(E193/exr,2)</f>
        <v>38.130000000000003</v>
      </c>
      <c r="G193" s="152">
        <f>1-H193</f>
        <v>1</v>
      </c>
      <c r="H193" s="152">
        <f>'Protection(Boulder Riprap)'!H41</f>
        <v>0</v>
      </c>
      <c r="I193" s="81">
        <f t="shared" si="73"/>
        <v>4956.5</v>
      </c>
      <c r="J193" s="81">
        <f t="shared" si="73"/>
        <v>0</v>
      </c>
      <c r="K193" s="81">
        <f>E193</f>
        <v>4956.5</v>
      </c>
      <c r="L193" s="81"/>
    </row>
    <row r="194" spans="1:12" ht="31.5" hidden="1">
      <c r="A194" s="79">
        <f>A193+1</f>
        <v>117</v>
      </c>
      <c r="B194" s="79">
        <f>'Protection(Boulder Riprap)'!A46</f>
        <v>3</v>
      </c>
      <c r="C194" s="80" t="str">
        <f>'Protection(Boulder Riprap)'!B46</f>
        <v>Laying of dry stone rip rap for scour protection and river training works with stone weighing not less than 75 kg and packed with stones 20-40kg, lead 30m using mechanical means</v>
      </c>
      <c r="D194" s="79" t="str">
        <f>'Protection(Boulder Riprap)'!C46</f>
        <v>cum</v>
      </c>
      <c r="E194" s="81">
        <f>'Protection(Boulder Riprap)'!H60</f>
        <v>3900.5</v>
      </c>
      <c r="F194" s="81">
        <f>ROUND(E194/exr,2)</f>
        <v>30</v>
      </c>
      <c r="G194" s="152">
        <f>1-H194</f>
        <v>0.93500000000000005</v>
      </c>
      <c r="H194" s="152">
        <f>'Protection(Boulder Riprap)'!H62</f>
        <v>6.5000000000000002E-2</v>
      </c>
      <c r="I194" s="81">
        <f t="shared" si="73"/>
        <v>3646.9675000000002</v>
      </c>
      <c r="J194" s="81">
        <f t="shared" si="73"/>
        <v>1.9500000000000002</v>
      </c>
      <c r="K194" s="81"/>
      <c r="L194" s="81"/>
    </row>
    <row r="195" spans="1:12" ht="31.5" hidden="1">
      <c r="A195" s="79">
        <f>A194+1</f>
        <v>118</v>
      </c>
      <c r="B195" s="79">
        <f>'Protection(Boulder Riprap)'!A67</f>
        <v>4</v>
      </c>
      <c r="C195" s="80" t="str">
        <f>'Protection(Boulder Riprap)'!B67</f>
        <v>Laying of dry stone rip rap for scour protection and river training works with stone weighing not less than 75 kg and packed with stones 20-40kg, lead 30m manually</v>
      </c>
      <c r="D195" s="79" t="str">
        <f>'Protection(Boulder Riprap)'!C67</f>
        <v>cum</v>
      </c>
      <c r="E195" s="81">
        <f>'Protection(Boulder Riprap)'!H81</f>
        <v>7038</v>
      </c>
      <c r="F195" s="81">
        <f>ROUND(E195/exr,2)</f>
        <v>54.14</v>
      </c>
      <c r="G195" s="152">
        <f>1-H195</f>
        <v>1</v>
      </c>
      <c r="H195" s="152">
        <f>'Protection(Boulder Riprap)'!H83</f>
        <v>0</v>
      </c>
      <c r="I195" s="81">
        <f t="shared" si="73"/>
        <v>7038</v>
      </c>
      <c r="J195" s="81">
        <f t="shared" si="73"/>
        <v>0</v>
      </c>
      <c r="K195" s="81"/>
      <c r="L195" s="81"/>
    </row>
    <row r="196" spans="1:12" ht="31.5" hidden="1">
      <c r="A196" s="79">
        <f>A195+1</f>
        <v>119</v>
      </c>
      <c r="B196" s="79">
        <f>'Protection(Boulder Riprap)'!A88</f>
        <v>5</v>
      </c>
      <c r="C196" s="80" t="str">
        <f>'Protection(Boulder Riprap)'!B88</f>
        <v>Laying of Rip-rap protection work with boulders weighing 2000 kg minimum and packed with stones 20-40 kg, lead 30m, using crane.</v>
      </c>
      <c r="D196" s="79" t="str">
        <f>'Protection(Boulder Riprap)'!C88</f>
        <v>cum</v>
      </c>
      <c r="E196" s="81">
        <f>'Protection(Boulder Riprap)'!H102</f>
        <v>5367</v>
      </c>
      <c r="F196" s="81">
        <f>ROUND(E196/exr,2)</f>
        <v>41.28</v>
      </c>
      <c r="G196" s="152">
        <f>1-H196</f>
        <v>0.78249999999999997</v>
      </c>
      <c r="H196" s="152">
        <f>'Protection(Boulder Riprap)'!H104</f>
        <v>0.2175</v>
      </c>
      <c r="I196" s="81">
        <f t="shared" si="73"/>
        <v>4199.6774999999998</v>
      </c>
      <c r="J196" s="81">
        <f t="shared" si="73"/>
        <v>8.9784000000000006</v>
      </c>
      <c r="K196" s="81"/>
      <c r="L196" s="81"/>
    </row>
    <row r="197" spans="1:12" hidden="1">
      <c r="A197" s="79"/>
      <c r="B197" s="79"/>
      <c r="C197" s="80"/>
      <c r="D197" s="79"/>
      <c r="E197" s="81"/>
      <c r="F197" s="81"/>
      <c r="G197" s="152"/>
      <c r="H197" s="152"/>
      <c r="I197" s="81"/>
      <c r="J197" s="81"/>
      <c r="K197" s="81"/>
      <c r="L197" s="81"/>
    </row>
    <row r="198" spans="1:12">
      <c r="A198" s="82" t="s">
        <v>373</v>
      </c>
      <c r="B198" s="82"/>
      <c r="C198" s="83" t="s">
        <v>374</v>
      </c>
      <c r="D198" s="83"/>
      <c r="E198" s="83"/>
      <c r="F198" s="83"/>
      <c r="G198" s="83"/>
      <c r="H198" s="83"/>
      <c r="I198" s="83"/>
      <c r="J198" s="83"/>
      <c r="K198" s="583">
        <v>1</v>
      </c>
      <c r="L198" s="83"/>
    </row>
    <row r="199" spans="1:12">
      <c r="A199" s="79">
        <f>A196+1</f>
        <v>120</v>
      </c>
      <c r="B199" s="79">
        <f>Geotextile!A4</f>
        <v>1</v>
      </c>
      <c r="C199" s="218" t="str">
        <f>Geotextile!B4</f>
        <v>Providing, laying and fixing of Geo-textile (filter fabrics), lead 30m</v>
      </c>
      <c r="D199" s="79" t="str">
        <f>Geotextile!C4</f>
        <v>sqm</v>
      </c>
      <c r="E199" s="81">
        <f>Geotextile!H16</f>
        <v>233</v>
      </c>
      <c r="F199" s="81">
        <f>ROUND(E199/exr,2)</f>
        <v>1.79</v>
      </c>
      <c r="G199" s="152">
        <f>1-H199</f>
        <v>6.9999999999999951E-2</v>
      </c>
      <c r="H199" s="152">
        <f>Geotextile!H18</f>
        <v>0.93</v>
      </c>
      <c r="I199" s="81">
        <f>E199*G199</f>
        <v>16.309999999999988</v>
      </c>
      <c r="J199" s="81">
        <f>F199*H199</f>
        <v>1.6647000000000001</v>
      </c>
      <c r="K199" s="81">
        <f>E199</f>
        <v>233</v>
      </c>
      <c r="L199" s="81"/>
    </row>
    <row r="200" spans="1:12" hidden="1">
      <c r="A200" s="79"/>
      <c r="B200" s="79"/>
      <c r="C200" s="80"/>
      <c r="D200" s="79"/>
      <c r="E200" s="81"/>
      <c r="F200" s="81"/>
      <c r="G200" s="152"/>
      <c r="H200" s="152"/>
      <c r="I200" s="81"/>
      <c r="J200" s="81"/>
      <c r="K200" s="81"/>
      <c r="L200" s="81"/>
    </row>
    <row r="201" spans="1:12" hidden="1">
      <c r="A201" s="82" t="s">
        <v>454</v>
      </c>
      <c r="B201" s="82"/>
      <c r="C201" s="83" t="s">
        <v>455</v>
      </c>
      <c r="D201" s="83"/>
      <c r="E201" s="83"/>
      <c r="F201" s="83"/>
      <c r="G201" s="83"/>
      <c r="H201" s="83"/>
      <c r="I201" s="83"/>
      <c r="J201" s="83"/>
      <c r="K201" s="83"/>
      <c r="L201" s="83"/>
    </row>
    <row r="202" spans="1:12" hidden="1">
      <c r="A202" s="79">
        <f>A199+1</f>
        <v>121</v>
      </c>
      <c r="B202" s="79">
        <f>Roofing!A4</f>
        <v>1</v>
      </c>
      <c r="C202" s="80" t="str">
        <f>Roofing!B4</f>
        <v>CGI Sheet roofing works with supply of materials complete</v>
      </c>
      <c r="D202" s="79" t="str">
        <f>Roofing!C5</f>
        <v>sqm</v>
      </c>
      <c r="E202" s="81">
        <f>Roofing!H18</f>
        <v>1896.5</v>
      </c>
      <c r="F202" s="81">
        <f>ROUND(E202/exr,2)</f>
        <v>14.59</v>
      </c>
      <c r="G202" s="152">
        <f>1-H202</f>
        <v>0.27</v>
      </c>
      <c r="H202" s="152">
        <f>Roofing!H20</f>
        <v>0.73</v>
      </c>
      <c r="I202" s="81">
        <f t="shared" ref="I202:J204" si="74">E202*G202</f>
        <v>512.05500000000006</v>
      </c>
      <c r="J202" s="81">
        <f t="shared" si="74"/>
        <v>10.650700000000001</v>
      </c>
      <c r="K202" s="81"/>
      <c r="L202" s="81"/>
    </row>
    <row r="203" spans="1:12" hidden="1">
      <c r="A203" s="79">
        <f>A202+1</f>
        <v>122</v>
      </c>
      <c r="B203" s="79">
        <f>Roofing!A25</f>
        <v>2</v>
      </c>
      <c r="C203" s="80" t="str">
        <f>Roofing!B25</f>
        <v>Fixing and supply of steel tubular truss</v>
      </c>
      <c r="D203" s="79" t="str">
        <f>Roofing!C26</f>
        <v>kg</v>
      </c>
      <c r="E203" s="81">
        <f>Roofing!H39</f>
        <v>315</v>
      </c>
      <c r="F203" s="81">
        <f>ROUND(E203/exr,2)</f>
        <v>2.42</v>
      </c>
      <c r="G203" s="152">
        <f>1-H203</f>
        <v>0.42249999999999999</v>
      </c>
      <c r="H203" s="152">
        <f>Roofing!H41</f>
        <v>0.57750000000000001</v>
      </c>
      <c r="I203" s="81">
        <f t="shared" si="74"/>
        <v>133.08750000000001</v>
      </c>
      <c r="J203" s="81">
        <f t="shared" si="74"/>
        <v>1.3975500000000001</v>
      </c>
      <c r="K203" s="81"/>
      <c r="L203" s="81"/>
    </row>
    <row r="204" spans="1:12" hidden="1">
      <c r="A204" s="79">
        <f>A203+1</f>
        <v>123</v>
      </c>
      <c r="B204" s="79">
        <f>Roofing!A46</f>
        <v>3</v>
      </c>
      <c r="C204" s="80" t="str">
        <f>Roofing!B46</f>
        <v>Fixing and supply of steel tubular pipe for purlins</v>
      </c>
      <c r="D204" s="79" t="str">
        <f>Roofing!C47</f>
        <v>kg</v>
      </c>
      <c r="E204" s="81">
        <f>Roofing!H60</f>
        <v>260.5</v>
      </c>
      <c r="F204" s="81">
        <f>ROUND(E204/exr,2)</f>
        <v>2</v>
      </c>
      <c r="G204" s="152">
        <f>1-H204</f>
        <v>0.33999999999999997</v>
      </c>
      <c r="H204" s="152">
        <f>Roofing!H62</f>
        <v>0.66</v>
      </c>
      <c r="I204" s="81">
        <f t="shared" si="74"/>
        <v>88.57</v>
      </c>
      <c r="J204" s="81">
        <f t="shared" si="74"/>
        <v>1.32</v>
      </c>
      <c r="K204" s="81"/>
      <c r="L204" s="81"/>
    </row>
    <row r="205" spans="1:12" hidden="1">
      <c r="A205" s="79"/>
      <c r="B205" s="79"/>
      <c r="C205" s="80"/>
      <c r="D205" s="79"/>
      <c r="E205" s="81"/>
      <c r="F205" s="81"/>
      <c r="G205" s="152"/>
      <c r="H205" s="152"/>
      <c r="I205" s="81"/>
      <c r="J205" s="81"/>
      <c r="K205" s="81"/>
      <c r="L205" s="81"/>
    </row>
    <row r="206" spans="1:12" hidden="1">
      <c r="A206" s="82" t="s">
        <v>456</v>
      </c>
      <c r="B206" s="82"/>
      <c r="C206" s="83" t="s">
        <v>457</v>
      </c>
      <c r="D206" s="83"/>
      <c r="E206" s="83"/>
      <c r="F206" s="83"/>
      <c r="G206" s="83"/>
      <c r="H206" s="83"/>
      <c r="I206" s="83"/>
      <c r="J206" s="83"/>
      <c r="K206" s="83"/>
      <c r="L206" s="83"/>
    </row>
    <row r="207" spans="1:12" hidden="1">
      <c r="A207" s="79">
        <f>A204+1</f>
        <v>124</v>
      </c>
      <c r="B207" s="79">
        <f>Painting!A4</f>
        <v>1</v>
      </c>
      <c r="C207" s="243" t="str">
        <f>Painting!B4</f>
        <v>Two coats of white washing</v>
      </c>
      <c r="D207" s="79" t="str">
        <f>Painting!C5</f>
        <v>sqm</v>
      </c>
      <c r="E207" s="81">
        <f>Painting!H18</f>
        <v>57.5</v>
      </c>
      <c r="F207" s="81">
        <f>ROUND(E207/exr,2)</f>
        <v>0.44</v>
      </c>
      <c r="G207" s="152">
        <f>1-H207</f>
        <v>0.72</v>
      </c>
      <c r="H207" s="152">
        <f>Painting!H20</f>
        <v>0.28000000000000003</v>
      </c>
      <c r="I207" s="81">
        <f t="shared" ref="I207:J209" si="75">E207*G207</f>
        <v>41.4</v>
      </c>
      <c r="J207" s="81">
        <f t="shared" si="75"/>
        <v>0.12320000000000002</v>
      </c>
      <c r="K207" s="81"/>
      <c r="L207" s="81"/>
    </row>
    <row r="208" spans="1:12" hidden="1">
      <c r="A208" s="79">
        <f>A207+1</f>
        <v>125</v>
      </c>
      <c r="B208" s="79">
        <f>Painting!A25</f>
        <v>2</v>
      </c>
      <c r="C208" s="243" t="str">
        <f>Painting!B25</f>
        <v>First and second coat of cement paint on plasterd surface</v>
      </c>
      <c r="D208" s="79" t="str">
        <f>Painting!C26</f>
        <v>sqm</v>
      </c>
      <c r="E208" s="81">
        <f>Painting!H39</f>
        <v>612</v>
      </c>
      <c r="F208" s="81">
        <f>ROUND(E208/exr,2)</f>
        <v>4.71</v>
      </c>
      <c r="G208" s="152">
        <f>1-H208</f>
        <v>0.91500000000000004</v>
      </c>
      <c r="H208" s="152">
        <f>Painting!H41</f>
        <v>8.5000000000000006E-2</v>
      </c>
      <c r="I208" s="81">
        <f t="shared" si="75"/>
        <v>559.98</v>
      </c>
      <c r="J208" s="81">
        <f t="shared" si="75"/>
        <v>0.40035000000000004</v>
      </c>
      <c r="K208" s="81"/>
      <c r="L208" s="81"/>
    </row>
    <row r="209" spans="1:12" hidden="1">
      <c r="A209" s="79">
        <f>A208+1</f>
        <v>126</v>
      </c>
      <c r="B209" s="79">
        <f>Painting!A46</f>
        <v>3</v>
      </c>
      <c r="C209" s="243" t="str">
        <f>Painting!B46</f>
        <v>Two coats of enamel painting on one coat lining</v>
      </c>
      <c r="D209" s="79" t="str">
        <f>Painting!C47</f>
        <v>sqm</v>
      </c>
      <c r="E209" s="81">
        <f>Painting!H60</f>
        <v>384</v>
      </c>
      <c r="F209" s="81">
        <f>ROUND(E209/exr,2)</f>
        <v>2.95</v>
      </c>
      <c r="G209" s="152">
        <f>1-H209</f>
        <v>0.755</v>
      </c>
      <c r="H209" s="152">
        <f>Painting!H62</f>
        <v>0.245</v>
      </c>
      <c r="I209" s="81">
        <f t="shared" si="75"/>
        <v>289.92</v>
      </c>
      <c r="J209" s="81">
        <f t="shared" si="75"/>
        <v>0.72275</v>
      </c>
      <c r="K209" s="81"/>
      <c r="L209" s="81"/>
    </row>
    <row r="210" spans="1:12" hidden="1">
      <c r="A210" s="79"/>
      <c r="B210" s="79"/>
      <c r="C210" s="80"/>
      <c r="D210" s="79"/>
      <c r="E210" s="81"/>
      <c r="F210" s="81"/>
      <c r="G210" s="152"/>
      <c r="H210" s="152"/>
      <c r="I210" s="81"/>
      <c r="J210" s="81"/>
      <c r="K210" s="81"/>
      <c r="L210" s="81"/>
    </row>
    <row r="211" spans="1:12" hidden="1">
      <c r="A211" s="82" t="s">
        <v>459</v>
      </c>
      <c r="B211" s="82"/>
      <c r="C211" s="83" t="s">
        <v>458</v>
      </c>
      <c r="D211" s="83"/>
      <c r="E211" s="83"/>
      <c r="F211" s="83"/>
      <c r="G211" s="83"/>
      <c r="H211" s="83"/>
      <c r="I211" s="83"/>
      <c r="J211" s="83"/>
      <c r="K211" s="83"/>
      <c r="L211" s="83"/>
    </row>
    <row r="212" spans="1:12" hidden="1">
      <c r="A212" s="79">
        <f>A209+1</f>
        <v>127</v>
      </c>
      <c r="B212" s="79">
        <f>'Doors &amp; Windows'!A4</f>
        <v>1</v>
      </c>
      <c r="C212" s="80" t="str">
        <f>'Doors &amp; Windows'!B4</f>
        <v>Making salwood frame and fixing of door size 900 x 2100 mm (75mmX100mm)</v>
      </c>
      <c r="D212" s="79" t="str">
        <f>'Doors &amp; Windows'!C5</f>
        <v>cum</v>
      </c>
      <c r="E212" s="81">
        <f>'Doors &amp; Windows'!H17</f>
        <v>202616.5</v>
      </c>
      <c r="F212" s="81">
        <f>ROUND(E212/exr,2)</f>
        <v>1558.59</v>
      </c>
      <c r="G212" s="152">
        <f>1-H212</f>
        <v>0.84250000000000003</v>
      </c>
      <c r="H212" s="152">
        <f>'Doors &amp; Windows'!H19</f>
        <v>0.1575</v>
      </c>
      <c r="I212" s="572">
        <f t="shared" ref="I212:J215" si="76">E212*G212</f>
        <v>170704.40125</v>
      </c>
      <c r="J212" s="81">
        <f t="shared" si="76"/>
        <v>245.477925</v>
      </c>
      <c r="K212" s="81"/>
      <c r="L212" s="81"/>
    </row>
    <row r="213" spans="1:12" hidden="1">
      <c r="A213" s="79">
        <f>A212+1</f>
        <v>128</v>
      </c>
      <c r="B213" s="79">
        <f>'Doors &amp; Windows'!A24</f>
        <v>2</v>
      </c>
      <c r="C213" s="80" t="str">
        <f>'Doors &amp; Windows'!B24</f>
        <v>Making Shutter in 38 mm thick salwood frame (shutter size 1.07m x 1.982 m)</v>
      </c>
      <c r="D213" s="79" t="str">
        <f>'Doors &amp; Windows'!C25</f>
        <v>sqm</v>
      </c>
      <c r="E213" s="81">
        <f>'Doors &amp; Windows'!H41</f>
        <v>11197.5</v>
      </c>
      <c r="F213" s="81">
        <f>ROUND(E213/exr,2)</f>
        <v>86.13</v>
      </c>
      <c r="G213" s="152">
        <f>1-H213</f>
        <v>0.97</v>
      </c>
      <c r="H213" s="152">
        <f>'Doors &amp; Windows'!H43</f>
        <v>0.03</v>
      </c>
      <c r="I213" s="572">
        <f t="shared" si="76"/>
        <v>10861.574999999999</v>
      </c>
      <c r="J213" s="81">
        <f t="shared" si="76"/>
        <v>2.5838999999999999</v>
      </c>
      <c r="K213" s="81"/>
      <c r="L213" s="81"/>
    </row>
    <row r="214" spans="1:12" hidden="1">
      <c r="A214" s="79">
        <f>A213+1</f>
        <v>129</v>
      </c>
      <c r="B214" s="79">
        <f>'Doors &amp; Windows'!A48</f>
        <v>3</v>
      </c>
      <c r="C214" s="80" t="str">
        <f>'Doors &amp; Windows'!B48</f>
        <v>Making and fitting 3mm glazed shutter in 38 x 75 mm salwood frame</v>
      </c>
      <c r="D214" s="79" t="str">
        <f>'Doors &amp; Windows'!C49</f>
        <v>sqm</v>
      </c>
      <c r="E214" s="81">
        <f>'Doors &amp; Windows'!H65</f>
        <v>3199</v>
      </c>
      <c r="F214" s="81">
        <f>ROUND(E214/exr,2)</f>
        <v>24.61</v>
      </c>
      <c r="G214" s="152">
        <f>1-H214</f>
        <v>0.77749999999999997</v>
      </c>
      <c r="H214" s="152">
        <f>'Doors &amp; Windows'!H67</f>
        <v>0.2225</v>
      </c>
      <c r="I214" s="572">
        <f t="shared" si="76"/>
        <v>2487.2224999999999</v>
      </c>
      <c r="J214" s="81">
        <f t="shared" si="76"/>
        <v>5.4757249999999997</v>
      </c>
      <c r="K214" s="81"/>
      <c r="L214" s="81"/>
    </row>
    <row r="215" spans="1:12" ht="31.5" hidden="1">
      <c r="A215" s="79">
        <f>A214+1</f>
        <v>130</v>
      </c>
      <c r="B215" s="79">
        <f>'Doors &amp; Windows'!A72</f>
        <v>4</v>
      </c>
      <c r="C215" s="148" t="str">
        <f>'Doors &amp; Windows'!B72</f>
        <v>Making and fitting 24 gauge mosquito proof wire mesh shutter in 38mm thick salwood frame with shutter size 1.07 x 1.982 m</v>
      </c>
      <c r="D215" s="79" t="str">
        <f>'Doors &amp; Windows'!C73</f>
        <v>sqm</v>
      </c>
      <c r="E215" s="81">
        <f>'Doors &amp; Windows'!H89</f>
        <v>8847.5</v>
      </c>
      <c r="F215" s="81">
        <f>ROUND(E215/exr,2)</f>
        <v>68.06</v>
      </c>
      <c r="G215" s="152">
        <f>1-H215</f>
        <v>0.95250000000000001</v>
      </c>
      <c r="H215" s="152">
        <f>'Doors &amp; Windows'!H91</f>
        <v>4.7500000000000001E-2</v>
      </c>
      <c r="I215" s="572">
        <f t="shared" si="76"/>
        <v>8427.2437499999996</v>
      </c>
      <c r="J215" s="81">
        <f t="shared" si="76"/>
        <v>3.23285</v>
      </c>
      <c r="K215" s="81"/>
      <c r="L215" s="81"/>
    </row>
    <row r="216" spans="1:12" hidden="1">
      <c r="A216" s="79"/>
      <c r="B216" s="79"/>
      <c r="C216" s="80"/>
      <c r="D216" s="79"/>
      <c r="E216" s="81"/>
      <c r="F216" s="81"/>
      <c r="G216" s="152"/>
      <c r="H216" s="152"/>
      <c r="I216" s="572"/>
      <c r="J216" s="81"/>
      <c r="K216" s="81"/>
      <c r="L216" s="81"/>
    </row>
    <row r="217" spans="1:12" hidden="1">
      <c r="A217" s="82" t="s">
        <v>535</v>
      </c>
      <c r="B217" s="82"/>
      <c r="C217" s="83" t="s">
        <v>914</v>
      </c>
      <c r="D217" s="83"/>
      <c r="E217" s="83"/>
      <c r="F217" s="83"/>
      <c r="G217" s="83"/>
      <c r="H217" s="83"/>
      <c r="I217" s="83"/>
      <c r="J217" s="83"/>
      <c r="K217" s="83"/>
      <c r="L217" s="83"/>
    </row>
    <row r="218" spans="1:12" hidden="1">
      <c r="A218" s="79">
        <f>A215+1</f>
        <v>131</v>
      </c>
      <c r="B218" s="79">
        <f>'Screeding &amp; Punning'!A4</f>
        <v>1</v>
      </c>
      <c r="C218" s="80" t="str">
        <f>'Screeding &amp; Punning'!B4</f>
        <v>Screeding</v>
      </c>
      <c r="D218" s="79" t="str">
        <f>'Screeding &amp; Punning'!C5</f>
        <v>cum</v>
      </c>
      <c r="E218" s="81">
        <f>'Screeding &amp; Punning'!H17</f>
        <v>19410</v>
      </c>
      <c r="F218" s="81">
        <f>ROUND(E218/exr,2)</f>
        <v>149.31</v>
      </c>
      <c r="G218" s="152">
        <f>1-H218</f>
        <v>0.505</v>
      </c>
      <c r="H218" s="152">
        <f>'Screeding &amp; Punning'!H19</f>
        <v>0.495</v>
      </c>
      <c r="I218" s="572">
        <f>E218*G218</f>
        <v>9802.0499999999993</v>
      </c>
      <c r="J218" s="81">
        <f>F218*H218</f>
        <v>73.908450000000002</v>
      </c>
      <c r="K218" s="81"/>
      <c r="L218" s="81"/>
    </row>
    <row r="219" spans="1:12" hidden="1">
      <c r="A219" s="79">
        <f>A218+1</f>
        <v>132</v>
      </c>
      <c r="B219" s="79">
        <f>'Screeding &amp; Punning'!A24</f>
        <v>2</v>
      </c>
      <c r="C219" s="80" t="str">
        <f>'Screeding &amp; Punning'!B24</f>
        <v>Punning</v>
      </c>
      <c r="D219" s="79" t="str">
        <f>'Screeding &amp; Punning'!C25</f>
        <v>sqm</v>
      </c>
      <c r="E219" s="81">
        <f>'Screeding &amp; Punning'!H37</f>
        <v>378.5</v>
      </c>
      <c r="F219" s="81">
        <f>ROUND(E219/exr,2)</f>
        <v>2.91</v>
      </c>
      <c r="G219" s="152">
        <f>1-H219</f>
        <v>0.61</v>
      </c>
      <c r="H219" s="152">
        <f>'Screeding &amp; Punning'!H39</f>
        <v>0.39</v>
      </c>
      <c r="I219" s="572">
        <f>E219*G219</f>
        <v>230.88499999999999</v>
      </c>
      <c r="J219" s="81">
        <f>F219*H219</f>
        <v>1.1349</v>
      </c>
      <c r="K219" s="81"/>
      <c r="L219" s="81"/>
    </row>
    <row r="220" spans="1:12" hidden="1">
      <c r="A220" s="79"/>
      <c r="B220" s="79"/>
      <c r="C220" s="80"/>
      <c r="D220" s="79"/>
      <c r="E220" s="81"/>
      <c r="F220" s="81"/>
      <c r="G220" s="152"/>
      <c r="H220" s="152"/>
      <c r="I220" s="572"/>
      <c r="J220" s="81"/>
      <c r="K220" s="81"/>
      <c r="L220" s="81"/>
    </row>
    <row r="221" spans="1:12">
      <c r="A221" s="82" t="s">
        <v>541</v>
      </c>
      <c r="B221" s="82"/>
      <c r="C221" s="83" t="s">
        <v>693</v>
      </c>
      <c r="D221" s="83"/>
      <c r="E221" s="83"/>
      <c r="F221" s="83"/>
      <c r="G221" s="83"/>
      <c r="H221" s="83"/>
      <c r="I221" s="83"/>
      <c r="J221" s="83"/>
      <c r="K221" s="583">
        <v>1</v>
      </c>
      <c r="L221" s="83"/>
    </row>
    <row r="222" spans="1:12">
      <c r="A222" s="79">
        <f>A219+1</f>
        <v>133</v>
      </c>
      <c r="B222" s="79">
        <f>Underground!A4</f>
        <v>1</v>
      </c>
      <c r="C222" s="218" t="str">
        <f>Underground!B4</f>
        <v>Tunnel Excavation in Good Rock</v>
      </c>
      <c r="D222" s="79" t="str">
        <f>Underground!C5</f>
        <v>cum</v>
      </c>
      <c r="E222" s="81">
        <f>Underground!H27</f>
        <v>6194</v>
      </c>
      <c r="F222" s="81">
        <f t="shared" ref="F222:F279" si="77">ROUND(E222/exr,2)</f>
        <v>47.65</v>
      </c>
      <c r="G222" s="152">
        <f t="shared" ref="G222:G279" si="78">1-H222</f>
        <v>0.40749999999999997</v>
      </c>
      <c r="H222" s="152">
        <f>Underground!H29</f>
        <v>0.59250000000000003</v>
      </c>
      <c r="I222" s="572">
        <f t="shared" ref="I222:I256" si="79">E222*G222</f>
        <v>2524.0549999999998</v>
      </c>
      <c r="J222" s="81">
        <f t="shared" ref="J222:J256" si="80">F222*H222</f>
        <v>28.232624999999999</v>
      </c>
      <c r="K222" s="81">
        <f>0.85*E222+0.15*E223</f>
        <v>6784.25</v>
      </c>
      <c r="L222" s="81"/>
    </row>
    <row r="223" spans="1:12" hidden="1">
      <c r="A223" s="79">
        <f>A222+1</f>
        <v>134</v>
      </c>
      <c r="B223" s="79">
        <f>Underground!A34</f>
        <v>2</v>
      </c>
      <c r="C223" s="243" t="str">
        <f>Underground!B34</f>
        <v>Tunnel Excavation in Poor to Very Poor Rock</v>
      </c>
      <c r="D223" s="79" t="str">
        <f>Underground!C35</f>
        <v>cum</v>
      </c>
      <c r="E223" s="81">
        <f>Underground!H57</f>
        <v>10129</v>
      </c>
      <c r="F223" s="81">
        <f t="shared" si="77"/>
        <v>77.92</v>
      </c>
      <c r="G223" s="152">
        <f t="shared" si="78"/>
        <v>0.48750000000000004</v>
      </c>
      <c r="H223" s="152">
        <f>Underground!H59</f>
        <v>0.51249999999999996</v>
      </c>
      <c r="I223" s="572">
        <f t="shared" si="79"/>
        <v>4937.8875000000007</v>
      </c>
      <c r="J223" s="81">
        <f t="shared" si="80"/>
        <v>39.933999999999997</v>
      </c>
      <c r="K223" s="81"/>
      <c r="L223" s="81"/>
    </row>
    <row r="224" spans="1:12">
      <c r="A224" s="79">
        <f t="shared" ref="A224:A255" si="81">A223+1</f>
        <v>135</v>
      </c>
      <c r="B224" s="79">
        <f>Underground!A64</f>
        <v>3</v>
      </c>
      <c r="C224" s="218" t="str">
        <f>Underground!B64</f>
        <v>Vertical Shaft excavation</v>
      </c>
      <c r="D224" s="79" t="str">
        <f>Underground!C65</f>
        <v>cum</v>
      </c>
      <c r="E224" s="81">
        <f>Underground!H88</f>
        <v>17033.5</v>
      </c>
      <c r="F224" s="81">
        <f t="shared" si="77"/>
        <v>131.03</v>
      </c>
      <c r="G224" s="152">
        <f t="shared" si="78"/>
        <v>0.40749999999999997</v>
      </c>
      <c r="H224" s="152">
        <f>Underground!H90</f>
        <v>0.59250000000000003</v>
      </c>
      <c r="I224" s="572">
        <f t="shared" si="79"/>
        <v>6941.1512499999999</v>
      </c>
      <c r="J224" s="81">
        <f t="shared" si="80"/>
        <v>77.635275000000007</v>
      </c>
      <c r="K224" s="81">
        <f>E224</f>
        <v>17033.5</v>
      </c>
      <c r="L224" s="81"/>
    </row>
    <row r="225" spans="1:17">
      <c r="A225" s="79">
        <f t="shared" si="81"/>
        <v>136</v>
      </c>
      <c r="B225" s="79">
        <f>Underground!A95</f>
        <v>4</v>
      </c>
      <c r="C225" s="218" t="str">
        <f>Underground!B95</f>
        <v>Surge Shaft excavation</v>
      </c>
      <c r="D225" s="79" t="str">
        <f>Underground!C96</f>
        <v>cum</v>
      </c>
      <c r="E225" s="81">
        <f>Underground!H119</f>
        <v>10839.5</v>
      </c>
      <c r="F225" s="81">
        <f>Underground!H120</f>
        <v>83.380769230769232</v>
      </c>
      <c r="G225" s="152">
        <f t="shared" si="78"/>
        <v>1</v>
      </c>
      <c r="H225" s="152">
        <f>Underground!H121</f>
        <v>0</v>
      </c>
      <c r="I225" s="572">
        <f t="shared" ref="I225" si="82">E225*G225</f>
        <v>10839.5</v>
      </c>
      <c r="J225" s="81">
        <f t="shared" ref="J225" si="83">F225*H225</f>
        <v>0</v>
      </c>
      <c r="K225" s="81">
        <f>E225</f>
        <v>10839.5</v>
      </c>
      <c r="L225" s="81"/>
    </row>
    <row r="226" spans="1:17">
      <c r="A226" s="79">
        <f t="shared" si="81"/>
        <v>137</v>
      </c>
      <c r="B226" s="79">
        <f>Underground!A126</f>
        <v>5</v>
      </c>
      <c r="C226" s="218" t="str">
        <f>Underground!B126</f>
        <v>Shotcrete (Plain)</v>
      </c>
      <c r="D226" s="79" t="str">
        <f>Underground!C127</f>
        <v>cum</v>
      </c>
      <c r="E226" s="81"/>
      <c r="F226" s="81"/>
      <c r="G226" s="152"/>
      <c r="H226" s="152"/>
      <c r="I226" s="572"/>
      <c r="J226" s="81"/>
      <c r="K226" s="81"/>
      <c r="L226" s="81"/>
    </row>
    <row r="227" spans="1:17">
      <c r="A227" s="79"/>
      <c r="B227" s="79"/>
      <c r="C227" s="218" t="s">
        <v>849</v>
      </c>
      <c r="D227" s="79" t="s">
        <v>127</v>
      </c>
      <c r="E227" s="81">
        <f>Underground!H148</f>
        <v>2789.4750000000004</v>
      </c>
      <c r="F227" s="81">
        <f t="shared" si="77"/>
        <v>21.46</v>
      </c>
      <c r="G227" s="152">
        <f t="shared" si="78"/>
        <v>0.38249999999999995</v>
      </c>
      <c r="H227" s="152">
        <f>Underground!H153</f>
        <v>0.61750000000000005</v>
      </c>
      <c r="I227" s="572">
        <f t="shared" si="79"/>
        <v>1066.9741875</v>
      </c>
      <c r="J227" s="81">
        <f t="shared" si="80"/>
        <v>13.251550000000002</v>
      </c>
      <c r="K227" s="81"/>
      <c r="L227" s="81"/>
    </row>
    <row r="228" spans="1:17">
      <c r="A228" s="79"/>
      <c r="B228" s="79"/>
      <c r="C228" s="218" t="s">
        <v>850</v>
      </c>
      <c r="D228" s="79" t="s">
        <v>127</v>
      </c>
      <c r="E228" s="81">
        <f>Underground!H149</f>
        <v>5578.9500000000007</v>
      </c>
      <c r="F228" s="81">
        <f t="shared" si="77"/>
        <v>42.92</v>
      </c>
      <c r="G228" s="152">
        <f t="shared" si="78"/>
        <v>0.38249999999999995</v>
      </c>
      <c r="H228" s="152">
        <f>Underground!H153</f>
        <v>0.61750000000000005</v>
      </c>
      <c r="I228" s="572">
        <f t="shared" si="79"/>
        <v>2133.9483749999999</v>
      </c>
      <c r="J228" s="81">
        <f t="shared" si="80"/>
        <v>26.503100000000003</v>
      </c>
      <c r="K228" s="81"/>
      <c r="L228" s="81"/>
    </row>
    <row r="229" spans="1:17">
      <c r="A229" s="79">
        <f>A226+1</f>
        <v>138</v>
      </c>
      <c r="B229" s="79">
        <f>Underground!A158</f>
        <v>6</v>
      </c>
      <c r="C229" s="243" t="str">
        <f>Underground!B158</f>
        <v>Shotcrete (Steel fibre reinforced)</v>
      </c>
      <c r="D229" s="79" t="str">
        <f>Underground!C159</f>
        <v>cum</v>
      </c>
      <c r="E229" s="81"/>
      <c r="F229" s="81"/>
      <c r="G229" s="152"/>
      <c r="H229" s="152"/>
      <c r="I229" s="572"/>
      <c r="J229" s="81"/>
      <c r="K229" s="81"/>
      <c r="L229" s="81"/>
    </row>
    <row r="230" spans="1:17">
      <c r="A230" s="79"/>
      <c r="B230" s="79"/>
      <c r="C230" s="218" t="s">
        <v>1025</v>
      </c>
      <c r="D230" s="79" t="s">
        <v>127</v>
      </c>
      <c r="E230" s="81">
        <f>Underground!H180</f>
        <v>5831.9000000000005</v>
      </c>
      <c r="F230" s="81">
        <f t="shared" si="77"/>
        <v>44.86</v>
      </c>
      <c r="G230" s="152">
        <f t="shared" si="78"/>
        <v>0.51</v>
      </c>
      <c r="H230" s="152">
        <v>0.49</v>
      </c>
      <c r="I230" s="572">
        <f t="shared" si="79"/>
        <v>2974.2690000000002</v>
      </c>
      <c r="J230" s="81">
        <f t="shared" si="80"/>
        <v>21.981400000000001</v>
      </c>
      <c r="K230" s="81">
        <f>E230</f>
        <v>5831.9000000000005</v>
      </c>
      <c r="L230" s="81"/>
    </row>
    <row r="231" spans="1:17" hidden="1">
      <c r="A231" s="79"/>
      <c r="B231" s="79"/>
      <c r="C231" s="218" t="s">
        <v>851</v>
      </c>
      <c r="D231" s="79" t="s">
        <v>127</v>
      </c>
      <c r="E231" s="81">
        <f>Underground!H181</f>
        <v>8747.85</v>
      </c>
      <c r="F231" s="81">
        <f t="shared" si="77"/>
        <v>67.290000000000006</v>
      </c>
      <c r="G231" s="152">
        <f t="shared" si="78"/>
        <v>0.51</v>
      </c>
      <c r="H231" s="152">
        <v>0.49</v>
      </c>
      <c r="I231" s="572">
        <f t="shared" si="79"/>
        <v>4461.4035000000003</v>
      </c>
      <c r="J231" s="81">
        <f t="shared" si="80"/>
        <v>32.972100000000005</v>
      </c>
      <c r="K231" s="81"/>
      <c r="L231" s="81"/>
    </row>
    <row r="232" spans="1:17" hidden="1">
      <c r="A232" s="79"/>
      <c r="B232" s="79"/>
      <c r="C232" s="218" t="s">
        <v>852</v>
      </c>
      <c r="D232" s="79" t="s">
        <v>127</v>
      </c>
      <c r="E232" s="81">
        <f>Underground!H182</f>
        <v>11663.800000000001</v>
      </c>
      <c r="F232" s="81">
        <f t="shared" si="77"/>
        <v>89.72</v>
      </c>
      <c r="G232" s="152">
        <f t="shared" si="78"/>
        <v>0.32999999999999996</v>
      </c>
      <c r="H232" s="152">
        <f>Underground!H188</f>
        <v>0.67</v>
      </c>
      <c r="I232" s="572">
        <f t="shared" si="79"/>
        <v>3849.0540000000001</v>
      </c>
      <c r="J232" s="81">
        <f t="shared" si="80"/>
        <v>60.112400000000001</v>
      </c>
      <c r="K232" s="81"/>
      <c r="L232" s="81"/>
    </row>
    <row r="233" spans="1:17" ht="16.5" thickBot="1">
      <c r="A233" s="79">
        <f>A229+1</f>
        <v>139</v>
      </c>
      <c r="B233" s="79">
        <f>Underground!A193</f>
        <v>7</v>
      </c>
      <c r="C233" s="218" t="str">
        <f>Underground!B193</f>
        <v>Shotcrete (Plain) - For Drop Shaft</v>
      </c>
      <c r="D233" s="79" t="str">
        <f>Underground!C194</f>
        <v>cum</v>
      </c>
      <c r="E233" s="81">
        <f>Underground!H215</f>
        <v>69066.5</v>
      </c>
      <c r="F233" s="81">
        <f t="shared" si="77"/>
        <v>531.28</v>
      </c>
      <c r="G233" s="152">
        <f t="shared" si="78"/>
        <v>0.3125</v>
      </c>
      <c r="H233" s="152">
        <f>Underground!H218</f>
        <v>0.6875</v>
      </c>
      <c r="I233" s="572">
        <f t="shared" si="79"/>
        <v>21583.28125</v>
      </c>
      <c r="J233" s="81">
        <f t="shared" si="80"/>
        <v>365.255</v>
      </c>
      <c r="K233" s="81">
        <f>E233</f>
        <v>69066.5</v>
      </c>
      <c r="L233" s="81"/>
      <c r="N233" s="224" t="s">
        <v>724</v>
      </c>
      <c r="O233" s="224" t="s">
        <v>2</v>
      </c>
      <c r="P233" s="224" t="s">
        <v>725</v>
      </c>
      <c r="Q233" s="85" t="s">
        <v>726</v>
      </c>
    </row>
    <row r="234" spans="1:17" ht="32.25" thickBot="1">
      <c r="A234" s="79">
        <f t="shared" si="81"/>
        <v>140</v>
      </c>
      <c r="B234" s="79">
        <f>Underground!A223</f>
        <v>8</v>
      </c>
      <c r="C234" s="80" t="str">
        <f>Underground!B223</f>
        <v>Shotcrete (Steel fibre reinforced) - For Drop Shaft</v>
      </c>
      <c r="D234" s="79" t="str">
        <f>Underground!C224</f>
        <v>cum</v>
      </c>
      <c r="E234" s="81">
        <f>Underground!H245</f>
        <v>85463</v>
      </c>
      <c r="F234" s="81">
        <f t="shared" si="77"/>
        <v>657.41</v>
      </c>
      <c r="G234" s="152">
        <f t="shared" si="78"/>
        <v>0.29999999999999993</v>
      </c>
      <c r="H234" s="152">
        <f>Underground!H248</f>
        <v>0.70000000000000007</v>
      </c>
      <c r="I234" s="572">
        <f t="shared" si="79"/>
        <v>25638.899999999994</v>
      </c>
      <c r="J234" s="81">
        <f t="shared" si="80"/>
        <v>460.18700000000001</v>
      </c>
      <c r="K234" s="81"/>
      <c r="L234" s="81"/>
      <c r="N234" s="225" t="s">
        <v>510</v>
      </c>
      <c r="O234" s="226" t="s">
        <v>11</v>
      </c>
      <c r="P234" s="227">
        <v>33353.5</v>
      </c>
      <c r="Q234" s="222">
        <v>19280.22</v>
      </c>
    </row>
    <row r="235" spans="1:17" ht="48" thickBot="1">
      <c r="A235" s="79">
        <f t="shared" si="81"/>
        <v>141</v>
      </c>
      <c r="B235" s="79">
        <f>Underground!A253</f>
        <v>9</v>
      </c>
      <c r="C235" s="218" t="str">
        <f>Underground!B253</f>
        <v>Wiremesh for shotcrete</v>
      </c>
      <c r="D235" s="79" t="str">
        <f>Underground!C254</f>
        <v>sqm</v>
      </c>
      <c r="E235" s="81">
        <f>Underground!H270</f>
        <v>668.5</v>
      </c>
      <c r="F235" s="81">
        <f t="shared" si="77"/>
        <v>5.14</v>
      </c>
      <c r="G235" s="152">
        <f t="shared" si="78"/>
        <v>0.18999999999999995</v>
      </c>
      <c r="H235" s="152">
        <f>Underground!H272</f>
        <v>0.81</v>
      </c>
      <c r="I235" s="572">
        <f t="shared" si="79"/>
        <v>127.01499999999996</v>
      </c>
      <c r="J235" s="81">
        <f t="shared" si="80"/>
        <v>4.1634000000000002</v>
      </c>
      <c r="K235" s="81">
        <f>E235</f>
        <v>668.5</v>
      </c>
      <c r="L235" s="81"/>
      <c r="N235" s="228" t="s">
        <v>519</v>
      </c>
      <c r="O235" s="229" t="s">
        <v>11</v>
      </c>
      <c r="P235" s="230">
        <v>39966</v>
      </c>
      <c r="Q235" s="223">
        <v>23308.9</v>
      </c>
    </row>
    <row r="236" spans="1:17">
      <c r="A236" s="79">
        <f t="shared" si="81"/>
        <v>142</v>
      </c>
      <c r="B236" s="79">
        <f>Underground!A277</f>
        <v>10</v>
      </c>
      <c r="C236" s="80" t="str">
        <f>CONCATENATE("Grouted ",Underground!B277)</f>
        <v>Grouted Rockbolts (20Φ)   Length = 1.0m</v>
      </c>
      <c r="D236" s="79" t="str">
        <f>Underground!C277</f>
        <v>nos.</v>
      </c>
      <c r="E236" s="81">
        <f>Underground!H295</f>
        <v>3135.5</v>
      </c>
      <c r="F236" s="81">
        <f t="shared" si="77"/>
        <v>24.12</v>
      </c>
      <c r="G236" s="152">
        <f t="shared" si="78"/>
        <v>5.4999999999999938E-2</v>
      </c>
      <c r="H236" s="152">
        <f>Underground!H297</f>
        <v>0.94500000000000006</v>
      </c>
      <c r="I236" s="572">
        <f t="shared" si="79"/>
        <v>172.45249999999982</v>
      </c>
      <c r="J236" s="81">
        <f t="shared" si="80"/>
        <v>22.793400000000002</v>
      </c>
      <c r="K236" s="81"/>
      <c r="L236" s="81"/>
    </row>
    <row r="237" spans="1:17">
      <c r="A237" s="79">
        <f t="shared" si="81"/>
        <v>143</v>
      </c>
      <c r="B237" s="79">
        <f>Underground!A302</f>
        <v>11</v>
      </c>
      <c r="C237" s="80" t="str">
        <f>CONCATENATE("Grouted ",Underground!B302)</f>
        <v>Grouted Rockbolts (20Φ)   Length = 2.2m</v>
      </c>
      <c r="D237" s="79" t="str">
        <f>Underground!C302</f>
        <v>nos.</v>
      </c>
      <c r="E237" s="81">
        <f>Underground!H320</f>
        <v>4557</v>
      </c>
      <c r="F237" s="81">
        <f t="shared" si="77"/>
        <v>35.049999999999997</v>
      </c>
      <c r="G237" s="152">
        <f t="shared" si="78"/>
        <v>7.2500000000000009E-2</v>
      </c>
      <c r="H237" s="152">
        <f>Underground!H322</f>
        <v>0.92749999999999999</v>
      </c>
      <c r="I237" s="572">
        <f t="shared" si="79"/>
        <v>330.38250000000005</v>
      </c>
      <c r="J237" s="81">
        <f t="shared" si="80"/>
        <v>32.508874999999996</v>
      </c>
      <c r="K237" s="81"/>
      <c r="L237" s="81"/>
    </row>
    <row r="238" spans="1:17">
      <c r="A238" s="79">
        <f>A237+1</f>
        <v>144</v>
      </c>
      <c r="B238" s="79">
        <f>Underground!A327</f>
        <v>12</v>
      </c>
      <c r="C238" s="80" t="str">
        <f>CONCATENATE("Grouted ",Underground!B327)</f>
        <v>Grouted Rockbolts (20Φ)   Length = 3.0m</v>
      </c>
      <c r="D238" s="79" t="str">
        <f>Underground!C327</f>
        <v>nos.</v>
      </c>
      <c r="E238" s="81">
        <f>Underground!H345</f>
        <v>5832</v>
      </c>
      <c r="F238" s="81">
        <f t="shared" si="77"/>
        <v>44.86</v>
      </c>
      <c r="G238" s="152">
        <f t="shared" si="78"/>
        <v>8.4999999999999964E-2</v>
      </c>
      <c r="H238" s="152">
        <f>Underground!H347</f>
        <v>0.91500000000000004</v>
      </c>
      <c r="I238" s="572">
        <f t="shared" si="79"/>
        <v>495.7199999999998</v>
      </c>
      <c r="J238" s="81">
        <f t="shared" si="80"/>
        <v>41.046900000000001</v>
      </c>
      <c r="K238" s="81"/>
      <c r="L238" s="81"/>
    </row>
    <row r="239" spans="1:17">
      <c r="A239" s="79">
        <f t="shared" si="81"/>
        <v>145</v>
      </c>
      <c r="B239" s="79">
        <f>Underground!A352</f>
        <v>13</v>
      </c>
      <c r="C239" s="80" t="str">
        <f>CONCATENATE("Grouted ",Underground!B352)</f>
        <v>Grouted Rockbolts (25Φ)   Length = 1.0m</v>
      </c>
      <c r="D239" s="79" t="str">
        <f>Underground!C352</f>
        <v>nos.</v>
      </c>
      <c r="E239" s="81">
        <f>Underground!H370</f>
        <v>3188.5</v>
      </c>
      <c r="F239" s="81">
        <f>ROUND(E239/exr,2)</f>
        <v>24.53</v>
      </c>
      <c r="G239" s="152">
        <f>1-H239</f>
        <v>4.9999999999999933E-2</v>
      </c>
      <c r="H239" s="152">
        <f>Underground!H372</f>
        <v>0.95000000000000007</v>
      </c>
      <c r="I239" s="572">
        <f>E239*G239</f>
        <v>159.42499999999978</v>
      </c>
      <c r="J239" s="81">
        <f>F239*H239</f>
        <v>23.303500000000003</v>
      </c>
      <c r="K239" s="81"/>
      <c r="L239" s="81"/>
    </row>
    <row r="240" spans="1:17">
      <c r="A240" s="79">
        <f t="shared" si="81"/>
        <v>146</v>
      </c>
      <c r="B240" s="79">
        <f>Underground!A377</f>
        <v>14</v>
      </c>
      <c r="C240" s="80" t="str">
        <f>CONCATENATE("Grouted ",Underground!B377)</f>
        <v>Grouted Rockbolts (25Φ)   Length = 1.5m</v>
      </c>
      <c r="D240" s="79" t="str">
        <f>Underground!C377</f>
        <v>nos.</v>
      </c>
      <c r="E240" s="81">
        <f>Underground!H395</f>
        <v>3883.5</v>
      </c>
      <c r="F240" s="81">
        <f>ROUND(E240/exr,2)</f>
        <v>29.87</v>
      </c>
      <c r="G240" s="152">
        <f>1-H240</f>
        <v>6.25E-2</v>
      </c>
      <c r="H240" s="152">
        <f>Underground!H397</f>
        <v>0.9375</v>
      </c>
      <c r="I240" s="572">
        <f>E240*G240</f>
        <v>242.71875</v>
      </c>
      <c r="J240" s="81">
        <f>F240*H240</f>
        <v>28.003125000000001</v>
      </c>
      <c r="K240" s="81"/>
      <c r="L240" s="81"/>
    </row>
    <row r="241" spans="1:12">
      <c r="A241" s="79">
        <f t="shared" si="81"/>
        <v>147</v>
      </c>
      <c r="B241" s="79">
        <f>Underground!A402</f>
        <v>15</v>
      </c>
      <c r="C241" s="218" t="str">
        <f>CONCATENATE("Grouted ",Underground!B402)</f>
        <v>Grouted Rockbolts (25Φ)   Length = 2.0m</v>
      </c>
      <c r="D241" s="79" t="str">
        <f>Underground!C402</f>
        <v>nos.</v>
      </c>
      <c r="E241" s="81">
        <f>Underground!H420</f>
        <v>3827</v>
      </c>
      <c r="F241" s="81">
        <f t="shared" si="77"/>
        <v>29.44</v>
      </c>
      <c r="G241" s="152">
        <f t="shared" si="78"/>
        <v>8.4999999999999964E-2</v>
      </c>
      <c r="H241" s="152">
        <f>Underground!H422</f>
        <v>0.91500000000000004</v>
      </c>
      <c r="I241" s="572">
        <f t="shared" si="79"/>
        <v>325.29499999999985</v>
      </c>
      <c r="J241" s="81">
        <f t="shared" si="80"/>
        <v>26.937600000000003</v>
      </c>
      <c r="K241" s="81">
        <f>E241</f>
        <v>3827</v>
      </c>
      <c r="L241" s="81"/>
    </row>
    <row r="242" spans="1:12">
      <c r="A242" s="79">
        <f t="shared" si="81"/>
        <v>148</v>
      </c>
      <c r="B242" s="79">
        <f>Underground!A427</f>
        <v>16</v>
      </c>
      <c r="C242" s="80" t="str">
        <f>CONCATENATE("Grouted ",Underground!B427)</f>
        <v>Grouted Rockbolts (25Φ)   Length = 2.5m</v>
      </c>
      <c r="D242" s="79" t="str">
        <f>Underground!C427</f>
        <v>nos.</v>
      </c>
      <c r="E242" s="81">
        <f>Underground!H445</f>
        <v>5284.5</v>
      </c>
      <c r="F242" s="81">
        <f t="shared" si="77"/>
        <v>40.65</v>
      </c>
      <c r="G242" s="152">
        <f t="shared" si="78"/>
        <v>7.7500000000000013E-2</v>
      </c>
      <c r="H242" s="152">
        <f>Underground!H447</f>
        <v>0.92249999999999999</v>
      </c>
      <c r="I242" s="572">
        <f t="shared" si="79"/>
        <v>409.5487500000001</v>
      </c>
      <c r="J242" s="81">
        <f t="shared" si="80"/>
        <v>37.499624999999995</v>
      </c>
      <c r="K242" s="81"/>
      <c r="L242" s="81"/>
    </row>
    <row r="243" spans="1:12">
      <c r="A243" s="79">
        <f t="shared" si="81"/>
        <v>149</v>
      </c>
      <c r="B243" s="79">
        <f>Underground!A452</f>
        <v>17</v>
      </c>
      <c r="C243" s="218" t="str">
        <f>CONCATENATE("Grouted ",Underground!B452)</f>
        <v>Grouted Rockbolts (25Φ)   Length = 3.0m</v>
      </c>
      <c r="D243" s="79" t="str">
        <f>Underground!C452</f>
        <v>nos.</v>
      </c>
      <c r="E243" s="81">
        <f>Underground!H470</f>
        <v>4891.5</v>
      </c>
      <c r="F243" s="81">
        <f t="shared" si="77"/>
        <v>37.630000000000003</v>
      </c>
      <c r="G243" s="152">
        <f t="shared" si="78"/>
        <v>9.9999999999999978E-2</v>
      </c>
      <c r="H243" s="152">
        <f>Underground!H472</f>
        <v>0.9</v>
      </c>
      <c r="I243" s="572">
        <f t="shared" si="79"/>
        <v>489.14999999999986</v>
      </c>
      <c r="J243" s="81">
        <f t="shared" si="80"/>
        <v>33.867000000000004</v>
      </c>
      <c r="K243" s="81">
        <f>E243</f>
        <v>4891.5</v>
      </c>
      <c r="L243" s="81"/>
    </row>
    <row r="244" spans="1:12">
      <c r="A244" s="79">
        <f t="shared" si="81"/>
        <v>150</v>
      </c>
      <c r="B244" s="79">
        <f>Underground!A477</f>
        <v>18</v>
      </c>
      <c r="C244" s="218" t="str">
        <f>CONCATENATE("Grouted ",Underground!B477)</f>
        <v>Grouted Rockbolts (25Φ)   Length = 4.0m</v>
      </c>
      <c r="D244" s="79" t="str">
        <f>Underground!C477</f>
        <v>nos.</v>
      </c>
      <c r="E244" s="81">
        <f>Underground!H495</f>
        <v>6134</v>
      </c>
      <c r="F244" s="81">
        <f t="shared" si="77"/>
        <v>47.18</v>
      </c>
      <c r="G244" s="152">
        <f t="shared" si="78"/>
        <v>0.10749999999999993</v>
      </c>
      <c r="H244" s="152">
        <f>Underground!H497</f>
        <v>0.89250000000000007</v>
      </c>
      <c r="I244" s="572">
        <f t="shared" si="79"/>
        <v>659.40499999999952</v>
      </c>
      <c r="J244" s="81">
        <f t="shared" si="80"/>
        <v>42.108150000000002</v>
      </c>
      <c r="K244" s="81">
        <f>E244</f>
        <v>6134</v>
      </c>
      <c r="L244" s="81"/>
    </row>
    <row r="245" spans="1:12" hidden="1">
      <c r="A245" s="79">
        <f t="shared" si="81"/>
        <v>151</v>
      </c>
      <c r="B245" s="79">
        <f>Underground!A502</f>
        <v>19</v>
      </c>
      <c r="C245" s="80" t="str">
        <f>CONCATENATE("Grouted ",Underground!B502)</f>
        <v>Grouted Rockbolts (25Φ)   Length = 5.0m</v>
      </c>
      <c r="D245" s="79" t="str">
        <f>Underground!C502</f>
        <v>nos.</v>
      </c>
      <c r="E245" s="81">
        <f>Underground!H520</f>
        <v>8881.5</v>
      </c>
      <c r="F245" s="81">
        <f t="shared" si="77"/>
        <v>68.319999999999993</v>
      </c>
      <c r="G245" s="152">
        <f t="shared" si="78"/>
        <v>9.2500000000000027E-2</v>
      </c>
      <c r="H245" s="152">
        <f>Underground!H522</f>
        <v>0.90749999999999997</v>
      </c>
      <c r="I245" s="572">
        <f t="shared" si="79"/>
        <v>821.53875000000028</v>
      </c>
      <c r="J245" s="81">
        <f t="shared" si="80"/>
        <v>62.000399999999992</v>
      </c>
      <c r="K245" s="81"/>
      <c r="L245" s="81"/>
    </row>
    <row r="246" spans="1:12" hidden="1">
      <c r="A246" s="79">
        <f t="shared" si="81"/>
        <v>152</v>
      </c>
      <c r="B246" s="79">
        <f>Underground!A527</f>
        <v>20</v>
      </c>
      <c r="C246" s="80" t="str">
        <f>CONCATENATE("Grouted ",Underground!B527)</f>
        <v>Grouted Rockbolts (25Φ)   Length = 6.0m</v>
      </c>
      <c r="D246" s="79" t="str">
        <f>Underground!C527</f>
        <v>nos.</v>
      </c>
      <c r="E246" s="81">
        <f>Underground!H545</f>
        <v>10282.5</v>
      </c>
      <c r="F246" s="81">
        <f t="shared" si="77"/>
        <v>79.099999999999994</v>
      </c>
      <c r="G246" s="152">
        <f t="shared" si="78"/>
        <v>9.4999999999999973E-2</v>
      </c>
      <c r="H246" s="152">
        <f>Underground!H547</f>
        <v>0.90500000000000003</v>
      </c>
      <c r="I246" s="572">
        <f t="shared" si="79"/>
        <v>976.83749999999975</v>
      </c>
      <c r="J246" s="81">
        <f t="shared" si="80"/>
        <v>71.585499999999996</v>
      </c>
      <c r="K246" s="81"/>
      <c r="L246" s="81"/>
    </row>
    <row r="247" spans="1:12" hidden="1">
      <c r="A247" s="79">
        <f t="shared" si="81"/>
        <v>153</v>
      </c>
      <c r="B247" s="79">
        <f>Underground!A552</f>
        <v>21</v>
      </c>
      <c r="C247" s="80" t="str">
        <f>CONCATENATE("Grouted ",Underground!B552)</f>
        <v>Grouted Rockbolts (32Φ)   Length = 1.0m</v>
      </c>
      <c r="D247" s="79" t="str">
        <f>Underground!C552</f>
        <v>nos.</v>
      </c>
      <c r="E247" s="81">
        <f>Underground!H570</f>
        <v>3717.5</v>
      </c>
      <c r="F247" s="81">
        <f t="shared" si="77"/>
        <v>28.6</v>
      </c>
      <c r="G247" s="152">
        <f t="shared" si="78"/>
        <v>4.2499999999999982E-2</v>
      </c>
      <c r="H247" s="152">
        <f>Underground!H572</f>
        <v>0.95750000000000002</v>
      </c>
      <c r="I247" s="572">
        <f t="shared" ref="I247:I254" si="84">E247*G247</f>
        <v>157.99374999999992</v>
      </c>
      <c r="J247" s="81">
        <f t="shared" ref="J247:J254" si="85">F247*H247</f>
        <v>27.384500000000003</v>
      </c>
      <c r="K247" s="81"/>
      <c r="L247" s="81"/>
    </row>
    <row r="248" spans="1:12" hidden="1">
      <c r="A248" s="79">
        <f t="shared" si="81"/>
        <v>154</v>
      </c>
      <c r="B248" s="79">
        <f>Underground!A577</f>
        <v>22</v>
      </c>
      <c r="C248" s="80" t="str">
        <f>CONCATENATE("Grouted ",Underground!B577)</f>
        <v>Grouted Rockbolts (32Φ)   Length = 1.5m</v>
      </c>
      <c r="D248" s="79" t="str">
        <f>Underground!C577</f>
        <v>nos.</v>
      </c>
      <c r="E248" s="81">
        <f>Underground!H595</f>
        <v>4676.5</v>
      </c>
      <c r="F248" s="81">
        <f t="shared" si="77"/>
        <v>35.97</v>
      </c>
      <c r="G248" s="152">
        <f t="shared" si="78"/>
        <v>5.2499999999999991E-2</v>
      </c>
      <c r="H248" s="152">
        <f>Underground!H597</f>
        <v>0.94750000000000001</v>
      </c>
      <c r="I248" s="572">
        <f t="shared" si="84"/>
        <v>245.51624999999996</v>
      </c>
      <c r="J248" s="81">
        <f t="shared" si="85"/>
        <v>34.081575000000001</v>
      </c>
      <c r="K248" s="81"/>
      <c r="L248" s="81"/>
    </row>
    <row r="249" spans="1:12" hidden="1">
      <c r="A249" s="79">
        <f t="shared" si="81"/>
        <v>155</v>
      </c>
      <c r="B249" s="79">
        <f>Underground!A602</f>
        <v>23</v>
      </c>
      <c r="C249" s="80" t="str">
        <f>CONCATENATE("Grouted ",Underground!B602)</f>
        <v>Grouted Rockbolts (32Φ)   Length = 2.0m</v>
      </c>
      <c r="D249" s="79" t="str">
        <f>Underground!C602</f>
        <v>nos.</v>
      </c>
      <c r="E249" s="81">
        <f>Underground!H620</f>
        <v>5647.5</v>
      </c>
      <c r="F249" s="81">
        <f t="shared" si="77"/>
        <v>43.44</v>
      </c>
      <c r="G249" s="152">
        <f t="shared" si="78"/>
        <v>5.7499999999999996E-2</v>
      </c>
      <c r="H249" s="152">
        <f>Underground!H622</f>
        <v>0.9425</v>
      </c>
      <c r="I249" s="572">
        <f t="shared" si="84"/>
        <v>324.73124999999999</v>
      </c>
      <c r="J249" s="81">
        <f t="shared" si="85"/>
        <v>40.9422</v>
      </c>
      <c r="K249" s="81"/>
      <c r="L249" s="81"/>
    </row>
    <row r="250" spans="1:12" hidden="1">
      <c r="A250" s="79">
        <f t="shared" si="81"/>
        <v>156</v>
      </c>
      <c r="B250" s="79">
        <f>Underground!A627</f>
        <v>24</v>
      </c>
      <c r="C250" s="80" t="str">
        <f>CONCATENATE("Grouted ",Underground!B627)</f>
        <v>Grouted Rockbolts (32Φ)   Length = 2.5m</v>
      </c>
      <c r="D250" s="79" t="str">
        <f>Underground!C627</f>
        <v>nos.</v>
      </c>
      <c r="E250" s="81">
        <f>Underground!H645</f>
        <v>6606.5</v>
      </c>
      <c r="F250" s="81">
        <f t="shared" si="77"/>
        <v>50.82</v>
      </c>
      <c r="G250" s="152">
        <f t="shared" si="78"/>
        <v>6.25E-2</v>
      </c>
      <c r="H250" s="152">
        <f>Underground!H647</f>
        <v>0.9375</v>
      </c>
      <c r="I250" s="572">
        <f t="shared" si="84"/>
        <v>412.90625</v>
      </c>
      <c r="J250" s="81">
        <f t="shared" si="85"/>
        <v>47.643749999999997</v>
      </c>
      <c r="K250" s="81"/>
      <c r="L250" s="81"/>
    </row>
    <row r="251" spans="1:12" hidden="1">
      <c r="A251" s="79">
        <f t="shared" si="81"/>
        <v>157</v>
      </c>
      <c r="B251" s="79">
        <f>Underground!A652</f>
        <v>25</v>
      </c>
      <c r="C251" s="80" t="str">
        <f>CONCATENATE("Grouted ",Underground!B652)</f>
        <v>Grouted Rockbolts (32Φ)   Length = 3.0m</v>
      </c>
      <c r="D251" s="79" t="str">
        <f>Underground!C652</f>
        <v>nos.</v>
      </c>
      <c r="E251" s="81">
        <f>Underground!H670</f>
        <v>7615</v>
      </c>
      <c r="F251" s="81">
        <f t="shared" si="77"/>
        <v>58.58</v>
      </c>
      <c r="G251" s="152">
        <f t="shared" si="78"/>
        <v>6.4999999999999947E-2</v>
      </c>
      <c r="H251" s="152">
        <f>Underground!H672</f>
        <v>0.93500000000000005</v>
      </c>
      <c r="I251" s="572">
        <f t="shared" si="84"/>
        <v>494.97499999999957</v>
      </c>
      <c r="J251" s="81">
        <f t="shared" si="85"/>
        <v>54.772300000000001</v>
      </c>
      <c r="K251" s="81"/>
      <c r="L251" s="81"/>
    </row>
    <row r="252" spans="1:12" hidden="1">
      <c r="A252" s="79">
        <f t="shared" si="81"/>
        <v>158</v>
      </c>
      <c r="B252" s="79">
        <f>Underground!A677</f>
        <v>26</v>
      </c>
      <c r="C252" s="80" t="str">
        <f>CONCATENATE("Grouted ",Underground!B677)</f>
        <v>Grouted Rockbolts (32Φ)   Length = 4.0m</v>
      </c>
      <c r="D252" s="79" t="str">
        <f>Underground!C677</f>
        <v>nos.</v>
      </c>
      <c r="E252" s="81">
        <f>Underground!H695</f>
        <v>9545</v>
      </c>
      <c r="F252" s="81">
        <f t="shared" si="77"/>
        <v>73.42</v>
      </c>
      <c r="G252" s="152">
        <f t="shared" si="78"/>
        <v>6.7500000000000004E-2</v>
      </c>
      <c r="H252" s="152">
        <f>Underground!H697</f>
        <v>0.9325</v>
      </c>
      <c r="I252" s="572">
        <f t="shared" si="84"/>
        <v>644.28750000000002</v>
      </c>
      <c r="J252" s="81">
        <f t="shared" si="85"/>
        <v>68.464150000000004</v>
      </c>
      <c r="K252" s="81"/>
      <c r="L252" s="81"/>
    </row>
    <row r="253" spans="1:12" hidden="1">
      <c r="A253" s="79">
        <f t="shared" si="81"/>
        <v>159</v>
      </c>
      <c r="B253" s="79">
        <f>Underground!A702</f>
        <v>27</v>
      </c>
      <c r="C253" s="80" t="str">
        <f>CONCATENATE("Grouted ",Underground!B702)</f>
        <v>Grouted Rockbolts (32Φ)   Length = 5.0m</v>
      </c>
      <c r="D253" s="79" t="str">
        <f>Underground!C702</f>
        <v>nos.</v>
      </c>
      <c r="E253" s="81">
        <f>Underground!H720</f>
        <v>11525.5</v>
      </c>
      <c r="F253" s="81">
        <f t="shared" si="77"/>
        <v>88.66</v>
      </c>
      <c r="G253" s="152">
        <f t="shared" si="78"/>
        <v>6.9999999999999951E-2</v>
      </c>
      <c r="H253" s="152">
        <f>Underground!H722</f>
        <v>0.93</v>
      </c>
      <c r="I253" s="572">
        <f t="shared" si="84"/>
        <v>806.7849999999994</v>
      </c>
      <c r="J253" s="81">
        <f t="shared" si="85"/>
        <v>82.453800000000001</v>
      </c>
      <c r="K253" s="81"/>
      <c r="L253" s="81"/>
    </row>
    <row r="254" spans="1:12" hidden="1">
      <c r="A254" s="79">
        <f t="shared" si="81"/>
        <v>160</v>
      </c>
      <c r="B254" s="79">
        <f>Underground!A727</f>
        <v>28</v>
      </c>
      <c r="C254" s="80" t="str">
        <f>CONCATENATE("Grouted ",Underground!B727)</f>
        <v>Grouted Rockbolts (32Φ)   Length = 6.0m</v>
      </c>
      <c r="D254" s="79" t="str">
        <f>Underground!C727</f>
        <v>nos.</v>
      </c>
      <c r="E254" s="81">
        <f>Underground!H745</f>
        <v>13455</v>
      </c>
      <c r="F254" s="81">
        <f t="shared" si="77"/>
        <v>103.5</v>
      </c>
      <c r="G254" s="152">
        <f t="shared" si="78"/>
        <v>7.2500000000000009E-2</v>
      </c>
      <c r="H254" s="152">
        <f>Underground!H747</f>
        <v>0.92749999999999999</v>
      </c>
      <c r="I254" s="572">
        <f t="shared" si="84"/>
        <v>975.48750000000007</v>
      </c>
      <c r="J254" s="81">
        <f t="shared" si="85"/>
        <v>95.996250000000003</v>
      </c>
      <c r="K254" s="81"/>
      <c r="L254" s="81"/>
    </row>
    <row r="255" spans="1:12" ht="31.5">
      <c r="A255" s="79">
        <f t="shared" si="81"/>
        <v>161</v>
      </c>
      <c r="B255" s="79">
        <f>Underground!A752</f>
        <v>29</v>
      </c>
      <c r="C255" s="584" t="str">
        <f>Underground!B752</f>
        <v>Machine Mixed Concrete works (Supply of materials &amp; haulage dist up to 30 m) in tunnel lining Concrete Grade C15</v>
      </c>
      <c r="D255" s="79" t="str">
        <f>Underground!C752</f>
        <v>cum</v>
      </c>
      <c r="E255" s="81">
        <f>Underground!H770</f>
        <v>14001</v>
      </c>
      <c r="F255" s="81">
        <f t="shared" si="77"/>
        <v>107.7</v>
      </c>
      <c r="G255" s="152">
        <f t="shared" si="78"/>
        <v>0.22750000000000004</v>
      </c>
      <c r="H255" s="152">
        <f>Underground!H772</f>
        <v>0.77249999999999996</v>
      </c>
      <c r="I255" s="572">
        <f t="shared" si="79"/>
        <v>3185.2275000000004</v>
      </c>
      <c r="J255" s="81">
        <f t="shared" si="80"/>
        <v>83.198250000000002</v>
      </c>
      <c r="K255" s="81">
        <f>E255</f>
        <v>14001</v>
      </c>
      <c r="L255" s="81"/>
    </row>
    <row r="256" spans="1:12" ht="31.5">
      <c r="A256" s="79">
        <f>A255+1</f>
        <v>162</v>
      </c>
      <c r="B256" s="79">
        <f>Underground!A777</f>
        <v>30</v>
      </c>
      <c r="C256" s="584" t="str">
        <f>Underground!B777</f>
        <v>Machine Mixed Concrete works (Supply of materials &amp; haulage dist up to 30 m) in tunnel lining Concrete Grade C20</v>
      </c>
      <c r="D256" s="79" t="str">
        <f>Underground!C777</f>
        <v>cum</v>
      </c>
      <c r="E256" s="81">
        <f>Underground!H795</f>
        <v>16560</v>
      </c>
      <c r="F256" s="81">
        <f t="shared" si="77"/>
        <v>127.38</v>
      </c>
      <c r="G256" s="152">
        <f t="shared" si="78"/>
        <v>0.1925</v>
      </c>
      <c r="H256" s="152">
        <f>Underground!H797</f>
        <v>0.8075</v>
      </c>
      <c r="I256" s="572">
        <f t="shared" si="79"/>
        <v>3187.8</v>
      </c>
      <c r="J256" s="81">
        <f t="shared" si="80"/>
        <v>102.85934999999999</v>
      </c>
      <c r="K256" s="81">
        <f>E256</f>
        <v>16560</v>
      </c>
      <c r="L256" s="81"/>
    </row>
    <row r="257" spans="1:12" ht="31.5">
      <c r="A257" s="79">
        <f>A256+1</f>
        <v>163</v>
      </c>
      <c r="B257" s="79">
        <f>Underground!A802</f>
        <v>31</v>
      </c>
      <c r="C257" s="584" t="str">
        <f>Underground!B802</f>
        <v>Machine Mixed Concrete works (Supply of materials &amp; haulage dist up to 30 m) in tunnel lining Concrete Grade C25</v>
      </c>
      <c r="D257" s="79" t="str">
        <f>Underground!C802</f>
        <v>cum</v>
      </c>
      <c r="E257" s="81">
        <f>Underground!H820</f>
        <v>19638</v>
      </c>
      <c r="F257" s="81">
        <f t="shared" si="77"/>
        <v>151.06</v>
      </c>
      <c r="G257" s="152">
        <f t="shared" si="78"/>
        <v>0.23249999999999993</v>
      </c>
      <c r="H257" s="152">
        <f>Underground!H822</f>
        <v>0.76750000000000007</v>
      </c>
      <c r="I257" s="572">
        <f t="shared" ref="I257:J279" si="86">E257*G257</f>
        <v>4565.8349999999982</v>
      </c>
      <c r="J257" s="81">
        <f t="shared" si="86"/>
        <v>115.93855000000001</v>
      </c>
      <c r="K257" s="81">
        <f>E257</f>
        <v>19638</v>
      </c>
      <c r="L257" s="81"/>
    </row>
    <row r="258" spans="1:12" ht="31.5">
      <c r="A258" s="79">
        <f t="shared" ref="A258:A279" si="87">A257+1</f>
        <v>164</v>
      </c>
      <c r="B258" s="79">
        <v>31</v>
      </c>
      <c r="C258" s="244" t="str">
        <f>'Underground Formworks'!B4</f>
        <v>Providing, preparing and installing steel formworks and removing after completion for arch structure/ tunnel</v>
      </c>
      <c r="D258" s="79" t="s">
        <v>127</v>
      </c>
      <c r="E258" s="81">
        <f>'Underground Formworks'!H16</f>
        <v>1352.3668033333333</v>
      </c>
      <c r="F258" s="81">
        <f t="shared" si="77"/>
        <v>10.4</v>
      </c>
      <c r="G258" s="152">
        <f t="shared" si="78"/>
        <v>1</v>
      </c>
      <c r="H258" s="152">
        <f>'Underground Formworks'!R16</f>
        <v>0</v>
      </c>
      <c r="I258" s="572">
        <f t="shared" si="86"/>
        <v>1352.3668033333333</v>
      </c>
      <c r="J258" s="81">
        <f t="shared" si="86"/>
        <v>0</v>
      </c>
      <c r="K258" s="81"/>
      <c r="L258" s="81"/>
    </row>
    <row r="259" spans="1:12" ht="31.5">
      <c r="A259" s="79">
        <f t="shared" si="87"/>
        <v>165</v>
      </c>
      <c r="B259" s="79">
        <v>32</v>
      </c>
      <c r="C259" s="244" t="str">
        <f>'Underground Formworks'!B20</f>
        <v>Providing, preparing and installing steel fromwork including necessary support and removing after completion for walls</v>
      </c>
      <c r="D259" s="79" t="s">
        <v>127</v>
      </c>
      <c r="E259" s="81">
        <f>'Underground Formworks'!H32</f>
        <v>1117.5791233333334</v>
      </c>
      <c r="F259" s="81">
        <f t="shared" si="77"/>
        <v>8.6</v>
      </c>
      <c r="G259" s="152">
        <f t="shared" si="78"/>
        <v>1</v>
      </c>
      <c r="H259" s="152">
        <f>'Underground Formworks'!R32</f>
        <v>0</v>
      </c>
      <c r="I259" s="572">
        <f t="shared" si="86"/>
        <v>1117.5791233333334</v>
      </c>
      <c r="J259" s="81">
        <f t="shared" si="86"/>
        <v>0</v>
      </c>
      <c r="K259" s="81"/>
      <c r="L259" s="81"/>
    </row>
    <row r="260" spans="1:12" ht="31.5">
      <c r="A260" s="79">
        <f t="shared" si="87"/>
        <v>166</v>
      </c>
      <c r="B260" s="79">
        <v>34</v>
      </c>
      <c r="C260" s="148" t="str">
        <f>Underground!B827</f>
        <v>Machine Mixed Concrete works (Supply of materials &amp; haulage dist up to 30 m) in tunnel lining Concrete Grade C35</v>
      </c>
      <c r="D260" s="79" t="str">
        <f>Underground!C827</f>
        <v>cum</v>
      </c>
      <c r="E260" s="81">
        <f>Underground!H845</f>
        <v>26188.5</v>
      </c>
      <c r="F260" s="81">
        <f t="shared" si="77"/>
        <v>201.45</v>
      </c>
      <c r="G260" s="152">
        <f t="shared" si="78"/>
        <v>0.23499999999999999</v>
      </c>
      <c r="H260" s="152">
        <f>Underground!H847</f>
        <v>0.76500000000000001</v>
      </c>
      <c r="I260" s="572">
        <f t="shared" si="86"/>
        <v>6154.2974999999997</v>
      </c>
      <c r="J260" s="81">
        <f t="shared" si="86"/>
        <v>154.10925</v>
      </c>
      <c r="K260" s="81"/>
      <c r="L260" s="81"/>
    </row>
    <row r="261" spans="1:12">
      <c r="A261" s="79">
        <f t="shared" si="87"/>
        <v>167</v>
      </c>
      <c r="B261" s="79">
        <v>35</v>
      </c>
      <c r="C261" s="244" t="str">
        <f>Mucking!B12</f>
        <v>Mucking of the excavated materails from the tunnel within 1000 m distance</v>
      </c>
      <c r="D261" s="79" t="str">
        <f>Mucking!C12</f>
        <v>cum</v>
      </c>
      <c r="E261" s="81">
        <f>Mucking!H23</f>
        <v>367.88539376</v>
      </c>
      <c r="F261" s="81">
        <f t="shared" si="77"/>
        <v>2.83</v>
      </c>
      <c r="G261" s="152">
        <f t="shared" si="78"/>
        <v>0.96499999999999997</v>
      </c>
      <c r="H261" s="152">
        <f>Mucking!P22</f>
        <v>3.5000000000000003E-2</v>
      </c>
      <c r="I261" s="572">
        <f t="shared" si="86"/>
        <v>355.00940497839997</v>
      </c>
      <c r="J261" s="81">
        <f t="shared" si="86"/>
        <v>9.9050000000000013E-2</v>
      </c>
      <c r="K261" s="81"/>
      <c r="L261" s="81"/>
    </row>
    <row r="262" spans="1:12">
      <c r="A262" s="79">
        <f t="shared" si="87"/>
        <v>168</v>
      </c>
      <c r="B262" s="79">
        <v>36</v>
      </c>
      <c r="C262" s="244" t="str">
        <f>Mucking!B27</f>
        <v>Mucking of the excavated materails from the tunnel within 500 m distance</v>
      </c>
      <c r="D262" s="79" t="str">
        <f>Mucking!C27</f>
        <v>cum</v>
      </c>
      <c r="E262" s="81">
        <f>Mucking!H38</f>
        <v>567.46416776000001</v>
      </c>
      <c r="F262" s="81">
        <f t="shared" si="77"/>
        <v>4.37</v>
      </c>
      <c r="G262" s="152">
        <f t="shared" si="78"/>
        <v>0.83750000000000002</v>
      </c>
      <c r="H262" s="152">
        <f>Mucking!P36</f>
        <v>0.16250000000000001</v>
      </c>
      <c r="I262" s="572">
        <f t="shared" si="86"/>
        <v>475.25124049900001</v>
      </c>
      <c r="J262" s="81">
        <f t="shared" si="86"/>
        <v>0.71012500000000001</v>
      </c>
      <c r="K262" s="81"/>
      <c r="L262" s="81"/>
    </row>
    <row r="263" spans="1:12">
      <c r="A263" s="79">
        <f t="shared" si="87"/>
        <v>169</v>
      </c>
      <c r="B263" s="79">
        <v>38</v>
      </c>
      <c r="C263" s="244" t="str">
        <f>Mucking!B45</f>
        <v>Mucking of the excavated materails from the tunnel for each additional 200 m</v>
      </c>
      <c r="D263" s="79" t="str">
        <f>Mucking!C45</f>
        <v>cum</v>
      </c>
      <c r="E263" s="81">
        <f>Mucking!H56</f>
        <v>244.13416240000001</v>
      </c>
      <c r="F263" s="81">
        <f t="shared" si="77"/>
        <v>1.88</v>
      </c>
      <c r="G263" s="152">
        <f t="shared" si="78"/>
        <v>1</v>
      </c>
      <c r="H263" s="152">
        <f>Mucking!R56</f>
        <v>0</v>
      </c>
      <c r="I263" s="572">
        <f t="shared" si="86"/>
        <v>244.13416240000001</v>
      </c>
      <c r="J263" s="81">
        <f t="shared" si="86"/>
        <v>0</v>
      </c>
      <c r="K263" s="81"/>
      <c r="L263" s="81"/>
    </row>
    <row r="264" spans="1:12">
      <c r="A264" s="79">
        <f t="shared" si="87"/>
        <v>170</v>
      </c>
      <c r="B264" s="79">
        <v>39</v>
      </c>
      <c r="C264" s="244" t="str">
        <f>Additionals!B184</f>
        <v>Providing and laying 50mm HDPE pipe including drilling for weep holes</v>
      </c>
      <c r="D264" s="79" t="str">
        <f>Additionals!C184</f>
        <v>m</v>
      </c>
      <c r="E264" s="81">
        <f>Additionals!H199</f>
        <v>620</v>
      </c>
      <c r="F264" s="81">
        <f t="shared" si="77"/>
        <v>4.7699999999999996</v>
      </c>
      <c r="G264" s="152">
        <f t="shared" si="78"/>
        <v>5.2499999999999991E-2</v>
      </c>
      <c r="H264" s="152">
        <f>Additionals!H201</f>
        <v>0.94750000000000001</v>
      </c>
      <c r="I264" s="572">
        <f t="shared" si="86"/>
        <v>32.549999999999997</v>
      </c>
      <c r="J264" s="81">
        <f t="shared" si="86"/>
        <v>4.5195749999999997</v>
      </c>
      <c r="K264" s="81"/>
      <c r="L264" s="81"/>
    </row>
    <row r="265" spans="1:12">
      <c r="A265" s="79">
        <f t="shared" si="87"/>
        <v>171</v>
      </c>
      <c r="B265" s="79">
        <v>40</v>
      </c>
      <c r="C265" s="244" t="str">
        <f>Additionals!B320</f>
        <v xml:space="preserve">Providing and performing cement grouting </v>
      </c>
      <c r="D265" s="79" t="str">
        <f>Additionals!C321</f>
        <v>kg</v>
      </c>
      <c r="E265" s="81">
        <f>Additionals!H333</f>
        <v>57</v>
      </c>
      <c r="F265" s="81">
        <f t="shared" si="77"/>
        <v>0.44</v>
      </c>
      <c r="G265" s="152">
        <f t="shared" si="78"/>
        <v>0.125</v>
      </c>
      <c r="H265" s="152">
        <f>Additionals!H335</f>
        <v>0.875</v>
      </c>
      <c r="I265" s="572">
        <f t="shared" si="86"/>
        <v>7.125</v>
      </c>
      <c r="J265" s="81">
        <f t="shared" si="86"/>
        <v>0.38500000000000001</v>
      </c>
      <c r="K265" s="81"/>
      <c r="L265" s="81"/>
    </row>
    <row r="266" spans="1:12">
      <c r="A266" s="79">
        <f t="shared" si="87"/>
        <v>172</v>
      </c>
      <c r="B266" s="79">
        <v>41</v>
      </c>
      <c r="C266" s="584" t="str">
        <f>'Steel Ribs'!B3</f>
        <v>Providing and placing steel ribs (ISHB 150)</v>
      </c>
      <c r="D266" s="151" t="str">
        <f>'Steel Ribs'!C16</f>
        <v xml:space="preserve">       ton</v>
      </c>
      <c r="E266" s="81">
        <f>'Steel Ribs'!H17</f>
        <v>339058.5</v>
      </c>
      <c r="F266" s="81">
        <f t="shared" si="77"/>
        <v>2608.14</v>
      </c>
      <c r="G266" s="152">
        <f t="shared" si="78"/>
        <v>0.32499999999999996</v>
      </c>
      <c r="H266" s="152">
        <f>'Steel Ribs'!Q19</f>
        <v>0.67500000000000004</v>
      </c>
      <c r="I266" s="572">
        <f t="shared" ref="I266:I279" si="88">E266*G266</f>
        <v>110194.01249999998</v>
      </c>
      <c r="J266" s="81">
        <f t="shared" si="86"/>
        <v>1760.4945</v>
      </c>
      <c r="K266" s="81">
        <f>E266</f>
        <v>339058.5</v>
      </c>
      <c r="L266" s="81"/>
    </row>
    <row r="267" spans="1:12" hidden="1">
      <c r="A267" s="79">
        <f t="shared" si="87"/>
        <v>173</v>
      </c>
      <c r="B267" s="79">
        <v>42</v>
      </c>
      <c r="C267" s="244" t="str">
        <f>Additionals!B145</f>
        <v>300mm PVC waterstop</v>
      </c>
      <c r="D267" s="79" t="str">
        <f>Additionals!C145</f>
        <v>m</v>
      </c>
      <c r="E267" s="81">
        <f>Additionals!H155</f>
        <v>536</v>
      </c>
      <c r="F267" s="81">
        <f t="shared" si="77"/>
        <v>4.12</v>
      </c>
      <c r="G267" s="152">
        <f t="shared" si="78"/>
        <v>0.1875</v>
      </c>
      <c r="H267" s="152">
        <f>Additionals!H157</f>
        <v>0.8125</v>
      </c>
      <c r="I267" s="572">
        <f t="shared" si="88"/>
        <v>100.5</v>
      </c>
      <c r="J267" s="81">
        <f t="shared" si="86"/>
        <v>3.3475000000000001</v>
      </c>
      <c r="K267" s="81"/>
      <c r="L267" s="81"/>
    </row>
    <row r="268" spans="1:12" hidden="1">
      <c r="A268" s="79">
        <f t="shared" si="87"/>
        <v>174</v>
      </c>
      <c r="B268" s="79">
        <v>43</v>
      </c>
      <c r="C268" s="244" t="str">
        <f>'Exploratory Drilling'!B4</f>
        <v>Drilling for grouting depth upto 10 m and dia 50 mm (soft rock)</v>
      </c>
      <c r="D268" s="79" t="str">
        <f>'Exploratory Drilling'!C4</f>
        <v>m</v>
      </c>
      <c r="E268" s="81">
        <f>'Exploratory Drilling'!H13</f>
        <v>13091.945</v>
      </c>
      <c r="F268" s="81">
        <f t="shared" si="77"/>
        <v>100.71</v>
      </c>
      <c r="G268" s="152">
        <f t="shared" si="78"/>
        <v>0.48250000000000004</v>
      </c>
      <c r="H268" s="152">
        <f>'Exploratory Drilling'!R11</f>
        <v>0.51749999999999996</v>
      </c>
      <c r="I268" s="572">
        <f t="shared" si="88"/>
        <v>6316.8634625000004</v>
      </c>
      <c r="J268" s="81">
        <f t="shared" si="86"/>
        <v>52.11742499999999</v>
      </c>
      <c r="K268" s="81"/>
      <c r="L268" s="81"/>
    </row>
    <row r="269" spans="1:12" ht="31.5" hidden="1">
      <c r="A269" s="79">
        <f t="shared" si="87"/>
        <v>175</v>
      </c>
      <c r="B269" s="79">
        <v>44</v>
      </c>
      <c r="C269" s="244" t="str">
        <f>'Underground Formworks'!B4</f>
        <v>Providing, preparing and installing steel formworks and removing after completion for arch structure/ tunnel</v>
      </c>
      <c r="D269" s="79" t="str">
        <f>'Underground Formworks'!C6</f>
        <v>sqm</v>
      </c>
      <c r="E269" s="81">
        <f>'Underground Formworks'!H15</f>
        <v>1763.9567</v>
      </c>
      <c r="F269" s="81">
        <f t="shared" si="77"/>
        <v>13.57</v>
      </c>
      <c r="G269" s="152">
        <f t="shared" si="78"/>
        <v>0.495</v>
      </c>
      <c r="H269" s="152">
        <f>'Underground Formworks'!P14</f>
        <v>0.505</v>
      </c>
      <c r="I269" s="572">
        <f t="shared" si="88"/>
        <v>873.15856650000001</v>
      </c>
      <c r="J269" s="81">
        <f t="shared" si="86"/>
        <v>6.8528500000000001</v>
      </c>
      <c r="K269" s="81"/>
      <c r="L269" s="81"/>
    </row>
    <row r="270" spans="1:12" ht="31.5" hidden="1">
      <c r="A270" s="79">
        <f t="shared" si="87"/>
        <v>176</v>
      </c>
      <c r="B270" s="79">
        <v>45</v>
      </c>
      <c r="C270" s="244" t="str">
        <f>'Underground Formworks'!B20</f>
        <v>Providing, preparing and installing steel fromwork including necessary support and removing after completion for walls</v>
      </c>
      <c r="D270" s="79" t="str">
        <f>'Underground Formworks'!C22</f>
        <v>sqm</v>
      </c>
      <c r="E270" s="81">
        <f>'Underground Formworks'!H31</f>
        <v>1457.7119</v>
      </c>
      <c r="F270" s="81">
        <f t="shared" si="77"/>
        <v>11.21</v>
      </c>
      <c r="G270" s="152">
        <f t="shared" si="78"/>
        <v>0.20750000000000002</v>
      </c>
      <c r="H270" s="152">
        <f>'Underground Formworks'!P30</f>
        <v>0.79249999999999998</v>
      </c>
      <c r="I270" s="572">
        <f t="shared" si="88"/>
        <v>302.47521925000001</v>
      </c>
      <c r="J270" s="81">
        <f t="shared" si="86"/>
        <v>8.8839249999999996</v>
      </c>
      <c r="K270" s="81"/>
      <c r="L270" s="81"/>
    </row>
    <row r="271" spans="1:12" ht="31.5" hidden="1">
      <c r="A271" s="79">
        <f>A270+1</f>
        <v>177</v>
      </c>
      <c r="B271" s="79">
        <v>46</v>
      </c>
      <c r="C271" s="244" t="str">
        <f>'Underground Formworks'!B36</f>
        <v xml:space="preserve">Providing, preparing and installing timber fromwork including necessary support and removing after completion for slab and beam structure </v>
      </c>
      <c r="D271" s="79" t="str">
        <f>'Underground Formworks'!C38</f>
        <v>sqm</v>
      </c>
      <c r="E271" s="81">
        <f>'Underground Formworks'!H47</f>
        <v>1135.9106504333331</v>
      </c>
      <c r="F271" s="81">
        <f t="shared" si="77"/>
        <v>8.74</v>
      </c>
      <c r="G271" s="152">
        <f t="shared" si="78"/>
        <v>0.99750000000000005</v>
      </c>
      <c r="H271" s="152">
        <f>'Underground Formworks'!P46</f>
        <v>2.5000000000000001E-3</v>
      </c>
      <c r="I271" s="572">
        <f t="shared" si="88"/>
        <v>1133.0708738072499</v>
      </c>
      <c r="J271" s="81">
        <f t="shared" si="86"/>
        <v>2.1850000000000001E-2</v>
      </c>
      <c r="K271" s="81"/>
      <c r="L271" s="81"/>
    </row>
    <row r="272" spans="1:12" ht="47.25" hidden="1">
      <c r="A272" s="79">
        <f t="shared" ref="A272:A278" si="89">A271+1</f>
        <v>178</v>
      </c>
      <c r="B272" s="79">
        <v>47</v>
      </c>
      <c r="C272" s="564" t="str">
        <f>'U Formworks for vertical shaft'!B4</f>
        <v>Providing , Preparing and Installing form work including necessary supports and removing after completion for columns [Circular surface].(Scrap value neglected)
(Height upto 3m)</v>
      </c>
      <c r="D272" s="79" t="str">
        <f>'U Formworks for vertical shaft'!C5</f>
        <v>sqm</v>
      </c>
      <c r="E272" s="81">
        <f>'U Formworks for vertical shaft'!H18</f>
        <v>1555</v>
      </c>
      <c r="F272" s="81">
        <f t="shared" si="77"/>
        <v>11.96</v>
      </c>
      <c r="G272" s="152">
        <f t="shared" si="78"/>
        <v>0.94750000000000001</v>
      </c>
      <c r="H272" s="152">
        <f>'U Formworks for vertical shaft'!H20</f>
        <v>5.2499999999999998E-2</v>
      </c>
      <c r="I272" s="572">
        <f t="shared" si="88"/>
        <v>1473.3625</v>
      </c>
      <c r="J272" s="81">
        <f t="shared" si="86"/>
        <v>0.62790000000000001</v>
      </c>
      <c r="K272" s="81"/>
      <c r="L272" s="81"/>
    </row>
    <row r="273" spans="1:12" ht="47.25" hidden="1">
      <c r="A273" s="79">
        <f t="shared" si="89"/>
        <v>179</v>
      </c>
      <c r="B273" s="79">
        <v>48</v>
      </c>
      <c r="C273" s="244" t="str">
        <f>'U Formworks for vertical shaft'!B25</f>
        <v>Providing , Preparing and Installing form work including necessary supports and removing after completion for columns [Circular surface].(Scrap value neglected)
(Height more than 3m upto 6m)</v>
      </c>
      <c r="D273" s="79" t="str">
        <f>'U Formworks for vertical shaft'!C26</f>
        <v>sqm</v>
      </c>
      <c r="E273" s="81">
        <f>'U Formworks for vertical shaft'!H39</f>
        <v>1926.5</v>
      </c>
      <c r="F273" s="81">
        <f t="shared" si="77"/>
        <v>14.82</v>
      </c>
      <c r="G273" s="152">
        <f t="shared" si="78"/>
        <v>0.94499999999999995</v>
      </c>
      <c r="H273" s="152">
        <f>'U Formworks for vertical shaft'!H41</f>
        <v>5.5E-2</v>
      </c>
      <c r="I273" s="572">
        <f t="shared" si="88"/>
        <v>1820.5425</v>
      </c>
      <c r="J273" s="81">
        <f t="shared" si="86"/>
        <v>0.81510000000000005</v>
      </c>
      <c r="K273" s="81"/>
      <c r="L273" s="81"/>
    </row>
    <row r="274" spans="1:12" ht="47.25" hidden="1">
      <c r="A274" s="79">
        <f t="shared" si="89"/>
        <v>180</v>
      </c>
      <c r="B274" s="79">
        <v>49</v>
      </c>
      <c r="C274" s="244" t="str">
        <f>'U Formworks for vertical shaft'!B46</f>
        <v>Providing , Preparing and Installing form work including necessary supports and removing after completion for columns [Circular surface].(Scrap value neglected)
(Height more than 6m upto 9m)</v>
      </c>
      <c r="D274" s="79" t="str">
        <f>'U Formworks for vertical shaft'!C47</f>
        <v>sqm</v>
      </c>
      <c r="E274" s="81">
        <f>'U Formworks for vertical shaft'!H60</f>
        <v>2422</v>
      </c>
      <c r="F274" s="81">
        <f t="shared" si="77"/>
        <v>18.63</v>
      </c>
      <c r="G274" s="152">
        <f t="shared" si="78"/>
        <v>0.94499999999999995</v>
      </c>
      <c r="H274" s="152">
        <f>'U Formworks for vertical shaft'!H62</f>
        <v>5.5E-2</v>
      </c>
      <c r="I274" s="572">
        <f t="shared" si="88"/>
        <v>2288.79</v>
      </c>
      <c r="J274" s="81">
        <f t="shared" si="86"/>
        <v>1.0246500000000001</v>
      </c>
      <c r="K274" s="81"/>
      <c r="L274" s="81"/>
    </row>
    <row r="275" spans="1:12" ht="47.25" hidden="1">
      <c r="A275" s="79">
        <f t="shared" si="89"/>
        <v>181</v>
      </c>
      <c r="B275" s="79">
        <v>50</v>
      </c>
      <c r="C275" s="244" t="str">
        <f>'U Formworks for vertical shaft'!B67</f>
        <v>Providing , Preparing and Installing form work including necessary supports and removing after completion for columns [Circular surface].(Scrap value neglected)
(Height upto 3m)</v>
      </c>
      <c r="D275" s="79" t="str">
        <f>'U Formworks for vertical shaft'!C89</f>
        <v>sqm</v>
      </c>
      <c r="E275" s="81">
        <f>'U Formworks for vertical shaft'!H81</f>
        <v>1893</v>
      </c>
      <c r="F275" s="81">
        <f t="shared" si="77"/>
        <v>14.56</v>
      </c>
      <c r="G275" s="152">
        <f t="shared" si="78"/>
        <v>0.67249999999999999</v>
      </c>
      <c r="H275" s="152">
        <f>'U Formworks for vertical shaft'!H83</f>
        <v>0.32750000000000001</v>
      </c>
      <c r="I275" s="572">
        <f t="shared" si="88"/>
        <v>1273.0425</v>
      </c>
      <c r="J275" s="81">
        <f t="shared" si="86"/>
        <v>4.7684000000000006</v>
      </c>
      <c r="K275" s="81"/>
      <c r="L275" s="81"/>
    </row>
    <row r="276" spans="1:12" ht="47.25" hidden="1">
      <c r="A276" s="79">
        <f t="shared" si="89"/>
        <v>182</v>
      </c>
      <c r="B276" s="79">
        <v>51</v>
      </c>
      <c r="C276" s="244" t="str">
        <f>'U Formworks for vertical shaft'!B88</f>
        <v>Providing , Preparing and Installing form work including necessary supports and removing after completion for columns [Circular surface].(Scrap value neglected)
(Height more than 3m upto 6m)</v>
      </c>
      <c r="D276" s="79" t="str">
        <f>'U Formworks for vertical shaft'!C89</f>
        <v>sqm</v>
      </c>
      <c r="E276" s="81">
        <f>'U Formworks for vertical shaft'!H102</f>
        <v>2207.5</v>
      </c>
      <c r="F276" s="81">
        <f t="shared" si="77"/>
        <v>16.98</v>
      </c>
      <c r="G276" s="152">
        <f t="shared" si="78"/>
        <v>0.65999999999999992</v>
      </c>
      <c r="H276" s="152">
        <f>'U Formworks for vertical shaft'!H104</f>
        <v>0.34</v>
      </c>
      <c r="I276" s="572">
        <f t="shared" si="88"/>
        <v>1456.9499999999998</v>
      </c>
      <c r="J276" s="81">
        <f t="shared" si="86"/>
        <v>5.773200000000001</v>
      </c>
      <c r="K276" s="81"/>
      <c r="L276" s="81"/>
    </row>
    <row r="277" spans="1:12" ht="47.25" hidden="1">
      <c r="A277" s="79">
        <f t="shared" si="89"/>
        <v>183</v>
      </c>
      <c r="B277" s="79">
        <v>52</v>
      </c>
      <c r="C277" s="244" t="str">
        <f>'U Formworks for vertical shaft'!B109</f>
        <v>Providing , Preparing and Installing form work including necessary supports and removing after completion for columns [Circular surface].(Scrap value neglected)
(Height more than 6m upto 9m)</v>
      </c>
      <c r="D277" s="79" t="str">
        <f>'U Formworks for vertical shaft'!C110</f>
        <v>sqm</v>
      </c>
      <c r="E277" s="81">
        <f>'U Formworks for vertical shaft'!H123</f>
        <v>2369.5</v>
      </c>
      <c r="F277" s="81">
        <f t="shared" si="77"/>
        <v>18.23</v>
      </c>
      <c r="G277" s="152">
        <f t="shared" si="78"/>
        <v>0.60250000000000004</v>
      </c>
      <c r="H277" s="152">
        <f>'U Formworks for vertical shaft'!H125</f>
        <v>0.39750000000000002</v>
      </c>
      <c r="I277" s="572">
        <f t="shared" si="88"/>
        <v>1427.62375</v>
      </c>
      <c r="J277" s="81">
        <f t="shared" si="86"/>
        <v>7.2464250000000003</v>
      </c>
      <c r="K277" s="81"/>
      <c r="L277" s="81"/>
    </row>
    <row r="278" spans="1:12" ht="47.25" hidden="1">
      <c r="A278" s="79">
        <f t="shared" si="89"/>
        <v>184</v>
      </c>
      <c r="B278" s="79">
        <v>53</v>
      </c>
      <c r="C278" s="244" t="str">
        <f>'Underground Reinforcement'!B4</f>
        <v xml:space="preserve"> Providing and laying  Reinforcement including cutting, bending, binding,  fixing in position and lead 30m. etc. all complete as per specification and drawing. 
(Diameter upto 8mm)</v>
      </c>
      <c r="D278" s="79" t="str">
        <f>'Underground Reinforcement'!C4</f>
        <v>ton</v>
      </c>
      <c r="E278" s="81">
        <f>'Underground Reinforcement'!H17</f>
        <v>197140.5</v>
      </c>
      <c r="F278" s="81">
        <f t="shared" si="77"/>
        <v>1516.47</v>
      </c>
      <c r="G278" s="152">
        <f t="shared" si="78"/>
        <v>0.17499999999999993</v>
      </c>
      <c r="H278" s="152">
        <f>'Underground Reinforcement'!H19</f>
        <v>0.82500000000000007</v>
      </c>
      <c r="I278" s="572">
        <f t="shared" si="88"/>
        <v>34499.587499999987</v>
      </c>
      <c r="J278" s="81">
        <f t="shared" si="86"/>
        <v>1251.0877500000001</v>
      </c>
      <c r="K278" s="81"/>
      <c r="L278" s="81"/>
    </row>
    <row r="279" spans="1:12" ht="47.25">
      <c r="A279" s="79">
        <f t="shared" si="87"/>
        <v>185</v>
      </c>
      <c r="B279" s="79">
        <v>54</v>
      </c>
      <c r="C279" s="584" t="str">
        <f>'Underground Reinforcement'!B24</f>
        <v xml:space="preserve"> Providing and laying  Reinforcement including cutting, bending, binding,  fixing in position and lead 30m. etc. all complete as per specification and drawing. 
(Diameter above 8mm  and  upto 16mm.)</v>
      </c>
      <c r="D279" s="79" t="str">
        <f>'Underground Reinforcement'!C24</f>
        <v>ton</v>
      </c>
      <c r="E279" s="81">
        <f>'Underground Reinforcement'!H37</f>
        <v>183446</v>
      </c>
      <c r="F279" s="81">
        <f t="shared" si="77"/>
        <v>1411.12</v>
      </c>
      <c r="G279" s="152">
        <f t="shared" si="78"/>
        <v>0.125</v>
      </c>
      <c r="H279" s="152">
        <f>'Underground Reinforcement'!H39</f>
        <v>0.875</v>
      </c>
      <c r="I279" s="572">
        <f t="shared" si="88"/>
        <v>22930.75</v>
      </c>
      <c r="J279" s="81">
        <f t="shared" si="86"/>
        <v>1234.73</v>
      </c>
      <c r="K279" s="81">
        <f>E279</f>
        <v>183446</v>
      </c>
      <c r="L279" s="81"/>
    </row>
    <row r="280" spans="1:12" hidden="1">
      <c r="A280" s="79"/>
      <c r="B280" s="79"/>
      <c r="C280" s="80"/>
      <c r="D280" s="79"/>
      <c r="E280" s="81"/>
      <c r="F280" s="81"/>
      <c r="G280" s="152"/>
      <c r="H280" s="152"/>
      <c r="I280" s="572"/>
      <c r="J280" s="81"/>
      <c r="K280" s="81"/>
      <c r="L280" s="81"/>
    </row>
    <row r="281" spans="1:12" hidden="1">
      <c r="A281" s="82" t="s">
        <v>557</v>
      </c>
      <c r="B281" s="82"/>
      <c r="C281" s="83" t="s">
        <v>694</v>
      </c>
      <c r="D281" s="83"/>
      <c r="E281" s="83"/>
      <c r="F281" s="83"/>
      <c r="G281" s="83"/>
      <c r="H281" s="83"/>
      <c r="I281" s="83"/>
      <c r="J281" s="83"/>
      <c r="K281" s="83"/>
      <c r="L281" s="83"/>
    </row>
    <row r="282" spans="1:12" hidden="1">
      <c r="A282" s="79">
        <f>A279+1</f>
        <v>186</v>
      </c>
      <c r="B282" s="79">
        <f>Additionals!A4</f>
        <v>1</v>
      </c>
      <c r="C282" s="148" t="str">
        <f>Additionals!B4</f>
        <v>Open cut excavation in river bed material (Manual excavation)</v>
      </c>
      <c r="D282" s="79" t="str">
        <f>Additionals!C5</f>
        <v>cum</v>
      </c>
      <c r="E282" s="81">
        <f>Additionals!H19</f>
        <v>1294.5</v>
      </c>
      <c r="F282" s="81">
        <f t="shared" ref="F282:F287" si="90">ROUND(E282/exr,2)</f>
        <v>9.9600000000000009</v>
      </c>
      <c r="G282" s="152">
        <f t="shared" ref="G282:G287" si="91">1-H282</f>
        <v>0.79499999999999993</v>
      </c>
      <c r="H282" s="152">
        <f>Additionals!H21</f>
        <v>0.20500000000000002</v>
      </c>
      <c r="I282" s="572">
        <f t="shared" ref="I282:I294" si="92">E282*G282</f>
        <v>1029.1274999999998</v>
      </c>
      <c r="J282" s="81">
        <f t="shared" ref="J282:J294" si="93">F282*H282</f>
        <v>2.0418000000000003</v>
      </c>
      <c r="K282" s="81"/>
      <c r="L282" s="81"/>
    </row>
    <row r="283" spans="1:12" hidden="1">
      <c r="A283" s="79">
        <f t="shared" ref="A283:A294" si="94">A282+1</f>
        <v>187</v>
      </c>
      <c r="B283" s="79">
        <f>Additionals!A26</f>
        <v>2</v>
      </c>
      <c r="C283" s="148" t="str">
        <f>Additionals!B26</f>
        <v>Open cut excavation in river bed material (Backhoe excavation)</v>
      </c>
      <c r="D283" s="79" t="str">
        <f>Additionals!C26</f>
        <v>cum</v>
      </c>
      <c r="E283" s="81">
        <f>Additionals!H40</f>
        <v>461</v>
      </c>
      <c r="F283" s="81">
        <f t="shared" si="90"/>
        <v>3.55</v>
      </c>
      <c r="G283" s="152">
        <f t="shared" si="91"/>
        <v>8.4999999999999964E-2</v>
      </c>
      <c r="H283" s="152">
        <f>Additionals!H42</f>
        <v>0.91500000000000004</v>
      </c>
      <c r="I283" s="572">
        <f t="shared" si="92"/>
        <v>39.184999999999981</v>
      </c>
      <c r="J283" s="81">
        <f t="shared" si="93"/>
        <v>3.2482500000000001</v>
      </c>
      <c r="K283" s="81"/>
      <c r="L283" s="81"/>
    </row>
    <row r="284" spans="1:12" hidden="1">
      <c r="A284" s="79">
        <f t="shared" si="94"/>
        <v>188</v>
      </c>
      <c r="B284" s="79">
        <f>Additionals!A47</f>
        <v>3</v>
      </c>
      <c r="C284" s="148" t="str">
        <f>Additionals!B47</f>
        <v>Open cut excavation in rock</v>
      </c>
      <c r="D284" s="79" t="str">
        <f>Additionals!C47</f>
        <v>cum</v>
      </c>
      <c r="E284" s="81">
        <f>Additionals!H63</f>
        <v>1052</v>
      </c>
      <c r="F284" s="81">
        <f t="shared" si="90"/>
        <v>8.09</v>
      </c>
      <c r="G284" s="152">
        <f t="shared" si="91"/>
        <v>8.9999999999999969E-2</v>
      </c>
      <c r="H284" s="152">
        <f>Additionals!H65</f>
        <v>0.91</v>
      </c>
      <c r="I284" s="572">
        <f t="shared" si="92"/>
        <v>94.679999999999964</v>
      </c>
      <c r="J284" s="81">
        <f t="shared" si="93"/>
        <v>7.3619000000000003</v>
      </c>
      <c r="K284" s="81"/>
      <c r="L284" s="81"/>
    </row>
    <row r="285" spans="1:12" hidden="1">
      <c r="A285" s="79">
        <f t="shared" si="94"/>
        <v>189</v>
      </c>
      <c r="B285" s="79">
        <f>Additionals!A70</f>
        <v>4</v>
      </c>
      <c r="C285" s="148" t="str">
        <f>Additionals!B70</f>
        <v>Structural Steel Support</v>
      </c>
      <c r="D285" s="79" t="str">
        <f>Additionals!C70</f>
        <v>ton</v>
      </c>
      <c r="E285" s="81">
        <f>Additionals!H86</f>
        <v>134051.5</v>
      </c>
      <c r="F285" s="81">
        <f t="shared" si="90"/>
        <v>1031.17</v>
      </c>
      <c r="G285" s="152">
        <f t="shared" si="91"/>
        <v>9.9999999999999978E-2</v>
      </c>
      <c r="H285" s="152">
        <f>Additionals!H88</f>
        <v>0.9</v>
      </c>
      <c r="I285" s="572">
        <f t="shared" si="92"/>
        <v>13405.149999999998</v>
      </c>
      <c r="J285" s="81">
        <f t="shared" si="93"/>
        <v>928.05300000000011</v>
      </c>
      <c r="K285" s="81"/>
      <c r="L285" s="81"/>
    </row>
    <row r="286" spans="1:12" hidden="1">
      <c r="A286" s="79">
        <f t="shared" si="94"/>
        <v>190</v>
      </c>
      <c r="B286" s="79">
        <f>Additionals!A93</f>
        <v>5</v>
      </c>
      <c r="C286" s="148" t="str">
        <f>Additionals!B93</f>
        <v>Gravel surfacing (Gravel bedding)</v>
      </c>
      <c r="D286" s="79" t="str">
        <f>Additionals!C93</f>
        <v>cum</v>
      </c>
      <c r="E286" s="81">
        <f>Additionals!H104</f>
        <v>2047</v>
      </c>
      <c r="F286" s="81">
        <f t="shared" si="90"/>
        <v>15.75</v>
      </c>
      <c r="G286" s="152">
        <f t="shared" si="91"/>
        <v>1</v>
      </c>
      <c r="H286" s="152">
        <f>Additionals!H106</f>
        <v>0</v>
      </c>
      <c r="I286" s="572">
        <f t="shared" si="92"/>
        <v>2047</v>
      </c>
      <c r="J286" s="81">
        <f t="shared" si="93"/>
        <v>0</v>
      </c>
      <c r="K286" s="81"/>
      <c r="L286" s="81"/>
    </row>
    <row r="287" spans="1:12" hidden="1">
      <c r="A287" s="79">
        <f t="shared" si="94"/>
        <v>191</v>
      </c>
      <c r="B287" s="79">
        <f>Additionals!A111</f>
        <v>6</v>
      </c>
      <c r="C287" s="148" t="str">
        <f>Additionals!B111</f>
        <v>Stone soling</v>
      </c>
      <c r="D287" s="79" t="str">
        <f>Additionals!C111</f>
        <v>cum</v>
      </c>
      <c r="E287" s="81">
        <f>Additionals!H121</f>
        <v>2314.5</v>
      </c>
      <c r="F287" s="81">
        <f t="shared" si="90"/>
        <v>17.8</v>
      </c>
      <c r="G287" s="152">
        <f t="shared" si="91"/>
        <v>1</v>
      </c>
      <c r="H287" s="152">
        <f>Additionals!H123</f>
        <v>0</v>
      </c>
      <c r="I287" s="572">
        <f t="shared" si="92"/>
        <v>2314.5</v>
      </c>
      <c r="J287" s="81">
        <f t="shared" si="93"/>
        <v>0</v>
      </c>
      <c r="K287" s="81"/>
      <c r="L287" s="81"/>
    </row>
    <row r="288" spans="1:12" hidden="1">
      <c r="A288" s="79">
        <f t="shared" si="94"/>
        <v>192</v>
      </c>
      <c r="B288" s="79">
        <f>Additionals!A128</f>
        <v>7</v>
      </c>
      <c r="C288" s="244" t="str">
        <f>Additionals!B128</f>
        <v>Stone filling</v>
      </c>
      <c r="D288" s="79" t="str">
        <f>Additionals!C128</f>
        <v>cum</v>
      </c>
      <c r="E288" s="81">
        <f>Additionals!H138</f>
        <v>1912</v>
      </c>
      <c r="F288" s="81">
        <f t="shared" ref="F288:F294" si="95">ROUND(E288/exr,2)</f>
        <v>14.71</v>
      </c>
      <c r="G288" s="152">
        <f t="shared" ref="G288:G294" si="96">1-H288</f>
        <v>1</v>
      </c>
      <c r="H288" s="152">
        <f>Additionals!H140</f>
        <v>0</v>
      </c>
      <c r="I288" s="572">
        <f t="shared" si="92"/>
        <v>1912</v>
      </c>
      <c r="J288" s="81">
        <f t="shared" si="93"/>
        <v>0</v>
      </c>
      <c r="K288" s="81"/>
      <c r="L288" s="81"/>
    </row>
    <row r="289" spans="1:12" hidden="1">
      <c r="A289" s="79">
        <f t="shared" si="94"/>
        <v>193</v>
      </c>
      <c r="B289" s="79">
        <f>Additionals!A162</f>
        <v>9</v>
      </c>
      <c r="C289" s="148" t="str">
        <f>Additionals!B162</f>
        <v>Plum Concrete M20/20 with 30% plum</v>
      </c>
      <c r="D289" s="79" t="str">
        <f>Additionals!C162</f>
        <v>cum</v>
      </c>
      <c r="E289" s="81">
        <f>Additionals!H177</f>
        <v>9780.5</v>
      </c>
      <c r="F289" s="81">
        <f t="shared" si="95"/>
        <v>75.23</v>
      </c>
      <c r="G289" s="152">
        <f t="shared" si="96"/>
        <v>0.36749999999999994</v>
      </c>
      <c r="H289" s="152">
        <f>Additionals!H179</f>
        <v>0.63250000000000006</v>
      </c>
      <c r="I289" s="572">
        <f t="shared" si="92"/>
        <v>3594.3337499999993</v>
      </c>
      <c r="J289" s="81">
        <f t="shared" si="93"/>
        <v>47.582975000000005</v>
      </c>
      <c r="K289" s="81"/>
      <c r="L289" s="81"/>
    </row>
    <row r="290" spans="1:12" hidden="1">
      <c r="A290" s="79">
        <f t="shared" si="94"/>
        <v>194</v>
      </c>
      <c r="B290" s="79">
        <f>Additionals!A184</f>
        <v>10</v>
      </c>
      <c r="C290" s="244" t="str">
        <f>Additionals!B184</f>
        <v>Providing and laying 50mm HDPE pipe including drilling for weep holes</v>
      </c>
      <c r="D290" s="79" t="str">
        <f>Additionals!C184</f>
        <v>m</v>
      </c>
      <c r="E290" s="81">
        <f>Additionals!H199</f>
        <v>620</v>
      </c>
      <c r="F290" s="81">
        <f t="shared" si="95"/>
        <v>4.7699999999999996</v>
      </c>
      <c r="G290" s="152">
        <f t="shared" si="96"/>
        <v>5.2499999999999991E-2</v>
      </c>
      <c r="H290" s="152">
        <f>Additionals!H201</f>
        <v>0.94750000000000001</v>
      </c>
      <c r="I290" s="572">
        <f t="shared" si="92"/>
        <v>32.549999999999997</v>
      </c>
      <c r="J290" s="81">
        <f t="shared" si="93"/>
        <v>4.5195749999999997</v>
      </c>
      <c r="K290" s="81"/>
      <c r="L290" s="81"/>
    </row>
    <row r="291" spans="1:12" hidden="1">
      <c r="A291" s="79">
        <f t="shared" si="94"/>
        <v>195</v>
      </c>
      <c r="B291" s="79">
        <f>Additionals!A206</f>
        <v>11</v>
      </c>
      <c r="C291" s="148" t="str">
        <f>Additionals!B206</f>
        <v>GI Pipe φ 50mm (For grouting)</v>
      </c>
      <c r="D291" s="79" t="str">
        <f>Additionals!C206</f>
        <v>m</v>
      </c>
      <c r="E291" s="81">
        <f>Additionals!H221</f>
        <v>2418.5</v>
      </c>
      <c r="F291" s="81">
        <f t="shared" si="95"/>
        <v>18.600000000000001</v>
      </c>
      <c r="G291" s="152">
        <f t="shared" si="96"/>
        <v>0.53499999999999992</v>
      </c>
      <c r="H291" s="152">
        <f>Additionals!H223</f>
        <v>0.46500000000000002</v>
      </c>
      <c r="I291" s="572">
        <f t="shared" si="92"/>
        <v>1293.8974999999998</v>
      </c>
      <c r="J291" s="81">
        <f t="shared" si="93"/>
        <v>8.6490000000000009</v>
      </c>
      <c r="K291" s="81"/>
      <c r="L291" s="81"/>
    </row>
    <row r="292" spans="1:12" hidden="1">
      <c r="A292" s="79">
        <f t="shared" si="94"/>
        <v>196</v>
      </c>
      <c r="B292" s="79">
        <f>Additionals!A228</f>
        <v>12</v>
      </c>
      <c r="C292" s="148" t="str">
        <f>Additionals!B228</f>
        <v>Consolidation grouting</v>
      </c>
      <c r="D292" s="79" t="str">
        <f>Additionals!C229</f>
        <v>kg</v>
      </c>
      <c r="E292" s="81">
        <f>Additionals!H244</f>
        <v>56.5</v>
      </c>
      <c r="F292" s="81">
        <f t="shared" si="95"/>
        <v>0.43</v>
      </c>
      <c r="G292" s="152">
        <f t="shared" si="96"/>
        <v>0.14249999999999996</v>
      </c>
      <c r="H292" s="152">
        <f>Additionals!H246</f>
        <v>0.85750000000000004</v>
      </c>
      <c r="I292" s="572">
        <f t="shared" si="92"/>
        <v>8.0512499999999978</v>
      </c>
      <c r="J292" s="81">
        <f t="shared" si="93"/>
        <v>0.36872500000000002</v>
      </c>
      <c r="K292" s="81"/>
      <c r="L292" s="81"/>
    </row>
    <row r="293" spans="1:12" hidden="1">
      <c r="A293" s="79">
        <f t="shared" si="94"/>
        <v>197</v>
      </c>
      <c r="B293" s="79">
        <f>Additionals!A251</f>
        <v>13</v>
      </c>
      <c r="C293" s="148" t="str">
        <f>Additionals!B251</f>
        <v>Curtain grouting</v>
      </c>
      <c r="D293" s="79" t="str">
        <f>Additionals!C252</f>
        <v>kg</v>
      </c>
      <c r="E293" s="81">
        <f>Additionals!H267</f>
        <v>84.5</v>
      </c>
      <c r="F293" s="81">
        <f t="shared" si="95"/>
        <v>0.65</v>
      </c>
      <c r="G293" s="152">
        <f t="shared" si="96"/>
        <v>0.14249999999999996</v>
      </c>
      <c r="H293" s="152">
        <f>Additionals!H269</f>
        <v>0.85750000000000004</v>
      </c>
      <c r="I293" s="572">
        <f t="shared" si="92"/>
        <v>12.041249999999996</v>
      </c>
      <c r="J293" s="81">
        <f t="shared" si="93"/>
        <v>0.55737500000000006</v>
      </c>
      <c r="K293" s="81"/>
      <c r="L293" s="81"/>
    </row>
    <row r="294" spans="1:12" hidden="1">
      <c r="A294" s="79">
        <f t="shared" si="94"/>
        <v>198</v>
      </c>
      <c r="B294" s="79">
        <f>Additionals!A274</f>
        <v>14</v>
      </c>
      <c r="C294" s="148" t="str">
        <f>Additionals!B274</f>
        <v>Contact grouting/ Skin grouting</v>
      </c>
      <c r="D294" s="79" t="str">
        <f>Additionals!C275</f>
        <v>kg</v>
      </c>
      <c r="E294" s="81">
        <f>Additionals!H290</f>
        <v>112.5</v>
      </c>
      <c r="F294" s="81">
        <f t="shared" si="95"/>
        <v>0.87</v>
      </c>
      <c r="G294" s="152">
        <f t="shared" si="96"/>
        <v>0.14249999999999996</v>
      </c>
      <c r="H294" s="152">
        <f>Additionals!H292</f>
        <v>0.85750000000000004</v>
      </c>
      <c r="I294" s="572">
        <f t="shared" si="92"/>
        <v>16.031249999999996</v>
      </c>
      <c r="J294" s="81">
        <f t="shared" si="93"/>
        <v>0.74602500000000005</v>
      </c>
      <c r="K294" s="81"/>
      <c r="L294" s="81"/>
    </row>
    <row r="295" spans="1:12" hidden="1">
      <c r="A295" s="79"/>
      <c r="B295" s="79"/>
      <c r="C295" s="148"/>
      <c r="D295" s="79"/>
      <c r="E295" s="81"/>
      <c r="F295" s="81"/>
      <c r="G295" s="152"/>
      <c r="H295" s="152"/>
      <c r="I295" s="572"/>
      <c r="J295" s="81"/>
      <c r="K295" s="81"/>
      <c r="L295" s="81"/>
    </row>
    <row r="296" spans="1:12" hidden="1">
      <c r="A296" s="82" t="s">
        <v>695</v>
      </c>
      <c r="B296" s="82"/>
      <c r="C296" s="83" t="s">
        <v>542</v>
      </c>
      <c r="D296" s="83"/>
      <c r="E296" s="83"/>
      <c r="F296" s="83"/>
      <c r="G296" s="83"/>
      <c r="H296" s="83"/>
      <c r="I296" s="83"/>
      <c r="J296" s="83"/>
      <c r="K296" s="83"/>
      <c r="L296" s="83"/>
    </row>
    <row r="297" spans="1:12" hidden="1">
      <c r="A297" s="79">
        <f>A294+1</f>
        <v>199</v>
      </c>
      <c r="B297" s="79">
        <v>1</v>
      </c>
      <c r="C297" s="80" t="s">
        <v>548</v>
      </c>
      <c r="D297" s="79" t="s">
        <v>47</v>
      </c>
      <c r="E297" s="81">
        <f>(PI()/4*(0.42^2-0.4^2)*1*7850)*(100*1.15)</f>
        <v>11627.89834891552</v>
      </c>
      <c r="F297" s="81">
        <f t="shared" ref="F297:F302" si="97">ROUND(E297/exr,2)</f>
        <v>89.45</v>
      </c>
      <c r="G297" s="152">
        <f t="shared" ref="G297:G302" si="98">1-H297</f>
        <v>0.4</v>
      </c>
      <c r="H297" s="152">
        <v>0.6</v>
      </c>
      <c r="I297" s="572">
        <f t="shared" ref="I297:J302" si="99">E297*G297</f>
        <v>4651.1593395662085</v>
      </c>
      <c r="J297" s="81">
        <f t="shared" si="99"/>
        <v>53.67</v>
      </c>
      <c r="K297" s="81"/>
      <c r="L297" s="81"/>
    </row>
    <row r="298" spans="1:12" hidden="1">
      <c r="A298" s="79">
        <f t="shared" ref="A298:B304" si="100">A297+1</f>
        <v>200</v>
      </c>
      <c r="B298" s="79">
        <f t="shared" si="100"/>
        <v>2</v>
      </c>
      <c r="C298" s="80" t="s">
        <v>543</v>
      </c>
      <c r="D298" s="79" t="s">
        <v>127</v>
      </c>
      <c r="E298" s="81">
        <v>193.68</v>
      </c>
      <c r="F298" s="81">
        <f t="shared" si="97"/>
        <v>1.49</v>
      </c>
      <c r="G298" s="152">
        <f t="shared" si="98"/>
        <v>1</v>
      </c>
      <c r="H298" s="152">
        <v>0</v>
      </c>
      <c r="I298" s="572">
        <f t="shared" si="99"/>
        <v>193.68</v>
      </c>
      <c r="J298" s="81">
        <f t="shared" si="99"/>
        <v>0</v>
      </c>
      <c r="K298" s="81"/>
      <c r="L298" s="81"/>
    </row>
    <row r="299" spans="1:12" hidden="1">
      <c r="A299" s="79">
        <f t="shared" si="100"/>
        <v>201</v>
      </c>
      <c r="B299" s="79">
        <f t="shared" si="100"/>
        <v>3</v>
      </c>
      <c r="C299" s="80" t="s">
        <v>544</v>
      </c>
      <c r="D299" s="79" t="s">
        <v>47</v>
      </c>
      <c r="E299" s="81">
        <f>241.5*5</f>
        <v>1207.5</v>
      </c>
      <c r="F299" s="81">
        <f t="shared" si="97"/>
        <v>9.2899999999999991</v>
      </c>
      <c r="G299" s="152">
        <f t="shared" si="98"/>
        <v>0.19999999999999996</v>
      </c>
      <c r="H299" s="152">
        <v>0.8</v>
      </c>
      <c r="I299" s="572">
        <f t="shared" si="99"/>
        <v>241.49999999999994</v>
      </c>
      <c r="J299" s="81">
        <f t="shared" si="99"/>
        <v>7.4319999999999995</v>
      </c>
      <c r="K299" s="81"/>
      <c r="L299" s="81"/>
    </row>
    <row r="300" spans="1:12" hidden="1">
      <c r="A300" s="79">
        <f t="shared" si="100"/>
        <v>202</v>
      </c>
      <c r="B300" s="79">
        <f t="shared" si="100"/>
        <v>4</v>
      </c>
      <c r="C300" s="243" t="s">
        <v>545</v>
      </c>
      <c r="D300" s="79" t="s">
        <v>47</v>
      </c>
      <c r="E300" s="81">
        <f>249*5</f>
        <v>1245</v>
      </c>
      <c r="F300" s="81">
        <f t="shared" si="97"/>
        <v>9.58</v>
      </c>
      <c r="G300" s="152">
        <f t="shared" si="98"/>
        <v>0.19999999999999996</v>
      </c>
      <c r="H300" s="152">
        <v>0.8</v>
      </c>
      <c r="I300" s="572">
        <f t="shared" si="99"/>
        <v>248.99999999999994</v>
      </c>
      <c r="J300" s="81">
        <f t="shared" si="99"/>
        <v>7.6640000000000006</v>
      </c>
      <c r="K300" s="81"/>
      <c r="L300" s="81"/>
    </row>
    <row r="301" spans="1:12" hidden="1">
      <c r="A301" s="79">
        <f t="shared" si="100"/>
        <v>203</v>
      </c>
      <c r="B301" s="79">
        <f t="shared" si="100"/>
        <v>5</v>
      </c>
      <c r="C301" s="80" t="s">
        <v>546</v>
      </c>
      <c r="D301" s="79" t="s">
        <v>47</v>
      </c>
      <c r="E301" s="233">
        <v>6000</v>
      </c>
      <c r="F301" s="81">
        <f t="shared" si="97"/>
        <v>46.15</v>
      </c>
      <c r="G301" s="152">
        <f t="shared" si="98"/>
        <v>9.9999999999999978E-2</v>
      </c>
      <c r="H301" s="152">
        <v>0.9</v>
      </c>
      <c r="I301" s="572">
        <f t="shared" si="99"/>
        <v>599.99999999999989</v>
      </c>
      <c r="J301" s="81">
        <f t="shared" si="99"/>
        <v>41.534999999999997</v>
      </c>
      <c r="K301" s="81"/>
      <c r="L301" s="81"/>
    </row>
    <row r="302" spans="1:12" hidden="1">
      <c r="A302" s="79">
        <f t="shared" si="100"/>
        <v>204</v>
      </c>
      <c r="B302" s="79">
        <f t="shared" si="100"/>
        <v>6</v>
      </c>
      <c r="C302" s="80" t="s">
        <v>547</v>
      </c>
      <c r="D302" s="79" t="s">
        <v>47</v>
      </c>
      <c r="E302" s="81">
        <v>1451.4</v>
      </c>
      <c r="F302" s="81">
        <f t="shared" si="97"/>
        <v>11.16</v>
      </c>
      <c r="G302" s="152">
        <f t="shared" si="98"/>
        <v>0.19999999999999996</v>
      </c>
      <c r="H302" s="152">
        <v>0.8</v>
      </c>
      <c r="I302" s="572">
        <f t="shared" si="99"/>
        <v>290.27999999999997</v>
      </c>
      <c r="J302" s="81">
        <f t="shared" si="99"/>
        <v>8.9280000000000008</v>
      </c>
      <c r="K302" s="81"/>
      <c r="L302" s="81"/>
    </row>
    <row r="303" spans="1:12" hidden="1">
      <c r="A303" s="79">
        <f t="shared" si="100"/>
        <v>205</v>
      </c>
      <c r="B303" s="79">
        <f t="shared" si="100"/>
        <v>7</v>
      </c>
      <c r="C303" s="80" t="s">
        <v>740</v>
      </c>
      <c r="D303" s="79" t="s">
        <v>47</v>
      </c>
      <c r="E303" s="81">
        <f>(PI()/4*(0.32^2-0.3^2)*1*7850)*(100*1.15)</f>
        <v>8791.8255808873819</v>
      </c>
      <c r="F303" s="81">
        <f>ROUND(E303/exr,2)</f>
        <v>67.63</v>
      </c>
      <c r="G303" s="152">
        <f>1-H303</f>
        <v>0.4</v>
      </c>
      <c r="H303" s="152">
        <v>0.6</v>
      </c>
      <c r="I303" s="572">
        <f>E303*G303</f>
        <v>3516.7302323549529</v>
      </c>
      <c r="J303" s="81">
        <f>F303*H303</f>
        <v>40.577999999999996</v>
      </c>
      <c r="K303" s="81"/>
      <c r="L303" s="81"/>
    </row>
    <row r="304" spans="1:12" hidden="1">
      <c r="A304" s="79">
        <f t="shared" si="100"/>
        <v>206</v>
      </c>
      <c r="B304" s="79">
        <f t="shared" si="100"/>
        <v>8</v>
      </c>
      <c r="C304" s="234" t="s">
        <v>742</v>
      </c>
      <c r="D304" s="79" t="s">
        <v>127</v>
      </c>
      <c r="E304" s="233">
        <v>350</v>
      </c>
      <c r="F304" s="81">
        <f>ROUND(E304/exr,2)</f>
        <v>2.69</v>
      </c>
      <c r="G304" s="152">
        <v>0.2</v>
      </c>
      <c r="H304" s="152">
        <v>0.9</v>
      </c>
      <c r="I304" s="572">
        <f>E304*G304</f>
        <v>70</v>
      </c>
      <c r="J304" s="81">
        <f>F304*H304</f>
        <v>2.4209999999999998</v>
      </c>
      <c r="K304" s="81"/>
      <c r="L304" s="81"/>
    </row>
    <row r="305" spans="1:12" hidden="1">
      <c r="I305" s="574"/>
    </row>
    <row r="306" spans="1:12" hidden="1">
      <c r="A306" s="82" t="s">
        <v>750</v>
      </c>
      <c r="B306" s="82"/>
      <c r="C306" s="83" t="s">
        <v>751</v>
      </c>
      <c r="D306" s="83"/>
      <c r="E306" s="83"/>
      <c r="F306" s="83"/>
      <c r="G306" s="83"/>
      <c r="H306" s="83"/>
      <c r="I306" s="83"/>
      <c r="J306" s="83"/>
      <c r="K306" s="83"/>
      <c r="L306" s="83"/>
    </row>
    <row r="307" spans="1:12" ht="31.5" hidden="1">
      <c r="A307" s="79">
        <f>A304+1</f>
        <v>207</v>
      </c>
      <c r="B307" s="79">
        <v>1</v>
      </c>
      <c r="C307" s="513" t="str">
        <f>'Dry stone soling'!B4</f>
        <v>Providing and laying dry stone masonry(coursed rubble) including dressing etc. complete as per specification, lead 30m</v>
      </c>
      <c r="D307" s="79" t="str">
        <f>'Dry stone soling'!C4</f>
        <v>cum</v>
      </c>
      <c r="E307" s="81">
        <f>'Dry stone soling'!H14</f>
        <v>4965</v>
      </c>
      <c r="F307" s="81">
        <f>ROUND(E307/exr,2)</f>
        <v>38.19</v>
      </c>
      <c r="G307" s="152">
        <f>1-H307</f>
        <v>1</v>
      </c>
      <c r="H307" s="247">
        <f>'Dry stone soling'!H16</f>
        <v>0</v>
      </c>
      <c r="I307" s="572">
        <f>E307*G307</f>
        <v>4965</v>
      </c>
      <c r="J307" s="81">
        <f>F307*H307</f>
        <v>0</v>
      </c>
      <c r="K307" s="81"/>
      <c r="L307" s="81"/>
    </row>
    <row r="308" spans="1:12" hidden="1">
      <c r="C308" s="246"/>
      <c r="I308" s="574"/>
    </row>
    <row r="309" spans="1:12" hidden="1">
      <c r="I309" s="574"/>
    </row>
    <row r="310" spans="1:12" hidden="1">
      <c r="A310" s="82" t="s">
        <v>847</v>
      </c>
      <c r="B310" s="82"/>
      <c r="C310" s="83" t="s">
        <v>855</v>
      </c>
      <c r="D310" s="83"/>
      <c r="E310" s="83"/>
      <c r="F310" s="83"/>
      <c r="G310" s="83"/>
      <c r="H310" s="83"/>
      <c r="I310" s="83"/>
      <c r="J310" s="83"/>
      <c r="K310" s="83"/>
      <c r="L310" s="83"/>
    </row>
    <row r="311" spans="1:12" hidden="1">
      <c r="A311" s="505">
        <f>A307+1</f>
        <v>208</v>
      </c>
      <c r="B311" s="505">
        <v>1</v>
      </c>
      <c r="C311" s="514" t="str">
        <f>'Surface Water Stopper'!B4</f>
        <v>300mm PVC waterstopper</v>
      </c>
      <c r="D311" s="512" t="str">
        <f>'Surface Water Stopper'!C4</f>
        <v>m</v>
      </c>
      <c r="E311" s="506">
        <f>'Surface Water Stopper'!H14</f>
        <v>536</v>
      </c>
      <c r="F311" s="506">
        <f>ROUND(E311/exr,2)</f>
        <v>4.12</v>
      </c>
      <c r="G311" s="507">
        <f>1-H311</f>
        <v>0.1875</v>
      </c>
      <c r="H311" s="508">
        <f>'Surface Water Stopper'!H16</f>
        <v>0.8125</v>
      </c>
      <c r="I311" s="575">
        <f>E311*G311</f>
        <v>100.5</v>
      </c>
      <c r="J311" s="506">
        <f>F311*H311</f>
        <v>3.3475000000000001</v>
      </c>
      <c r="K311" s="506"/>
      <c r="L311" s="506"/>
    </row>
    <row r="312" spans="1:12" hidden="1">
      <c r="A312" s="509"/>
      <c r="B312" s="510"/>
      <c r="C312" s="511"/>
      <c r="D312" s="511"/>
      <c r="E312" s="509"/>
      <c r="F312" s="509"/>
      <c r="G312" s="509"/>
      <c r="H312" s="509"/>
      <c r="I312" s="576"/>
      <c r="J312" s="510"/>
      <c r="K312" s="509"/>
      <c r="L312" s="509"/>
    </row>
    <row r="313" spans="1:12" hidden="1">
      <c r="I313" s="574"/>
    </row>
    <row r="314" spans="1:12" hidden="1">
      <c r="A314" s="82" t="s">
        <v>854</v>
      </c>
      <c r="B314" s="82"/>
      <c r="C314" s="83" t="s">
        <v>857</v>
      </c>
      <c r="D314" s="83"/>
      <c r="E314" s="83"/>
      <c r="F314" s="83"/>
      <c r="G314" s="83"/>
      <c r="H314" s="83"/>
      <c r="I314" s="83"/>
      <c r="J314" s="83"/>
      <c r="K314" s="83"/>
      <c r="L314" s="83"/>
    </row>
    <row r="315" spans="1:12" hidden="1">
      <c r="A315" s="79">
        <f>A311+1</f>
        <v>209</v>
      </c>
      <c r="B315" s="79">
        <v>1</v>
      </c>
      <c r="C315" s="513" t="str">
        <f>'Surface Shotcrete'!B3</f>
        <v>Shotcrete (Plain) T=100mm</v>
      </c>
      <c r="D315" s="79" t="s">
        <v>127</v>
      </c>
      <c r="E315" s="81">
        <f>'Surface Shotcrete'!L20</f>
        <v>5602.8590716666668</v>
      </c>
      <c r="F315" s="81">
        <f>ROUND(E315/exr,2)</f>
        <v>43.1</v>
      </c>
      <c r="G315" s="152">
        <f>1-H315</f>
        <v>0.43999999999999995</v>
      </c>
      <c r="H315" s="247">
        <f>'Surface Shotcrete'!O20</f>
        <v>0.56000000000000005</v>
      </c>
      <c r="I315" s="572">
        <f>E315*G315</f>
        <v>2465.2579915333331</v>
      </c>
      <c r="J315" s="81">
        <f>F315*H315</f>
        <v>24.136000000000003</v>
      </c>
      <c r="K315" s="81"/>
      <c r="L315" s="81"/>
    </row>
    <row r="316" spans="1:12" hidden="1">
      <c r="A316" s="79">
        <f>A315+1</f>
        <v>210</v>
      </c>
      <c r="B316" s="79">
        <v>2</v>
      </c>
      <c r="C316" s="513" t="str">
        <f>'Surface Shotcrete'!B6</f>
        <v>Shotcrete (Plain) T=50mm</v>
      </c>
      <c r="D316" s="79" t="s">
        <v>127</v>
      </c>
      <c r="E316" s="81">
        <f>'Surface Shotcrete'!L21</f>
        <v>2801.4295358333334</v>
      </c>
      <c r="F316" s="81">
        <f>ROUND(E316/exr,2)</f>
        <v>21.55</v>
      </c>
      <c r="G316" s="152">
        <f>1-H316</f>
        <v>0.43999999999999995</v>
      </c>
      <c r="H316" s="247">
        <f>'Surface Shotcrete'!O20</f>
        <v>0.56000000000000005</v>
      </c>
      <c r="I316" s="572">
        <f>E316*G316</f>
        <v>1232.6289957666665</v>
      </c>
      <c r="J316" s="81">
        <f>F316*H316</f>
        <v>12.068000000000001</v>
      </c>
      <c r="K316" s="81"/>
      <c r="L316" s="81"/>
    </row>
    <row r="317" spans="1:12" hidden="1">
      <c r="I317" s="574"/>
    </row>
    <row r="318" spans="1:12" hidden="1">
      <c r="A318" s="82" t="s">
        <v>856</v>
      </c>
      <c r="B318" s="82"/>
      <c r="C318" s="83" t="s">
        <v>859</v>
      </c>
      <c r="D318" s="83"/>
      <c r="E318" s="83"/>
      <c r="F318" s="83"/>
      <c r="G318" s="83"/>
      <c r="H318" s="83"/>
      <c r="I318" s="83"/>
      <c r="J318" s="83"/>
      <c r="K318" s="83"/>
      <c r="L318" s="83"/>
    </row>
    <row r="319" spans="1:12" hidden="1">
      <c r="A319" s="79">
        <f>A315+1</f>
        <v>210</v>
      </c>
      <c r="B319" s="79">
        <v>1</v>
      </c>
      <c r="C319" s="513" t="str">
        <f>Surface_Rockbolt!B4</f>
        <v>Rockbolts (25Φ)   Length = 1.5m</v>
      </c>
      <c r="D319" s="79" t="str">
        <f>Surface_Rockbolt!C4</f>
        <v>nos.</v>
      </c>
      <c r="E319" s="81">
        <f>Surface_Rockbolt!H22</f>
        <v>3729.5</v>
      </c>
      <c r="F319" s="81">
        <f>ROUND(E319/exr,2)</f>
        <v>28.69</v>
      </c>
      <c r="G319" s="152">
        <f>1-H319</f>
        <v>7.4999999999999956E-2</v>
      </c>
      <c r="H319" s="247">
        <f>Surface_Rockbolt!H24</f>
        <v>0.92500000000000004</v>
      </c>
      <c r="I319" s="572">
        <f>E319*G319</f>
        <v>279.71249999999981</v>
      </c>
      <c r="J319" s="81">
        <f>F319*H319</f>
        <v>26.538250000000001</v>
      </c>
      <c r="K319" s="81"/>
      <c r="L319" s="81"/>
    </row>
    <row r="320" spans="1:12" hidden="1">
      <c r="I320" s="574"/>
    </row>
    <row r="321" spans="1:12" hidden="1">
      <c r="A321" s="82" t="s">
        <v>858</v>
      </c>
      <c r="B321" s="82"/>
      <c r="C321" s="83" t="s">
        <v>905</v>
      </c>
      <c r="D321" s="83"/>
      <c r="E321" s="83"/>
      <c r="F321" s="83"/>
      <c r="G321" s="83"/>
      <c r="H321" s="83"/>
      <c r="I321" s="83"/>
      <c r="J321" s="83"/>
      <c r="K321" s="83"/>
      <c r="L321" s="83"/>
    </row>
    <row r="322" spans="1:12" hidden="1">
      <c r="A322" s="79">
        <f>A316+1</f>
        <v>211</v>
      </c>
      <c r="B322" s="79">
        <v>1</v>
      </c>
      <c r="C322" s="85" t="str">
        <f>'Exploratory Drilling 1'!B4</f>
        <v xml:space="preserve">Drilling / Boring for sub-soil investigation drilling depth range 12-15m.                             </v>
      </c>
      <c r="D322" s="79" t="str">
        <f>'Exploratory Drilling 1'!C5</f>
        <v>m</v>
      </c>
      <c r="E322" s="554">
        <f>'Exploratory Drilling 1'!H18</f>
        <v>7495.5</v>
      </c>
      <c r="F322" s="81">
        <f>ROUND(E322/exr,2)</f>
        <v>57.66</v>
      </c>
      <c r="G322" s="152">
        <f>1-H322</f>
        <v>0.9425</v>
      </c>
      <c r="H322" s="555">
        <f>'Exploratory Drilling 1'!H20</f>
        <v>5.7500000000000002E-2</v>
      </c>
      <c r="I322" s="572">
        <f>E322*G322</f>
        <v>7064.50875</v>
      </c>
      <c r="J322" s="81">
        <f>F322*H322</f>
        <v>3.3154499999999998</v>
      </c>
      <c r="K322" s="81"/>
      <c r="L322" s="81"/>
    </row>
    <row r="323" spans="1:12" hidden="1">
      <c r="A323" s="85"/>
      <c r="B323" s="85"/>
      <c r="C323" s="85" t="str">
        <f>'Exploratory Drilling 1'!B9</f>
        <v xml:space="preserve"> i) Soft soil</v>
      </c>
      <c r="D323" s="79"/>
      <c r="E323" s="85"/>
      <c r="F323" s="85"/>
      <c r="G323" s="85"/>
      <c r="H323" s="85"/>
      <c r="I323" s="573"/>
      <c r="J323" s="85"/>
      <c r="K323" s="85"/>
      <c r="L323" s="85"/>
    </row>
    <row r="324" spans="1:12" hidden="1">
      <c r="A324" s="85"/>
      <c r="B324" s="85"/>
      <c r="C324" s="85"/>
      <c r="D324" s="79"/>
      <c r="E324" s="85"/>
      <c r="F324" s="85"/>
      <c r="G324" s="85"/>
      <c r="H324" s="85"/>
      <c r="I324" s="573"/>
      <c r="J324" s="85"/>
      <c r="K324" s="85"/>
      <c r="L324" s="85"/>
    </row>
    <row r="325" spans="1:12" hidden="1">
      <c r="A325" s="79">
        <f>A322+1</f>
        <v>212</v>
      </c>
      <c r="B325" s="79">
        <v>2</v>
      </c>
      <c r="C325" s="85" t="str">
        <f>'Exploratory Drilling 1'!B25</f>
        <v xml:space="preserve">Drilling / Boring for sub-soil investigation drilling depth range 12-15m.                              </v>
      </c>
      <c r="D325" s="79" t="str">
        <f>'Exploratory Drilling 1'!C26</f>
        <v>m</v>
      </c>
      <c r="E325" s="554">
        <f>'Exploratory Drilling 1'!H39</f>
        <v>15033.5</v>
      </c>
      <c r="F325" s="81">
        <f>ROUND(E325/exr,2)</f>
        <v>115.64</v>
      </c>
      <c r="G325" s="152">
        <f>1-H325</f>
        <v>0.82750000000000001</v>
      </c>
      <c r="H325" s="555">
        <f>'Exploratory Drilling 1'!H41</f>
        <v>0.17250000000000001</v>
      </c>
      <c r="I325" s="572">
        <f>E325*G325</f>
        <v>12440.221250000001</v>
      </c>
      <c r="J325" s="81">
        <f>F325*H325</f>
        <v>19.947900000000001</v>
      </c>
      <c r="K325" s="81"/>
      <c r="L325" s="81"/>
    </row>
    <row r="326" spans="1:12" hidden="1">
      <c r="A326" s="85"/>
      <c r="B326" s="85"/>
      <c r="C326" s="85" t="str">
        <f>'Exploratory Drilling 1'!B30</f>
        <v>ii) Hard soil (Gravel, boulder, cobble, etc. mixed soil)</v>
      </c>
      <c r="D326" s="79"/>
      <c r="E326" s="85"/>
      <c r="F326" s="85"/>
      <c r="G326" s="85"/>
      <c r="H326" s="85"/>
      <c r="I326" s="573"/>
      <c r="J326" s="85"/>
      <c r="K326" s="85"/>
      <c r="L326" s="85"/>
    </row>
    <row r="327" spans="1:12" hidden="1">
      <c r="A327" s="85"/>
      <c r="B327" s="85"/>
      <c r="C327" s="85"/>
      <c r="D327" s="79"/>
      <c r="E327" s="85"/>
      <c r="F327" s="85"/>
      <c r="G327" s="85"/>
      <c r="H327" s="85"/>
      <c r="I327" s="573"/>
      <c r="J327" s="85"/>
      <c r="K327" s="85"/>
      <c r="L327" s="85"/>
    </row>
    <row r="328" spans="1:12" hidden="1">
      <c r="A328" s="79">
        <f>A325+1</f>
        <v>213</v>
      </c>
      <c r="B328" s="79">
        <v>3</v>
      </c>
      <c r="C328" s="85" t="str">
        <f>'Exploratory Drilling 1'!B46</f>
        <v xml:space="preserve">Drilling / Boring for sub-soil investigation drilling depth range 12-15m.                         </v>
      </c>
      <c r="D328" s="79" t="str">
        <f>'Exploratory Drilling 1'!C47</f>
        <v>m</v>
      </c>
      <c r="E328" s="554">
        <f>'Exploratory Drilling 1'!H60</f>
        <v>12490</v>
      </c>
      <c r="F328" s="81">
        <f>ROUND(E328/exr,2)</f>
        <v>96.08</v>
      </c>
      <c r="G328" s="152">
        <f>1-H328</f>
        <v>0.86250000000000004</v>
      </c>
      <c r="H328" s="555">
        <f>'Exploratory Drilling 1'!H62</f>
        <v>0.13750000000000001</v>
      </c>
      <c r="I328" s="572">
        <f>E328*G328</f>
        <v>10772.625</v>
      </c>
      <c r="J328" s="81">
        <f>F328*H328</f>
        <v>13.211</v>
      </c>
      <c r="K328" s="81"/>
      <c r="L328" s="81"/>
    </row>
    <row r="329" spans="1:12" hidden="1">
      <c r="A329" s="79"/>
      <c r="B329" s="79"/>
      <c r="C329" s="85" t="str">
        <f>'Exploratory Drilling 1'!B51</f>
        <v>iii) Soft Rock</v>
      </c>
      <c r="D329" s="79"/>
      <c r="E329" s="85"/>
      <c r="F329" s="85"/>
      <c r="G329" s="85"/>
      <c r="H329" s="85"/>
      <c r="I329" s="85"/>
      <c r="J329" s="85"/>
      <c r="K329" s="85"/>
      <c r="L329" s="85"/>
    </row>
    <row r="330" spans="1:12" hidden="1">
      <c r="A330" s="79"/>
      <c r="B330" s="79"/>
      <c r="C330" s="85"/>
      <c r="D330" s="79"/>
      <c r="E330" s="85"/>
      <c r="F330" s="85"/>
      <c r="G330" s="85"/>
      <c r="H330" s="85"/>
      <c r="I330" s="85"/>
      <c r="J330" s="85"/>
      <c r="K330" s="85"/>
      <c r="L330" s="85"/>
    </row>
    <row r="331" spans="1:12" hidden="1">
      <c r="A331" s="79">
        <f>A328+1</f>
        <v>214</v>
      </c>
      <c r="B331" s="79">
        <v>4</v>
      </c>
      <c r="C331" s="85" t="str">
        <f>'Exploratory Drilling 1'!B67</f>
        <v xml:space="preserve">Drilling / Boring for sub-soil investigation drilling depth range 12-15m.                              </v>
      </c>
      <c r="D331" s="79" t="str">
        <f>'Exploratory Drilling 1'!C68</f>
        <v>m</v>
      </c>
      <c r="E331" s="554">
        <f>'Exploratory Drilling 1'!H81</f>
        <v>18499.5</v>
      </c>
      <c r="F331" s="81">
        <f>ROUND(E331/exr,2)</f>
        <v>142.30000000000001</v>
      </c>
      <c r="G331" s="152">
        <f>1-H331</f>
        <v>0.86</v>
      </c>
      <c r="H331" s="555">
        <f>'Exploratory Drilling 1'!H83</f>
        <v>0.14000000000000001</v>
      </c>
      <c r="I331" s="81">
        <f>E331*G331</f>
        <v>15909.57</v>
      </c>
      <c r="J331" s="81">
        <f>F331*H331</f>
        <v>19.922000000000004</v>
      </c>
      <c r="K331" s="81"/>
      <c r="L331" s="81"/>
    </row>
    <row r="332" spans="1:12" hidden="1">
      <c r="A332" s="85"/>
      <c r="B332" s="85"/>
      <c r="C332" s="85" t="str">
        <f>'Exploratory Drilling 1'!B72</f>
        <v>iv) Hard Rock</v>
      </c>
      <c r="D332" s="85"/>
      <c r="E332" s="85"/>
      <c r="F332" s="85"/>
      <c r="G332" s="85"/>
      <c r="H332" s="85"/>
      <c r="I332" s="85"/>
      <c r="J332" s="85"/>
      <c r="K332" s="85"/>
      <c r="L332" s="85"/>
    </row>
  </sheetData>
  <autoFilter ref="K2:K332">
    <filterColumn colId="0">
      <customFilters>
        <customFilter operator="notEqual" val=" "/>
      </customFilters>
    </filterColumn>
  </autoFilter>
  <printOptions horizontalCentered="1"/>
  <pageMargins left="0.36" right="0.16" top="0.91" bottom="0.75" header="0.3" footer="0.3"/>
  <pageSetup paperSize="9" scale="75" orientation="portrait" r:id="rId1"/>
  <headerFooter>
    <oddHeader>&amp;L&amp;"Gill Sans MT,Italic"&amp;9Hydro Consult
Nyadi Hydropower Project&amp;R&amp;"Gill Sans MT,Italic"&amp;9&amp;A</oddHeader>
    <oddFooter>&amp;R&amp;"Gill Sans MT,Italic"&amp;9Page &amp;P of &amp;N</oddFooter>
  </headerFooter>
  <rowBreaks count="1" manualBreakCount="1">
    <brk id="210" max="9" man="1"/>
  </rowBreak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97"/>
  <sheetViews>
    <sheetView workbookViewId="0">
      <selection sqref="A1:A2"/>
    </sheetView>
  </sheetViews>
  <sheetFormatPr defaultColWidth="9.140625" defaultRowHeight="15.75"/>
  <cols>
    <col min="1" max="1" width="10.7109375" style="1" customWidth="1"/>
    <col min="2" max="2" width="25.42578125" style="1" customWidth="1"/>
    <col min="3" max="3" width="5.28515625" style="1" customWidth="1"/>
    <col min="4" max="4" width="9.140625" style="1"/>
    <col min="5" max="5" width="5.28515625" style="1" customWidth="1"/>
    <col min="6" max="7" width="9.140625" style="1"/>
    <col min="8" max="8" width="10.7109375" style="1" customWidth="1"/>
    <col min="9" max="9" width="20.140625" style="1" customWidth="1"/>
    <col min="10" max="10" width="5.28515625" style="1" customWidth="1"/>
    <col min="11" max="11" width="9.140625" style="1"/>
    <col min="12" max="12" width="9.85546875" style="1" bestFit="1" customWidth="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229</v>
      </c>
      <c r="C3" s="31"/>
      <c r="D3" s="31"/>
      <c r="E3" s="31"/>
      <c r="F3" s="31"/>
      <c r="G3" s="31"/>
      <c r="H3" s="31"/>
      <c r="I3" s="31"/>
      <c r="J3" s="31"/>
      <c r="K3" s="31"/>
      <c r="L3" s="31"/>
      <c r="M3" s="31"/>
      <c r="N3" s="31"/>
      <c r="O3" s="31"/>
      <c r="P3" s="31"/>
      <c r="Q3" s="31"/>
      <c r="R3" s="32"/>
    </row>
    <row r="4" spans="1:18" ht="15.75" customHeight="1">
      <c r="A4" s="34">
        <v>1</v>
      </c>
      <c r="B4" s="701" t="s">
        <v>233</v>
      </c>
      <c r="C4" s="66">
        <v>10</v>
      </c>
      <c r="D4" s="4"/>
      <c r="E4" s="6"/>
      <c r="F4" s="29"/>
      <c r="G4" s="26"/>
      <c r="H4" s="26"/>
      <c r="I4" s="6"/>
      <c r="J4" s="6"/>
      <c r="K4" s="29"/>
      <c r="L4" s="26"/>
      <c r="M4" s="26"/>
      <c r="N4" s="6"/>
      <c r="O4" s="6"/>
      <c r="P4" s="29"/>
      <c r="Q4" s="26"/>
      <c r="R4" s="26"/>
    </row>
    <row r="5" spans="1:18">
      <c r="A5" s="2"/>
      <c r="B5" s="702"/>
      <c r="C5" s="124" t="s">
        <v>127</v>
      </c>
      <c r="D5" s="4" t="s">
        <v>96</v>
      </c>
      <c r="E5" s="6" t="s">
        <v>81</v>
      </c>
      <c r="F5" s="29">
        <v>1.5</v>
      </c>
      <c r="G5" s="26">
        <f>sr</f>
        <v>1100</v>
      </c>
      <c r="H5" s="26">
        <f>F5*G5</f>
        <v>1650</v>
      </c>
      <c r="I5" s="7" t="s">
        <v>230</v>
      </c>
      <c r="J5" s="8" t="s">
        <v>11</v>
      </c>
      <c r="K5" s="29">
        <f>0.42/8</f>
        <v>5.2499999999999998E-2</v>
      </c>
      <c r="L5" s="28">
        <f>planks</f>
        <v>34635.06</v>
      </c>
      <c r="M5" s="26">
        <f>K5*L5</f>
        <v>1818.3406499999999</v>
      </c>
      <c r="N5" s="8"/>
      <c r="O5" s="6"/>
      <c r="P5" s="29"/>
      <c r="Q5" s="28"/>
      <c r="R5" s="26"/>
    </row>
    <row r="6" spans="1:18">
      <c r="A6" s="2"/>
      <c r="B6" s="702"/>
      <c r="C6" s="6"/>
      <c r="D6" s="4" t="s">
        <v>97</v>
      </c>
      <c r="E6" s="6" t="s">
        <v>81</v>
      </c>
      <c r="F6" s="29">
        <v>2</v>
      </c>
      <c r="G6" s="26">
        <f>ur</f>
        <v>850</v>
      </c>
      <c r="H6" s="26">
        <f>F6*G6</f>
        <v>1700</v>
      </c>
      <c r="I6" s="7" t="s">
        <v>231</v>
      </c>
      <c r="J6" s="8" t="s">
        <v>11</v>
      </c>
      <c r="K6" s="29">
        <f>0.18/12</f>
        <v>1.4999999999999999E-2</v>
      </c>
      <c r="L6" s="154">
        <f>AVERAGE(timber,planks)</f>
        <v>64135.06</v>
      </c>
      <c r="M6" s="26">
        <f>K6*L6</f>
        <v>962.02589999999998</v>
      </c>
      <c r="N6" s="8"/>
      <c r="O6" s="6"/>
      <c r="P6" s="29"/>
      <c r="Q6" s="28"/>
      <c r="R6" s="26"/>
    </row>
    <row r="7" spans="1:18">
      <c r="A7" s="2"/>
      <c r="B7" s="702"/>
      <c r="C7" s="6"/>
      <c r="D7" s="4"/>
      <c r="E7" s="6"/>
      <c r="F7" s="29"/>
      <c r="G7" s="26"/>
      <c r="H7" s="26"/>
      <c r="I7" s="7" t="s">
        <v>232</v>
      </c>
      <c r="J7" s="8" t="s">
        <v>28</v>
      </c>
      <c r="K7" s="29">
        <v>1</v>
      </c>
      <c r="L7" s="28">
        <f>nails/1000</f>
        <v>124.14419000000001</v>
      </c>
      <c r="M7" s="26">
        <f>K7*L7</f>
        <v>124.14419000000001</v>
      </c>
      <c r="N7" s="8"/>
      <c r="O7" s="6"/>
      <c r="P7" s="29"/>
      <c r="Q7" s="28"/>
      <c r="R7" s="26"/>
    </row>
    <row r="8" spans="1:18">
      <c r="A8" s="2"/>
      <c r="B8" s="702"/>
      <c r="C8" s="6"/>
      <c r="D8" s="4"/>
      <c r="E8" s="6"/>
      <c r="F8" s="29"/>
      <c r="G8" s="26"/>
      <c r="H8" s="26"/>
      <c r="I8" s="7"/>
      <c r="J8" s="8"/>
      <c r="K8" s="29"/>
      <c r="L8" s="28"/>
      <c r="M8" s="28"/>
      <c r="N8" s="8"/>
      <c r="O8" s="6"/>
      <c r="P8" s="29"/>
      <c r="Q8" s="28"/>
      <c r="R8" s="28"/>
    </row>
    <row r="9" spans="1:18">
      <c r="A9" s="2"/>
      <c r="B9" s="5"/>
      <c r="C9" s="6"/>
      <c r="D9" s="4"/>
      <c r="E9" s="9"/>
      <c r="F9" s="30"/>
      <c r="G9" s="27"/>
      <c r="H9" s="27"/>
      <c r="I9" s="9"/>
      <c r="J9" s="10"/>
      <c r="K9" s="30"/>
      <c r="L9" s="28"/>
      <c r="M9" s="28"/>
      <c r="N9" s="8"/>
      <c r="O9" s="6"/>
      <c r="P9" s="30"/>
      <c r="Q9" s="28"/>
      <c r="R9" s="28"/>
    </row>
    <row r="10" spans="1:18">
      <c r="A10" s="2"/>
      <c r="B10" s="11"/>
      <c r="C10" s="6"/>
      <c r="D10" s="12"/>
      <c r="E10" s="59"/>
      <c r="F10" s="13"/>
      <c r="G10" s="13" t="s">
        <v>20</v>
      </c>
      <c r="H10" s="25">
        <f>SUM(H4:H9)</f>
        <v>3350</v>
      </c>
      <c r="I10" s="703"/>
      <c r="J10" s="703"/>
      <c r="K10" s="14"/>
      <c r="L10" s="13" t="s">
        <v>21</v>
      </c>
      <c r="M10" s="25">
        <f>SUM(M4:M9)</f>
        <v>2904.5107399999997</v>
      </c>
      <c r="N10" s="3"/>
      <c r="O10" s="14"/>
      <c r="P10" s="14"/>
      <c r="Q10" s="13" t="s">
        <v>22</v>
      </c>
      <c r="R10" s="25">
        <f>SUM(R4:R9)</f>
        <v>0</v>
      </c>
    </row>
    <row r="11" spans="1:18">
      <c r="A11" s="2"/>
      <c r="B11" s="16" t="s">
        <v>13</v>
      </c>
      <c r="C11" s="14"/>
      <c r="D11" s="14"/>
      <c r="E11" s="14"/>
      <c r="F11" s="14"/>
      <c r="G11" s="13"/>
      <c r="H11" s="35">
        <f>M10+R10+H10</f>
        <v>6254.5107399999997</v>
      </c>
      <c r="I11" s="17"/>
      <c r="J11" s="14"/>
      <c r="K11" s="14"/>
      <c r="L11" s="13"/>
      <c r="M11" s="15"/>
      <c r="N11" s="14"/>
      <c r="O11" s="14"/>
      <c r="P11" s="14"/>
      <c r="Q11" s="14"/>
      <c r="R11" s="17"/>
    </row>
    <row r="12" spans="1:18">
      <c r="A12" s="2"/>
      <c r="B12" s="11" t="s">
        <v>25</v>
      </c>
      <c r="C12" s="4"/>
      <c r="D12" s="4"/>
      <c r="E12" s="4"/>
      <c r="F12" s="4"/>
      <c r="G12" s="18"/>
      <c r="H12" s="36">
        <v>0</v>
      </c>
      <c r="I12" s="20"/>
      <c r="J12" s="4" t="s">
        <v>26</v>
      </c>
      <c r="K12" s="4"/>
      <c r="L12" s="18"/>
      <c r="M12" s="19"/>
      <c r="N12" s="4"/>
      <c r="O12" s="4"/>
      <c r="P12" s="4"/>
      <c r="Q12" s="4"/>
      <c r="R12" s="20"/>
    </row>
    <row r="13" spans="1:18">
      <c r="A13" s="23"/>
      <c r="B13" s="11" t="s">
        <v>14</v>
      </c>
      <c r="C13" s="4"/>
      <c r="D13" s="4"/>
      <c r="E13" s="4"/>
      <c r="F13" s="4"/>
      <c r="G13" s="18"/>
      <c r="H13" s="36">
        <f>SUM(H11:H12)</f>
        <v>6254.5107399999997</v>
      </c>
      <c r="I13" s="20"/>
      <c r="J13" s="741"/>
      <c r="K13" s="742"/>
      <c r="L13" s="742"/>
      <c r="M13" s="742"/>
      <c r="N13" s="742"/>
      <c r="O13" s="742"/>
      <c r="P13" s="742"/>
      <c r="Q13" s="742"/>
      <c r="R13" s="743"/>
    </row>
    <row r="14" spans="1:18">
      <c r="A14" s="23"/>
      <c r="B14" s="11" t="s">
        <v>24</v>
      </c>
      <c r="C14" s="4"/>
      <c r="D14" s="4"/>
      <c r="E14" s="4"/>
      <c r="F14" s="4"/>
      <c r="G14" s="18"/>
      <c r="H14" s="36">
        <f>H13*15%</f>
        <v>938.17661099999987</v>
      </c>
      <c r="I14" s="20"/>
      <c r="J14" s="744"/>
      <c r="K14" s="745"/>
      <c r="L14" s="745"/>
      <c r="M14" s="745"/>
      <c r="N14" s="745"/>
      <c r="O14" s="745"/>
      <c r="P14" s="745"/>
      <c r="Q14" s="745"/>
      <c r="R14" s="746"/>
    </row>
    <row r="15" spans="1:18">
      <c r="A15" s="23"/>
      <c r="B15" s="11" t="s">
        <v>15</v>
      </c>
      <c r="C15" s="4"/>
      <c r="D15" s="4"/>
      <c r="E15" s="4"/>
      <c r="F15" s="4"/>
      <c r="G15" s="21" t="s">
        <v>16</v>
      </c>
      <c r="H15" s="37">
        <f>H14+H13</f>
        <v>7192.6873509999996</v>
      </c>
      <c r="I15" s="38" t="str">
        <f>CONCATENATE("per ",C4, C5)</f>
        <v>per 10sqm</v>
      </c>
      <c r="J15" s="744"/>
      <c r="K15" s="745"/>
      <c r="L15" s="745"/>
      <c r="M15" s="745"/>
      <c r="N15" s="745"/>
      <c r="O15" s="745"/>
      <c r="P15" s="745"/>
      <c r="Q15" s="745"/>
      <c r="R15" s="746"/>
    </row>
    <row r="16" spans="1:18">
      <c r="A16" s="23"/>
      <c r="B16" s="11"/>
      <c r="C16" s="4"/>
      <c r="D16" s="4"/>
      <c r="E16" s="4"/>
      <c r="F16" s="4"/>
      <c r="G16" s="21" t="s">
        <v>16</v>
      </c>
      <c r="H16" s="37">
        <f>H15/C4</f>
        <v>719.26873509999996</v>
      </c>
      <c r="I16" s="38" t="str">
        <f>CONCATENATE("per ",C5)</f>
        <v>per sqm</v>
      </c>
      <c r="J16" s="744"/>
      <c r="K16" s="745"/>
      <c r="L16" s="745"/>
      <c r="M16" s="745"/>
      <c r="N16" s="745"/>
      <c r="O16" s="745"/>
      <c r="P16" s="745"/>
      <c r="Q16" s="745"/>
      <c r="R16" s="746"/>
    </row>
    <row r="17" spans="1:18">
      <c r="A17" s="23"/>
      <c r="B17" s="11" t="s">
        <v>18</v>
      </c>
      <c r="C17" s="4" t="s">
        <v>19</v>
      </c>
      <c r="D17" s="4"/>
      <c r="E17" s="4"/>
      <c r="F17" s="4"/>
      <c r="G17" s="21" t="s">
        <v>16</v>
      </c>
      <c r="H17" s="37">
        <f>CEILING(H16,0.5)</f>
        <v>719.5</v>
      </c>
      <c r="I17" s="38" t="str">
        <f>CONCATENATE("per ",C5)</f>
        <v>per sqm</v>
      </c>
      <c r="J17" s="744"/>
      <c r="K17" s="745"/>
      <c r="L17" s="745"/>
      <c r="M17" s="745"/>
      <c r="N17" s="745"/>
      <c r="O17" s="745"/>
      <c r="P17" s="745"/>
      <c r="Q17" s="745"/>
      <c r="R17" s="746"/>
    </row>
    <row r="18" spans="1:18">
      <c r="A18" s="23"/>
      <c r="B18" s="11"/>
      <c r="C18" s="4"/>
      <c r="D18" s="4"/>
      <c r="E18" s="4"/>
      <c r="F18" s="4"/>
      <c r="G18" s="24" t="s">
        <v>17</v>
      </c>
      <c r="H18" s="37">
        <f>H17/exr</f>
        <v>5.5346153846153845</v>
      </c>
      <c r="I18" s="38" t="str">
        <f>CONCATENATE("per ",C5)</f>
        <v>per sqm</v>
      </c>
      <c r="J18" s="747"/>
      <c r="K18" s="748"/>
      <c r="L18" s="748"/>
      <c r="M18" s="748"/>
      <c r="N18" s="748"/>
      <c r="O18" s="748"/>
      <c r="P18" s="748"/>
      <c r="Q18" s="748"/>
      <c r="R18" s="749"/>
    </row>
    <row r="19" spans="1:18">
      <c r="A19" s="39"/>
      <c r="B19" s="40"/>
      <c r="C19" s="41"/>
      <c r="D19" s="41"/>
      <c r="E19" s="41"/>
      <c r="F19" s="41"/>
      <c r="G19" s="149" t="s">
        <v>460</v>
      </c>
      <c r="H19" s="150">
        <f>CEILING(SUM(M7)/H11,0.0025)</f>
        <v>0.02</v>
      </c>
      <c r="I19" s="42"/>
      <c r="J19" s="43"/>
      <c r="K19" s="43"/>
      <c r="L19" s="43"/>
      <c r="M19" s="43"/>
      <c r="N19" s="43"/>
      <c r="O19" s="43"/>
      <c r="P19" s="43"/>
      <c r="Q19" s="43"/>
      <c r="R19" s="44"/>
    </row>
    <row r="20" spans="1:18">
      <c r="A20" s="22"/>
      <c r="B20" s="22"/>
      <c r="C20" s="22"/>
      <c r="D20" s="22"/>
      <c r="E20" s="22"/>
      <c r="F20" s="22"/>
      <c r="G20" s="22"/>
      <c r="H20" s="22"/>
      <c r="I20" s="22"/>
      <c r="J20" s="22"/>
      <c r="K20" s="22"/>
      <c r="L20" s="22"/>
      <c r="M20" s="22"/>
      <c r="N20" s="22"/>
      <c r="O20" s="22"/>
      <c r="P20" s="22"/>
      <c r="Q20" s="22"/>
      <c r="R20" s="22"/>
    </row>
    <row r="21" spans="1:18">
      <c r="A21" s="693" t="s">
        <v>0</v>
      </c>
      <c r="B21" s="695" t="s">
        <v>1</v>
      </c>
      <c r="C21" s="695" t="s">
        <v>2</v>
      </c>
      <c r="D21" s="697" t="s">
        <v>3</v>
      </c>
      <c r="E21" s="698"/>
      <c r="F21" s="698"/>
      <c r="G21" s="698"/>
      <c r="H21" s="698"/>
      <c r="I21" s="699" t="s">
        <v>4</v>
      </c>
      <c r="J21" s="700"/>
      <c r="K21" s="700"/>
      <c r="L21" s="700"/>
      <c r="M21" s="700"/>
      <c r="N21" s="698" t="s">
        <v>5</v>
      </c>
      <c r="O21" s="698"/>
      <c r="P21" s="698"/>
      <c r="Q21" s="698"/>
      <c r="R21" s="698"/>
    </row>
    <row r="22" spans="1:18">
      <c r="A22" s="694"/>
      <c r="B22" s="696"/>
      <c r="C22" s="696"/>
      <c r="D22" s="45" t="s">
        <v>6</v>
      </c>
      <c r="E22" s="46" t="s">
        <v>2</v>
      </c>
      <c r="F22" s="46" t="s">
        <v>7</v>
      </c>
      <c r="G22" s="46" t="s">
        <v>8</v>
      </c>
      <c r="H22" s="46" t="s">
        <v>9</v>
      </c>
      <c r="I22" s="46" t="s">
        <v>10</v>
      </c>
      <c r="J22" s="46" t="s">
        <v>2</v>
      </c>
      <c r="K22" s="46" t="s">
        <v>7</v>
      </c>
      <c r="L22" s="46" t="s">
        <v>8</v>
      </c>
      <c r="M22" s="47" t="s">
        <v>9</v>
      </c>
      <c r="N22" s="46" t="s">
        <v>10</v>
      </c>
      <c r="O22" s="46" t="s">
        <v>2</v>
      </c>
      <c r="P22" s="46" t="s">
        <v>7</v>
      </c>
      <c r="Q22" s="46" t="s">
        <v>8</v>
      </c>
      <c r="R22" s="46" t="s">
        <v>9</v>
      </c>
    </row>
    <row r="23" spans="1:18">
      <c r="A23" s="33" t="s">
        <v>23</v>
      </c>
      <c r="B23" s="73" t="s">
        <v>235</v>
      </c>
      <c r="C23" s="31"/>
      <c r="D23" s="31"/>
      <c r="E23" s="31"/>
      <c r="F23" s="31"/>
      <c r="G23" s="31"/>
      <c r="H23" s="31"/>
      <c r="I23" s="31"/>
      <c r="J23" s="31"/>
      <c r="K23" s="31"/>
      <c r="L23" s="31"/>
      <c r="M23" s="31"/>
      <c r="N23" s="31"/>
      <c r="O23" s="31"/>
      <c r="P23" s="31"/>
      <c r="Q23" s="31"/>
      <c r="R23" s="32"/>
    </row>
    <row r="24" spans="1:18">
      <c r="A24" s="34">
        <f>A4+1</f>
        <v>2</v>
      </c>
      <c r="B24" s="713" t="s">
        <v>609</v>
      </c>
      <c r="C24" s="66">
        <v>10</v>
      </c>
      <c r="D24" s="4"/>
      <c r="E24" s="6"/>
      <c r="F24" s="29"/>
      <c r="G24" s="26"/>
      <c r="H24" s="26"/>
      <c r="I24" s="6"/>
      <c r="J24" s="6"/>
      <c r="K24" s="29"/>
      <c r="L24" s="26"/>
      <c r="M24" s="26"/>
      <c r="N24" s="6"/>
      <c r="O24" s="6"/>
      <c r="P24" s="29"/>
      <c r="Q24" s="26"/>
      <c r="R24" s="26"/>
    </row>
    <row r="25" spans="1:18">
      <c r="A25" s="2"/>
      <c r="B25" s="714"/>
      <c r="C25" s="124" t="s">
        <v>127</v>
      </c>
      <c r="D25" s="4" t="s">
        <v>96</v>
      </c>
      <c r="E25" s="6" t="s">
        <v>81</v>
      </c>
      <c r="F25" s="29">
        <v>2.2000000000000002</v>
      </c>
      <c r="G25" s="26">
        <f>sr</f>
        <v>1100</v>
      </c>
      <c r="H25" s="26">
        <f>F25*G25</f>
        <v>2420</v>
      </c>
      <c r="I25" s="7" t="s">
        <v>234</v>
      </c>
      <c r="J25" s="8" t="s">
        <v>127</v>
      </c>
      <c r="K25" s="29">
        <f>11/8</f>
        <v>1.375</v>
      </c>
      <c r="L25" s="28">
        <f>plywood</f>
        <v>420.36</v>
      </c>
      <c r="M25" s="26">
        <f>K25*L25</f>
        <v>577.995</v>
      </c>
      <c r="N25" s="8"/>
      <c r="O25" s="6"/>
      <c r="P25" s="29"/>
      <c r="Q25" s="28"/>
      <c r="R25" s="26"/>
    </row>
    <row r="26" spans="1:18">
      <c r="A26" s="2"/>
      <c r="B26" s="714"/>
      <c r="C26" s="6"/>
      <c r="D26" s="4" t="s">
        <v>97</v>
      </c>
      <c r="E26" s="6" t="s">
        <v>81</v>
      </c>
      <c r="F26" s="29">
        <v>2.2000000000000002</v>
      </c>
      <c r="G26" s="26">
        <f>ur</f>
        <v>850</v>
      </c>
      <c r="H26" s="26">
        <f>F26*G26</f>
        <v>1870.0000000000002</v>
      </c>
      <c r="I26" s="7" t="s">
        <v>231</v>
      </c>
      <c r="J26" s="8" t="s">
        <v>11</v>
      </c>
      <c r="K26" s="29">
        <f>0.4/12</f>
        <v>3.3333333333333333E-2</v>
      </c>
      <c r="L26" s="154">
        <f>AVERAGE(timber,planks)</f>
        <v>64135.06</v>
      </c>
      <c r="M26" s="26">
        <f>K26*L26</f>
        <v>2137.8353333333334</v>
      </c>
      <c r="N26" s="8"/>
      <c r="O26" s="6"/>
      <c r="P26" s="29"/>
      <c r="Q26" s="28"/>
      <c r="R26" s="26"/>
    </row>
    <row r="27" spans="1:18">
      <c r="A27" s="2"/>
      <c r="B27" s="714"/>
      <c r="C27" s="6"/>
      <c r="D27" s="4"/>
      <c r="E27" s="6"/>
      <c r="F27" s="29"/>
      <c r="G27" s="26"/>
      <c r="H27" s="26"/>
      <c r="I27" s="7" t="s">
        <v>232</v>
      </c>
      <c r="J27" s="8" t="s">
        <v>28</v>
      </c>
      <c r="K27" s="29">
        <v>2.5</v>
      </c>
      <c r="L27" s="28">
        <f>nails/1000</f>
        <v>124.14419000000001</v>
      </c>
      <c r="M27" s="26">
        <f>K27*L27</f>
        <v>310.36047500000001</v>
      </c>
      <c r="N27" s="8"/>
      <c r="O27" s="6"/>
      <c r="P27" s="29"/>
      <c r="Q27" s="28"/>
      <c r="R27" s="26"/>
    </row>
    <row r="28" spans="1:18">
      <c r="A28" s="2"/>
      <c r="B28" s="714"/>
      <c r="C28" s="6"/>
      <c r="D28" s="4"/>
      <c r="E28" s="6"/>
      <c r="F28" s="29"/>
      <c r="G28" s="26"/>
      <c r="H28" s="26"/>
      <c r="I28" s="7"/>
      <c r="J28" s="8"/>
      <c r="K28" s="29"/>
      <c r="L28" s="28"/>
      <c r="M28" s="26"/>
      <c r="N28" s="8"/>
      <c r="O28" s="6"/>
      <c r="P28" s="29"/>
      <c r="Q28" s="28"/>
      <c r="R28" s="26"/>
    </row>
    <row r="29" spans="1:18">
      <c r="A29" s="2"/>
      <c r="B29" s="714"/>
      <c r="C29" s="6"/>
      <c r="D29" s="4"/>
      <c r="E29" s="6"/>
      <c r="F29" s="29"/>
      <c r="G29" s="26"/>
      <c r="H29" s="26"/>
      <c r="I29" s="7"/>
      <c r="J29" s="8"/>
      <c r="K29" s="29"/>
      <c r="L29" s="28"/>
      <c r="M29" s="28"/>
      <c r="N29" s="8"/>
      <c r="O29" s="6"/>
      <c r="P29" s="29"/>
      <c r="Q29" s="28"/>
      <c r="R29" s="28"/>
    </row>
    <row r="30" spans="1:18">
      <c r="A30" s="2"/>
      <c r="B30" s="5"/>
      <c r="C30" s="6"/>
      <c r="D30" s="4"/>
      <c r="E30" s="9"/>
      <c r="F30" s="30"/>
      <c r="G30" s="27"/>
      <c r="H30" s="27"/>
      <c r="I30" s="9"/>
      <c r="J30" s="10"/>
      <c r="K30" s="30"/>
      <c r="L30" s="28"/>
      <c r="M30" s="28"/>
      <c r="N30" s="8"/>
      <c r="O30" s="6"/>
      <c r="P30" s="30"/>
      <c r="Q30" s="28"/>
      <c r="R30" s="28"/>
    </row>
    <row r="31" spans="1:18">
      <c r="A31" s="2"/>
      <c r="B31" s="11"/>
      <c r="C31" s="6"/>
      <c r="D31" s="12"/>
      <c r="E31" s="59"/>
      <c r="F31" s="13"/>
      <c r="G31" s="13" t="s">
        <v>20</v>
      </c>
      <c r="H31" s="25">
        <f>SUM(H24:H30)</f>
        <v>4290</v>
      </c>
      <c r="I31" s="703"/>
      <c r="J31" s="703"/>
      <c r="K31" s="14"/>
      <c r="L31" s="13" t="s">
        <v>21</v>
      </c>
      <c r="M31" s="25">
        <f>SUM(M24:M30)</f>
        <v>3026.1908083333333</v>
      </c>
      <c r="N31" s="3"/>
      <c r="O31" s="14"/>
      <c r="P31" s="14"/>
      <c r="Q31" s="13" t="s">
        <v>22</v>
      </c>
      <c r="R31" s="25">
        <f>SUM(R24:R30)</f>
        <v>0</v>
      </c>
    </row>
    <row r="32" spans="1:18">
      <c r="A32" s="2"/>
      <c r="B32" s="16" t="s">
        <v>13</v>
      </c>
      <c r="C32" s="14"/>
      <c r="D32" s="14"/>
      <c r="E32" s="14"/>
      <c r="F32" s="14"/>
      <c r="G32" s="13"/>
      <c r="H32" s="35">
        <f>M31+R31+H31</f>
        <v>7316.1908083333328</v>
      </c>
      <c r="I32" s="17"/>
      <c r="J32" s="14"/>
      <c r="K32" s="14"/>
      <c r="L32" s="13"/>
      <c r="M32" s="15"/>
      <c r="N32" s="14"/>
      <c r="O32" s="14"/>
      <c r="P32" s="14"/>
      <c r="Q32" s="14"/>
      <c r="R32" s="17"/>
    </row>
    <row r="33" spans="1:18">
      <c r="A33" s="2"/>
      <c r="B33" s="11" t="s">
        <v>25</v>
      </c>
      <c r="C33" s="4"/>
      <c r="D33" s="4"/>
      <c r="E33" s="4"/>
      <c r="F33" s="4"/>
      <c r="G33" s="18"/>
      <c r="H33" s="36">
        <v>0</v>
      </c>
      <c r="I33" s="20"/>
      <c r="J33" s="4" t="s">
        <v>26</v>
      </c>
      <c r="K33" s="4"/>
      <c r="L33" s="18"/>
      <c r="M33" s="19"/>
      <c r="N33" s="4"/>
      <c r="O33" s="4"/>
      <c r="P33" s="4"/>
      <c r="Q33" s="4"/>
      <c r="R33" s="20"/>
    </row>
    <row r="34" spans="1:18">
      <c r="A34" s="23"/>
      <c r="B34" s="11" t="s">
        <v>14</v>
      </c>
      <c r="C34" s="4"/>
      <c r="D34" s="4"/>
      <c r="E34" s="4"/>
      <c r="F34" s="4"/>
      <c r="G34" s="18"/>
      <c r="H34" s="36">
        <f>SUM(H32:H33)</f>
        <v>7316.1908083333328</v>
      </c>
      <c r="I34" s="20"/>
      <c r="J34" s="741"/>
      <c r="K34" s="742"/>
      <c r="L34" s="742"/>
      <c r="M34" s="742"/>
      <c r="N34" s="742"/>
      <c r="O34" s="742"/>
      <c r="P34" s="742"/>
      <c r="Q34" s="742"/>
      <c r="R34" s="743"/>
    </row>
    <row r="35" spans="1:18">
      <c r="A35" s="23"/>
      <c r="B35" s="11" t="s">
        <v>24</v>
      </c>
      <c r="C35" s="4"/>
      <c r="D35" s="4"/>
      <c r="E35" s="4"/>
      <c r="F35" s="4"/>
      <c r="G35" s="18"/>
      <c r="H35" s="36">
        <f>H34*15%</f>
        <v>1097.4286212499999</v>
      </c>
      <c r="I35" s="20"/>
      <c r="J35" s="744"/>
      <c r="K35" s="745"/>
      <c r="L35" s="745"/>
      <c r="M35" s="745"/>
      <c r="N35" s="745"/>
      <c r="O35" s="745"/>
      <c r="P35" s="745"/>
      <c r="Q35" s="745"/>
      <c r="R35" s="746"/>
    </row>
    <row r="36" spans="1:18">
      <c r="A36" s="23"/>
      <c r="B36" s="11" t="s">
        <v>15</v>
      </c>
      <c r="C36" s="4"/>
      <c r="D36" s="4"/>
      <c r="E36" s="4"/>
      <c r="F36" s="4"/>
      <c r="G36" s="21" t="s">
        <v>16</v>
      </c>
      <c r="H36" s="37">
        <f>H35+H34</f>
        <v>8413.619429583332</v>
      </c>
      <c r="I36" s="38" t="str">
        <f>CONCATENATE("per ",C24, C25)</f>
        <v>per 10sqm</v>
      </c>
      <c r="J36" s="744"/>
      <c r="K36" s="745"/>
      <c r="L36" s="745"/>
      <c r="M36" s="745"/>
      <c r="N36" s="745"/>
      <c r="O36" s="745"/>
      <c r="P36" s="745"/>
      <c r="Q36" s="745"/>
      <c r="R36" s="746"/>
    </row>
    <row r="37" spans="1:18">
      <c r="A37" s="23"/>
      <c r="B37" s="11"/>
      <c r="C37" s="4"/>
      <c r="D37" s="4"/>
      <c r="E37" s="4"/>
      <c r="F37" s="4"/>
      <c r="G37" s="21" t="s">
        <v>16</v>
      </c>
      <c r="H37" s="37">
        <f>H36/C24</f>
        <v>841.3619429583332</v>
      </c>
      <c r="I37" s="38" t="str">
        <f>CONCATENATE("per ",C25)</f>
        <v>per sqm</v>
      </c>
      <c r="J37" s="744"/>
      <c r="K37" s="745"/>
      <c r="L37" s="745"/>
      <c r="M37" s="745"/>
      <c r="N37" s="745"/>
      <c r="O37" s="745"/>
      <c r="P37" s="745"/>
      <c r="Q37" s="745"/>
      <c r="R37" s="746"/>
    </row>
    <row r="38" spans="1:18">
      <c r="A38" s="23"/>
      <c r="B38" s="11" t="s">
        <v>18</v>
      </c>
      <c r="C38" s="4" t="s">
        <v>19</v>
      </c>
      <c r="D38" s="4"/>
      <c r="E38" s="4"/>
      <c r="F38" s="4"/>
      <c r="G38" s="21" t="s">
        <v>16</v>
      </c>
      <c r="H38" s="37">
        <f>CEILING(H37,0.5)</f>
        <v>841.5</v>
      </c>
      <c r="I38" s="38" t="str">
        <f>CONCATENATE("per ",C25)</f>
        <v>per sqm</v>
      </c>
      <c r="J38" s="744"/>
      <c r="K38" s="745"/>
      <c r="L38" s="745"/>
      <c r="M38" s="745"/>
      <c r="N38" s="745"/>
      <c r="O38" s="745"/>
      <c r="P38" s="745"/>
      <c r="Q38" s="745"/>
      <c r="R38" s="746"/>
    </row>
    <row r="39" spans="1:18">
      <c r="A39" s="23"/>
      <c r="B39" s="11"/>
      <c r="C39" s="4"/>
      <c r="D39" s="4"/>
      <c r="E39" s="4"/>
      <c r="F39" s="4"/>
      <c r="G39" s="24" t="s">
        <v>17</v>
      </c>
      <c r="H39" s="37">
        <f>H38/exr</f>
        <v>6.4730769230769232</v>
      </c>
      <c r="I39" s="38" t="str">
        <f>CONCATENATE("per ",C25)</f>
        <v>per sqm</v>
      </c>
      <c r="J39" s="747"/>
      <c r="K39" s="748"/>
      <c r="L39" s="748"/>
      <c r="M39" s="748"/>
      <c r="N39" s="748"/>
      <c r="O39" s="748"/>
      <c r="P39" s="748"/>
      <c r="Q39" s="748"/>
      <c r="R39" s="749"/>
    </row>
    <row r="40" spans="1:18">
      <c r="A40" s="39"/>
      <c r="B40" s="40"/>
      <c r="C40" s="41"/>
      <c r="D40" s="41"/>
      <c r="E40" s="41"/>
      <c r="F40" s="41"/>
      <c r="G40" s="149" t="s">
        <v>460</v>
      </c>
      <c r="H40" s="150">
        <f>CEILING(SUM(M27)/H32,0.0025)</f>
        <v>4.2500000000000003E-2</v>
      </c>
      <c r="I40" s="42"/>
      <c r="J40" s="43"/>
      <c r="K40" s="43"/>
      <c r="L40" s="43"/>
      <c r="M40" s="43"/>
      <c r="N40" s="43"/>
      <c r="O40" s="43"/>
      <c r="P40" s="43"/>
      <c r="Q40" s="43"/>
      <c r="R40" s="44"/>
    </row>
    <row r="42" spans="1:18">
      <c r="A42" s="693" t="s">
        <v>0</v>
      </c>
      <c r="B42" s="695" t="s">
        <v>1</v>
      </c>
      <c r="C42" s="695" t="s">
        <v>2</v>
      </c>
      <c r="D42" s="697" t="s">
        <v>3</v>
      </c>
      <c r="E42" s="698"/>
      <c r="F42" s="698"/>
      <c r="G42" s="698"/>
      <c r="H42" s="698"/>
      <c r="I42" s="699" t="s">
        <v>4</v>
      </c>
      <c r="J42" s="700"/>
      <c r="K42" s="700"/>
      <c r="L42" s="700"/>
      <c r="M42" s="700"/>
      <c r="N42" s="698" t="s">
        <v>5</v>
      </c>
      <c r="O42" s="698"/>
      <c r="P42" s="698"/>
      <c r="Q42" s="698"/>
      <c r="R42" s="698"/>
    </row>
    <row r="43" spans="1:18">
      <c r="A43" s="694"/>
      <c r="B43" s="696"/>
      <c r="C43" s="696"/>
      <c r="D43" s="45" t="s">
        <v>6</v>
      </c>
      <c r="E43" s="46" t="s">
        <v>2</v>
      </c>
      <c r="F43" s="46" t="s">
        <v>7</v>
      </c>
      <c r="G43" s="46" t="s">
        <v>8</v>
      </c>
      <c r="H43" s="46" t="s">
        <v>9</v>
      </c>
      <c r="I43" s="46" t="s">
        <v>10</v>
      </c>
      <c r="J43" s="46" t="s">
        <v>2</v>
      </c>
      <c r="K43" s="46" t="s">
        <v>7</v>
      </c>
      <c r="L43" s="46" t="s">
        <v>8</v>
      </c>
      <c r="M43" s="47" t="s">
        <v>9</v>
      </c>
      <c r="N43" s="46" t="s">
        <v>10</v>
      </c>
      <c r="O43" s="46" t="s">
        <v>2</v>
      </c>
      <c r="P43" s="46" t="s">
        <v>7</v>
      </c>
      <c r="Q43" s="46" t="s">
        <v>8</v>
      </c>
      <c r="R43" s="46" t="s">
        <v>9</v>
      </c>
    </row>
    <row r="44" spans="1:18">
      <c r="A44" s="33" t="s">
        <v>23</v>
      </c>
      <c r="B44" s="73" t="s">
        <v>236</v>
      </c>
      <c r="C44" s="31"/>
      <c r="D44" s="31"/>
      <c r="E44" s="31"/>
      <c r="F44" s="31"/>
      <c r="G44" s="31"/>
      <c r="H44" s="31"/>
      <c r="I44" s="31"/>
      <c r="J44" s="31"/>
      <c r="K44" s="31"/>
      <c r="L44" s="31"/>
      <c r="M44" s="31"/>
      <c r="N44" s="31"/>
      <c r="O44" s="31"/>
      <c r="P44" s="31"/>
      <c r="Q44" s="31"/>
      <c r="R44" s="32"/>
    </row>
    <row r="45" spans="1:18">
      <c r="A45" s="34">
        <f>A24+1</f>
        <v>3</v>
      </c>
      <c r="B45" s="713" t="s">
        <v>610</v>
      </c>
      <c r="C45" s="66">
        <v>10</v>
      </c>
      <c r="D45" s="4"/>
      <c r="E45" s="6"/>
      <c r="F45" s="29"/>
      <c r="G45" s="26"/>
      <c r="H45" s="26"/>
      <c r="I45" s="6"/>
      <c r="J45" s="6"/>
      <c r="K45" s="29"/>
      <c r="L45" s="26"/>
      <c r="M45" s="26"/>
      <c r="N45" s="6"/>
      <c r="O45" s="6"/>
      <c r="P45" s="29"/>
      <c r="Q45" s="26"/>
      <c r="R45" s="26"/>
    </row>
    <row r="46" spans="1:18">
      <c r="A46" s="2"/>
      <c r="B46" s="714"/>
      <c r="C46" s="124" t="s">
        <v>127</v>
      </c>
      <c r="D46" s="4" t="s">
        <v>96</v>
      </c>
      <c r="E46" s="6" t="s">
        <v>81</v>
      </c>
      <c r="F46" s="29">
        <v>2.6</v>
      </c>
      <c r="G46" s="26">
        <f>sr</f>
        <v>1100</v>
      </c>
      <c r="H46" s="26">
        <f>F46*G46</f>
        <v>2860</v>
      </c>
      <c r="I46" s="7" t="s">
        <v>234</v>
      </c>
      <c r="J46" s="8" t="s">
        <v>127</v>
      </c>
      <c r="K46" s="29">
        <f>11/8</f>
        <v>1.375</v>
      </c>
      <c r="L46" s="28">
        <f>plywood</f>
        <v>420.36</v>
      </c>
      <c r="M46" s="26">
        <f>K46*L46</f>
        <v>577.995</v>
      </c>
      <c r="N46" s="8"/>
      <c r="O46" s="6"/>
      <c r="P46" s="29"/>
      <c r="Q46" s="28"/>
      <c r="R46" s="26"/>
    </row>
    <row r="47" spans="1:18">
      <c r="A47" s="2"/>
      <c r="B47" s="714"/>
      <c r="C47" s="6"/>
      <c r="D47" s="4" t="s">
        <v>97</v>
      </c>
      <c r="E47" s="6" t="s">
        <v>81</v>
      </c>
      <c r="F47" s="29">
        <v>2.8</v>
      </c>
      <c r="G47" s="26">
        <f>ur</f>
        <v>850</v>
      </c>
      <c r="H47" s="26">
        <f>F47*G47</f>
        <v>2380</v>
      </c>
      <c r="I47" s="7" t="s">
        <v>231</v>
      </c>
      <c r="J47" s="8" t="s">
        <v>11</v>
      </c>
      <c r="K47" s="29">
        <f>0.5/12</f>
        <v>4.1666666666666664E-2</v>
      </c>
      <c r="L47" s="154">
        <f>AVERAGE(timber,planks)</f>
        <v>64135.06</v>
      </c>
      <c r="M47" s="26">
        <f>K47*L47</f>
        <v>2672.2941666666666</v>
      </c>
      <c r="N47" s="8"/>
      <c r="O47" s="6"/>
      <c r="P47" s="29"/>
      <c r="Q47" s="28"/>
      <c r="R47" s="26"/>
    </row>
    <row r="48" spans="1:18">
      <c r="A48" s="2"/>
      <c r="B48" s="714"/>
      <c r="C48" s="6"/>
      <c r="D48" s="4"/>
      <c r="E48" s="6"/>
      <c r="F48" s="29"/>
      <c r="G48" s="26"/>
      <c r="H48" s="26"/>
      <c r="I48" s="7" t="s">
        <v>232</v>
      </c>
      <c r="J48" s="8" t="s">
        <v>28</v>
      </c>
      <c r="K48" s="29">
        <v>3.5</v>
      </c>
      <c r="L48" s="28">
        <f>nails/1000</f>
        <v>124.14419000000001</v>
      </c>
      <c r="M48" s="26">
        <f>K48*L48</f>
        <v>434.50466500000005</v>
      </c>
      <c r="N48" s="8"/>
      <c r="O48" s="6"/>
      <c r="P48" s="29"/>
      <c r="Q48" s="28"/>
      <c r="R48" s="26"/>
    </row>
    <row r="49" spans="1:18">
      <c r="A49" s="2"/>
      <c r="B49" s="714"/>
      <c r="C49" s="6"/>
      <c r="D49" s="4"/>
      <c r="E49" s="6"/>
      <c r="F49" s="29"/>
      <c r="G49" s="26"/>
      <c r="H49" s="26"/>
      <c r="I49" s="7"/>
      <c r="J49" s="8"/>
      <c r="K49" s="29"/>
      <c r="L49" s="28"/>
      <c r="M49" s="26"/>
      <c r="N49" s="8"/>
      <c r="O49" s="6"/>
      <c r="P49" s="29"/>
      <c r="Q49" s="28"/>
      <c r="R49" s="26"/>
    </row>
    <row r="50" spans="1:18">
      <c r="A50" s="2"/>
      <c r="B50" s="714"/>
      <c r="C50" s="6"/>
      <c r="D50" s="4"/>
      <c r="E50" s="6"/>
      <c r="F50" s="29"/>
      <c r="G50" s="26"/>
      <c r="H50" s="26"/>
      <c r="I50" s="7"/>
      <c r="J50" s="8"/>
      <c r="K50" s="29"/>
      <c r="L50" s="28"/>
      <c r="M50" s="28"/>
      <c r="N50" s="8"/>
      <c r="O50" s="6"/>
      <c r="P50" s="29"/>
      <c r="Q50" s="28"/>
      <c r="R50" s="28"/>
    </row>
    <row r="51" spans="1:18">
      <c r="A51" s="2"/>
      <c r="B51" s="5"/>
      <c r="C51" s="6"/>
      <c r="D51" s="4"/>
      <c r="E51" s="9"/>
      <c r="F51" s="30"/>
      <c r="G51" s="27"/>
      <c r="H51" s="27"/>
      <c r="I51" s="9"/>
      <c r="J51" s="10"/>
      <c r="K51" s="30"/>
      <c r="L51" s="28"/>
      <c r="M51" s="28"/>
      <c r="N51" s="8"/>
      <c r="O51" s="6"/>
      <c r="P51" s="30"/>
      <c r="Q51" s="28"/>
      <c r="R51" s="28"/>
    </row>
    <row r="52" spans="1:18">
      <c r="A52" s="2"/>
      <c r="B52" s="11"/>
      <c r="C52" s="6"/>
      <c r="D52" s="12"/>
      <c r="E52" s="59"/>
      <c r="F52" s="13"/>
      <c r="G52" s="13" t="s">
        <v>20</v>
      </c>
      <c r="H52" s="25">
        <f>SUM(H45:H51)</f>
        <v>5240</v>
      </c>
      <c r="I52" s="703"/>
      <c r="J52" s="703"/>
      <c r="K52" s="14"/>
      <c r="L52" s="13" t="s">
        <v>21</v>
      </c>
      <c r="M52" s="25">
        <f>SUM(M45:M51)</f>
        <v>3684.7938316666664</v>
      </c>
      <c r="N52" s="3"/>
      <c r="O52" s="14"/>
      <c r="P52" s="14"/>
      <c r="Q52" s="13" t="s">
        <v>22</v>
      </c>
      <c r="R52" s="25">
        <f>SUM(R45:R51)</f>
        <v>0</v>
      </c>
    </row>
    <row r="53" spans="1:18">
      <c r="A53" s="2"/>
      <c r="B53" s="16" t="s">
        <v>13</v>
      </c>
      <c r="C53" s="14"/>
      <c r="D53" s="14"/>
      <c r="E53" s="14"/>
      <c r="F53" s="14"/>
      <c r="G53" s="13"/>
      <c r="H53" s="35">
        <f>M52+R52+H52</f>
        <v>8924.7938316666659</v>
      </c>
      <c r="I53" s="17"/>
      <c r="J53" s="14"/>
      <c r="K53" s="14"/>
      <c r="L53" s="13"/>
      <c r="M53" s="15"/>
      <c r="N53" s="14"/>
      <c r="O53" s="14"/>
      <c r="P53" s="14"/>
      <c r="Q53" s="14"/>
      <c r="R53" s="17"/>
    </row>
    <row r="54" spans="1:18">
      <c r="A54" s="2"/>
      <c r="B54" s="11" t="s">
        <v>25</v>
      </c>
      <c r="C54" s="4"/>
      <c r="D54" s="4"/>
      <c r="E54" s="4"/>
      <c r="F54" s="4"/>
      <c r="G54" s="18"/>
      <c r="H54" s="36">
        <v>0</v>
      </c>
      <c r="I54" s="20"/>
      <c r="J54" s="4" t="s">
        <v>26</v>
      </c>
      <c r="K54" s="4"/>
      <c r="L54" s="18"/>
      <c r="M54" s="19"/>
      <c r="N54" s="4"/>
      <c r="O54" s="4"/>
      <c r="P54" s="4"/>
      <c r="Q54" s="4"/>
      <c r="R54" s="20"/>
    </row>
    <row r="55" spans="1:18">
      <c r="A55" s="23"/>
      <c r="B55" s="11" t="s">
        <v>14</v>
      </c>
      <c r="C55" s="4"/>
      <c r="D55" s="4"/>
      <c r="E55" s="4"/>
      <c r="F55" s="4"/>
      <c r="G55" s="18"/>
      <c r="H55" s="36">
        <f>SUM(H53:H54)</f>
        <v>8924.7938316666659</v>
      </c>
      <c r="I55" s="20"/>
      <c r="J55" s="741"/>
      <c r="K55" s="742"/>
      <c r="L55" s="742"/>
      <c r="M55" s="742"/>
      <c r="N55" s="742"/>
      <c r="O55" s="742"/>
      <c r="P55" s="742"/>
      <c r="Q55" s="742"/>
      <c r="R55" s="743"/>
    </row>
    <row r="56" spans="1:18">
      <c r="A56" s="23"/>
      <c r="B56" s="11" t="s">
        <v>24</v>
      </c>
      <c r="C56" s="4"/>
      <c r="D56" s="4"/>
      <c r="E56" s="4"/>
      <c r="F56" s="4"/>
      <c r="G56" s="18"/>
      <c r="H56" s="36">
        <f>H55*15%</f>
        <v>1338.7190747499999</v>
      </c>
      <c r="I56" s="20"/>
      <c r="J56" s="744"/>
      <c r="K56" s="745"/>
      <c r="L56" s="745"/>
      <c r="M56" s="745"/>
      <c r="N56" s="745"/>
      <c r="O56" s="745"/>
      <c r="P56" s="745"/>
      <c r="Q56" s="745"/>
      <c r="R56" s="746"/>
    </row>
    <row r="57" spans="1:18">
      <c r="A57" s="23"/>
      <c r="B57" s="11" t="s">
        <v>15</v>
      </c>
      <c r="C57" s="4"/>
      <c r="D57" s="4"/>
      <c r="E57" s="4"/>
      <c r="F57" s="4"/>
      <c r="G57" s="21" t="s">
        <v>16</v>
      </c>
      <c r="H57" s="37">
        <f>H56+H55</f>
        <v>10263.512906416665</v>
      </c>
      <c r="I57" s="38" t="str">
        <f>CONCATENATE("per ",C45, C46)</f>
        <v>per 10sqm</v>
      </c>
      <c r="J57" s="744"/>
      <c r="K57" s="745"/>
      <c r="L57" s="745"/>
      <c r="M57" s="745"/>
      <c r="N57" s="745"/>
      <c r="O57" s="745"/>
      <c r="P57" s="745"/>
      <c r="Q57" s="745"/>
      <c r="R57" s="746"/>
    </row>
    <row r="58" spans="1:18">
      <c r="A58" s="23"/>
      <c r="B58" s="11"/>
      <c r="C58" s="4"/>
      <c r="D58" s="4"/>
      <c r="E58" s="4"/>
      <c r="F58" s="4"/>
      <c r="G58" s="21" t="s">
        <v>16</v>
      </c>
      <c r="H58" s="37">
        <f>H57/C45</f>
        <v>1026.3512906416665</v>
      </c>
      <c r="I58" s="38" t="str">
        <f>CONCATENATE("per ",C46)</f>
        <v>per sqm</v>
      </c>
      <c r="J58" s="744"/>
      <c r="K58" s="745"/>
      <c r="L58" s="745"/>
      <c r="M58" s="745"/>
      <c r="N58" s="745"/>
      <c r="O58" s="745"/>
      <c r="P58" s="745"/>
      <c r="Q58" s="745"/>
      <c r="R58" s="746"/>
    </row>
    <row r="59" spans="1:18">
      <c r="A59" s="23"/>
      <c r="B59" s="11" t="s">
        <v>18</v>
      </c>
      <c r="C59" s="4" t="s">
        <v>19</v>
      </c>
      <c r="D59" s="4"/>
      <c r="E59" s="4"/>
      <c r="F59" s="4"/>
      <c r="G59" s="21" t="s">
        <v>16</v>
      </c>
      <c r="H59" s="37">
        <f>CEILING(H58,0.5)</f>
        <v>1026.5</v>
      </c>
      <c r="I59" s="38" t="str">
        <f>CONCATENATE("per ",C46)</f>
        <v>per sqm</v>
      </c>
      <c r="J59" s="744"/>
      <c r="K59" s="745"/>
      <c r="L59" s="745"/>
      <c r="M59" s="745"/>
      <c r="N59" s="745"/>
      <c r="O59" s="745"/>
      <c r="P59" s="745"/>
      <c r="Q59" s="745"/>
      <c r="R59" s="746"/>
    </row>
    <row r="60" spans="1:18">
      <c r="A60" s="23"/>
      <c r="B60" s="11"/>
      <c r="C60" s="4"/>
      <c r="D60" s="4"/>
      <c r="E60" s="4"/>
      <c r="F60" s="4"/>
      <c r="G60" s="24" t="s">
        <v>17</v>
      </c>
      <c r="H60" s="37">
        <f>H59/exr</f>
        <v>7.8961538461538465</v>
      </c>
      <c r="I60" s="38" t="str">
        <f>CONCATENATE("per ",C46)</f>
        <v>per sqm</v>
      </c>
      <c r="J60" s="747"/>
      <c r="K60" s="748"/>
      <c r="L60" s="748"/>
      <c r="M60" s="748"/>
      <c r="N60" s="748"/>
      <c r="O60" s="748"/>
      <c r="P60" s="748"/>
      <c r="Q60" s="748"/>
      <c r="R60" s="749"/>
    </row>
    <row r="61" spans="1:18">
      <c r="A61" s="39"/>
      <c r="B61" s="40"/>
      <c r="C61" s="41"/>
      <c r="D61" s="41"/>
      <c r="E61" s="41"/>
      <c r="F61" s="41"/>
      <c r="G61" s="149" t="s">
        <v>460</v>
      </c>
      <c r="H61" s="150">
        <f>CEILING(SUM(M48)/H53,0.0025)</f>
        <v>0.05</v>
      </c>
      <c r="I61" s="42"/>
      <c r="J61" s="43"/>
      <c r="K61" s="43"/>
      <c r="L61" s="43"/>
      <c r="M61" s="43"/>
      <c r="N61" s="43"/>
      <c r="O61" s="43"/>
      <c r="P61" s="43"/>
      <c r="Q61" s="43"/>
      <c r="R61" s="44"/>
    </row>
    <row r="63" spans="1:18">
      <c r="A63" s="693" t="s">
        <v>0</v>
      </c>
      <c r="B63" s="695" t="s">
        <v>1</v>
      </c>
      <c r="C63" s="695" t="s">
        <v>2</v>
      </c>
      <c r="D63" s="697" t="s">
        <v>3</v>
      </c>
      <c r="E63" s="698"/>
      <c r="F63" s="698"/>
      <c r="G63" s="698"/>
      <c r="H63" s="698"/>
      <c r="I63" s="699" t="s">
        <v>4</v>
      </c>
      <c r="J63" s="700"/>
      <c r="K63" s="700"/>
      <c r="L63" s="700"/>
      <c r="M63" s="700"/>
      <c r="N63" s="698" t="s">
        <v>5</v>
      </c>
      <c r="O63" s="698"/>
      <c r="P63" s="698"/>
      <c r="Q63" s="698"/>
      <c r="R63" s="698"/>
    </row>
    <row r="64" spans="1:18">
      <c r="A64" s="694"/>
      <c r="B64" s="696"/>
      <c r="C64" s="696"/>
      <c r="D64" s="45" t="s">
        <v>6</v>
      </c>
      <c r="E64" s="46" t="s">
        <v>2</v>
      </c>
      <c r="F64" s="46" t="s">
        <v>7</v>
      </c>
      <c r="G64" s="46" t="s">
        <v>8</v>
      </c>
      <c r="H64" s="46" t="s">
        <v>9</v>
      </c>
      <c r="I64" s="46" t="s">
        <v>10</v>
      </c>
      <c r="J64" s="46" t="s">
        <v>2</v>
      </c>
      <c r="K64" s="46" t="s">
        <v>7</v>
      </c>
      <c r="L64" s="46" t="s">
        <v>8</v>
      </c>
      <c r="M64" s="47" t="s">
        <v>9</v>
      </c>
      <c r="N64" s="46" t="s">
        <v>10</v>
      </c>
      <c r="O64" s="46" t="s">
        <v>2</v>
      </c>
      <c r="P64" s="46" t="s">
        <v>7</v>
      </c>
      <c r="Q64" s="46" t="s">
        <v>8</v>
      </c>
      <c r="R64" s="46" t="s">
        <v>9</v>
      </c>
    </row>
    <row r="65" spans="1:18">
      <c r="A65" s="33" t="s">
        <v>23</v>
      </c>
      <c r="B65" s="73" t="s">
        <v>237</v>
      </c>
      <c r="C65" s="31"/>
      <c r="D65" s="31"/>
      <c r="E65" s="31"/>
      <c r="F65" s="31"/>
      <c r="G65" s="31"/>
      <c r="H65" s="31"/>
      <c r="I65" s="31"/>
      <c r="J65" s="31"/>
      <c r="K65" s="31"/>
      <c r="L65" s="31"/>
      <c r="M65" s="31"/>
      <c r="N65" s="31"/>
      <c r="O65" s="31"/>
      <c r="P65" s="31"/>
      <c r="Q65" s="31"/>
      <c r="R65" s="32"/>
    </row>
    <row r="66" spans="1:18">
      <c r="A66" s="34">
        <f>A45+1</f>
        <v>4</v>
      </c>
      <c r="B66" s="713" t="s">
        <v>611</v>
      </c>
      <c r="C66" s="66">
        <v>10</v>
      </c>
      <c r="D66" s="4"/>
      <c r="E66" s="6"/>
      <c r="F66" s="29"/>
      <c r="G66" s="26"/>
      <c r="H66" s="26"/>
      <c r="I66" s="6"/>
      <c r="J66" s="6"/>
      <c r="K66" s="29"/>
      <c r="L66" s="26"/>
      <c r="M66" s="26"/>
      <c r="N66" s="6"/>
      <c r="O66" s="6"/>
      <c r="P66" s="29"/>
      <c r="Q66" s="26"/>
      <c r="R66" s="26"/>
    </row>
    <row r="67" spans="1:18">
      <c r="A67" s="2"/>
      <c r="B67" s="714"/>
      <c r="C67" s="124" t="s">
        <v>127</v>
      </c>
      <c r="D67" s="4" t="s">
        <v>96</v>
      </c>
      <c r="E67" s="6" t="s">
        <v>81</v>
      </c>
      <c r="F67" s="29">
        <v>3.2</v>
      </c>
      <c r="G67" s="26">
        <f>sr</f>
        <v>1100</v>
      </c>
      <c r="H67" s="26">
        <f>F67*G67</f>
        <v>3520</v>
      </c>
      <c r="I67" s="7" t="s">
        <v>234</v>
      </c>
      <c r="J67" s="8" t="s">
        <v>127</v>
      </c>
      <c r="K67" s="29">
        <f>11/8</f>
        <v>1.375</v>
      </c>
      <c r="L67" s="28">
        <f>plywood</f>
        <v>420.36</v>
      </c>
      <c r="M67" s="26">
        <f>K67*L67</f>
        <v>577.995</v>
      </c>
      <c r="N67" s="8"/>
      <c r="O67" s="6"/>
      <c r="P67" s="29"/>
      <c r="Q67" s="28"/>
      <c r="R67" s="26"/>
    </row>
    <row r="68" spans="1:18">
      <c r="A68" s="2"/>
      <c r="B68" s="714"/>
      <c r="C68" s="6"/>
      <c r="D68" s="4" t="s">
        <v>97</v>
      </c>
      <c r="E68" s="6" t="s">
        <v>81</v>
      </c>
      <c r="F68" s="29">
        <v>4</v>
      </c>
      <c r="G68" s="26">
        <f>ur</f>
        <v>850</v>
      </c>
      <c r="H68" s="26">
        <f>F68*G68</f>
        <v>3400</v>
      </c>
      <c r="I68" s="7" t="s">
        <v>231</v>
      </c>
      <c r="J68" s="8" t="s">
        <v>11</v>
      </c>
      <c r="K68" s="29">
        <f>0.6/12</f>
        <v>4.9999999999999996E-2</v>
      </c>
      <c r="L68" s="154">
        <f>AVERAGE(timber,planks)</f>
        <v>64135.06</v>
      </c>
      <c r="M68" s="26">
        <f>K68*L68</f>
        <v>3206.7529999999997</v>
      </c>
      <c r="N68" s="8"/>
      <c r="O68" s="6"/>
      <c r="P68" s="29"/>
      <c r="Q68" s="28"/>
      <c r="R68" s="26"/>
    </row>
    <row r="69" spans="1:18">
      <c r="A69" s="2"/>
      <c r="B69" s="714"/>
      <c r="C69" s="6"/>
      <c r="D69" s="4"/>
      <c r="E69" s="6"/>
      <c r="F69" s="29"/>
      <c r="G69" s="26"/>
      <c r="H69" s="26"/>
      <c r="I69" s="7" t="s">
        <v>232</v>
      </c>
      <c r="J69" s="8" t="s">
        <v>28</v>
      </c>
      <c r="K69" s="29">
        <v>4.5</v>
      </c>
      <c r="L69" s="28">
        <f>nails/1000</f>
        <v>124.14419000000001</v>
      </c>
      <c r="M69" s="26">
        <f>K69*L69</f>
        <v>558.64885500000003</v>
      </c>
      <c r="N69" s="8"/>
      <c r="O69" s="6"/>
      <c r="P69" s="29"/>
      <c r="Q69" s="28"/>
      <c r="R69" s="26"/>
    </row>
    <row r="70" spans="1:18">
      <c r="A70" s="2"/>
      <c r="B70" s="714"/>
      <c r="C70" s="6"/>
      <c r="D70" s="4"/>
      <c r="E70" s="6"/>
      <c r="F70" s="29"/>
      <c r="G70" s="26"/>
      <c r="H70" s="26"/>
      <c r="I70" s="7"/>
      <c r="J70" s="8"/>
      <c r="K70" s="29"/>
      <c r="L70" s="28"/>
      <c r="M70" s="26"/>
      <c r="N70" s="8"/>
      <c r="O70" s="6"/>
      <c r="P70" s="29"/>
      <c r="Q70" s="28"/>
      <c r="R70" s="26"/>
    </row>
    <row r="71" spans="1:18">
      <c r="A71" s="2"/>
      <c r="B71" s="714"/>
      <c r="C71" s="6"/>
      <c r="D71" s="4"/>
      <c r="E71" s="6"/>
      <c r="F71" s="29"/>
      <c r="G71" s="26"/>
      <c r="H71" s="26"/>
      <c r="I71" s="7"/>
      <c r="J71" s="8"/>
      <c r="K71" s="29"/>
      <c r="L71" s="28"/>
      <c r="M71" s="28"/>
      <c r="N71" s="8"/>
      <c r="O71" s="6"/>
      <c r="P71" s="29"/>
      <c r="Q71" s="28"/>
      <c r="R71" s="28"/>
    </row>
    <row r="72" spans="1:18">
      <c r="A72" s="2"/>
      <c r="B72" s="5"/>
      <c r="C72" s="6"/>
      <c r="D72" s="4"/>
      <c r="E72" s="9"/>
      <c r="F72" s="30"/>
      <c r="G72" s="27"/>
      <c r="H72" s="27"/>
      <c r="I72" s="9"/>
      <c r="J72" s="10"/>
      <c r="K72" s="30"/>
      <c r="L72" s="28"/>
      <c r="M72" s="28"/>
      <c r="N72" s="8"/>
      <c r="O72" s="6"/>
      <c r="P72" s="30"/>
      <c r="Q72" s="28"/>
      <c r="R72" s="28"/>
    </row>
    <row r="73" spans="1:18">
      <c r="A73" s="2"/>
      <c r="B73" s="11"/>
      <c r="C73" s="6"/>
      <c r="D73" s="12"/>
      <c r="E73" s="59"/>
      <c r="F73" s="13"/>
      <c r="G73" s="13" t="s">
        <v>20</v>
      </c>
      <c r="H73" s="25">
        <f>SUM(H66:H72)</f>
        <v>6920</v>
      </c>
      <c r="I73" s="703"/>
      <c r="J73" s="703"/>
      <c r="K73" s="14"/>
      <c r="L73" s="13" t="s">
        <v>21</v>
      </c>
      <c r="M73" s="25">
        <f>SUM(M66:M72)</f>
        <v>4343.396855</v>
      </c>
      <c r="N73" s="3"/>
      <c r="O73" s="14"/>
      <c r="P73" s="14"/>
      <c r="Q73" s="13" t="s">
        <v>22</v>
      </c>
      <c r="R73" s="25">
        <f>SUM(R66:R72)</f>
        <v>0</v>
      </c>
    </row>
    <row r="74" spans="1:18">
      <c r="A74" s="2"/>
      <c r="B74" s="16" t="s">
        <v>13</v>
      </c>
      <c r="C74" s="14"/>
      <c r="D74" s="14"/>
      <c r="E74" s="14"/>
      <c r="F74" s="14"/>
      <c r="G74" s="13"/>
      <c r="H74" s="35">
        <f>M73+R73+H73</f>
        <v>11263.396854999999</v>
      </c>
      <c r="I74" s="17"/>
      <c r="J74" s="14"/>
      <c r="K74" s="14"/>
      <c r="L74" s="13"/>
      <c r="M74" s="15"/>
      <c r="N74" s="14"/>
      <c r="O74" s="14"/>
      <c r="P74" s="14"/>
      <c r="Q74" s="14"/>
      <c r="R74" s="17"/>
    </row>
    <row r="75" spans="1:18">
      <c r="A75" s="2"/>
      <c r="B75" s="11" t="s">
        <v>25</v>
      </c>
      <c r="C75" s="4"/>
      <c r="D75" s="4"/>
      <c r="E75" s="4"/>
      <c r="F75" s="4"/>
      <c r="G75" s="18"/>
      <c r="H75" s="36">
        <v>0</v>
      </c>
      <c r="I75" s="20"/>
      <c r="J75" s="4" t="s">
        <v>26</v>
      </c>
      <c r="K75" s="4"/>
      <c r="L75" s="18"/>
      <c r="M75" s="19"/>
      <c r="N75" s="4"/>
      <c r="O75" s="4"/>
      <c r="P75" s="4"/>
      <c r="Q75" s="4"/>
      <c r="R75" s="20"/>
    </row>
    <row r="76" spans="1:18">
      <c r="A76" s="23"/>
      <c r="B76" s="11" t="s">
        <v>14</v>
      </c>
      <c r="C76" s="4"/>
      <c r="D76" s="4"/>
      <c r="E76" s="4"/>
      <c r="F76" s="4"/>
      <c r="G76" s="18"/>
      <c r="H76" s="36">
        <f>SUM(H74:H75)</f>
        <v>11263.396854999999</v>
      </c>
      <c r="I76" s="20"/>
      <c r="J76" s="741"/>
      <c r="K76" s="742"/>
      <c r="L76" s="742"/>
      <c r="M76" s="742"/>
      <c r="N76" s="742"/>
      <c r="O76" s="742"/>
      <c r="P76" s="742"/>
      <c r="Q76" s="742"/>
      <c r="R76" s="743"/>
    </row>
    <row r="77" spans="1:18">
      <c r="A77" s="23"/>
      <c r="B77" s="11" t="s">
        <v>24</v>
      </c>
      <c r="C77" s="4"/>
      <c r="D77" s="4"/>
      <c r="E77" s="4"/>
      <c r="F77" s="4"/>
      <c r="G77" s="18"/>
      <c r="H77" s="36">
        <f>H76*15%</f>
        <v>1689.5095282499999</v>
      </c>
      <c r="I77" s="20"/>
      <c r="J77" s="744"/>
      <c r="K77" s="745"/>
      <c r="L77" s="745"/>
      <c r="M77" s="745"/>
      <c r="N77" s="745"/>
      <c r="O77" s="745"/>
      <c r="P77" s="745"/>
      <c r="Q77" s="745"/>
      <c r="R77" s="746"/>
    </row>
    <row r="78" spans="1:18">
      <c r="A78" s="23"/>
      <c r="B78" s="11" t="s">
        <v>15</v>
      </c>
      <c r="C78" s="4"/>
      <c r="D78" s="4"/>
      <c r="E78" s="4"/>
      <c r="F78" s="4"/>
      <c r="G78" s="21" t="s">
        <v>16</v>
      </c>
      <c r="H78" s="37">
        <f>H77+H76</f>
        <v>12952.90638325</v>
      </c>
      <c r="I78" s="38" t="str">
        <f>CONCATENATE("per ",C66, C67)</f>
        <v>per 10sqm</v>
      </c>
      <c r="J78" s="744"/>
      <c r="K78" s="745"/>
      <c r="L78" s="745"/>
      <c r="M78" s="745"/>
      <c r="N78" s="745"/>
      <c r="O78" s="745"/>
      <c r="P78" s="745"/>
      <c r="Q78" s="745"/>
      <c r="R78" s="746"/>
    </row>
    <row r="79" spans="1:18">
      <c r="A79" s="23"/>
      <c r="B79" s="11"/>
      <c r="C79" s="4"/>
      <c r="D79" s="4"/>
      <c r="E79" s="4"/>
      <c r="F79" s="4"/>
      <c r="G79" s="21" t="s">
        <v>16</v>
      </c>
      <c r="H79" s="37">
        <f>H78/C66</f>
        <v>1295.2906383249999</v>
      </c>
      <c r="I79" s="38" t="str">
        <f>CONCATENATE("per ",C67)</f>
        <v>per sqm</v>
      </c>
      <c r="J79" s="744"/>
      <c r="K79" s="745"/>
      <c r="L79" s="745"/>
      <c r="M79" s="745"/>
      <c r="N79" s="745"/>
      <c r="O79" s="745"/>
      <c r="P79" s="745"/>
      <c r="Q79" s="745"/>
      <c r="R79" s="746"/>
    </row>
    <row r="80" spans="1:18">
      <c r="A80" s="23"/>
      <c r="B80" s="11" t="s">
        <v>18</v>
      </c>
      <c r="C80" s="4" t="s">
        <v>19</v>
      </c>
      <c r="D80" s="4"/>
      <c r="E80" s="4"/>
      <c r="F80" s="4"/>
      <c r="G80" s="21" t="s">
        <v>16</v>
      </c>
      <c r="H80" s="37">
        <f>CEILING(H79,0.5)</f>
        <v>1295.5</v>
      </c>
      <c r="I80" s="38" t="str">
        <f>CONCATENATE("per ",C67)</f>
        <v>per sqm</v>
      </c>
      <c r="J80" s="744"/>
      <c r="K80" s="745"/>
      <c r="L80" s="745"/>
      <c r="M80" s="745"/>
      <c r="N80" s="745"/>
      <c r="O80" s="745"/>
      <c r="P80" s="745"/>
      <c r="Q80" s="745"/>
      <c r="R80" s="746"/>
    </row>
    <row r="81" spans="1:18">
      <c r="A81" s="23"/>
      <c r="B81" s="11"/>
      <c r="C81" s="4"/>
      <c r="D81" s="4"/>
      <c r="E81" s="4"/>
      <c r="F81" s="4"/>
      <c r="G81" s="24" t="s">
        <v>17</v>
      </c>
      <c r="H81" s="37">
        <f>H80/exr</f>
        <v>9.9653846153846146</v>
      </c>
      <c r="I81" s="38" t="str">
        <f>CONCATENATE("per ",C67)</f>
        <v>per sqm</v>
      </c>
      <c r="J81" s="747"/>
      <c r="K81" s="748"/>
      <c r="L81" s="748"/>
      <c r="M81" s="748"/>
      <c r="N81" s="748"/>
      <c r="O81" s="748"/>
      <c r="P81" s="748"/>
      <c r="Q81" s="748"/>
      <c r="R81" s="749"/>
    </row>
    <row r="82" spans="1:18">
      <c r="A82" s="39"/>
      <c r="B82" s="40"/>
      <c r="C82" s="41"/>
      <c r="D82" s="41"/>
      <c r="E82" s="41"/>
      <c r="F82" s="41"/>
      <c r="G82" s="149" t="s">
        <v>460</v>
      </c>
      <c r="H82" s="150">
        <f>CEILING(SUM(M69)/H74,0.0025)</f>
        <v>0.05</v>
      </c>
      <c r="I82" s="42"/>
      <c r="J82" s="43"/>
      <c r="K82" s="43"/>
      <c r="L82" s="43"/>
      <c r="M82" s="43"/>
      <c r="N82" s="43"/>
      <c r="O82" s="43"/>
      <c r="P82" s="43"/>
      <c r="Q82" s="43"/>
      <c r="R82" s="44"/>
    </row>
    <row r="84" spans="1:18">
      <c r="A84" s="693" t="s">
        <v>0</v>
      </c>
      <c r="B84" s="695" t="s">
        <v>1</v>
      </c>
      <c r="C84" s="695" t="s">
        <v>2</v>
      </c>
      <c r="D84" s="697" t="s">
        <v>3</v>
      </c>
      <c r="E84" s="698"/>
      <c r="F84" s="698"/>
      <c r="G84" s="698"/>
      <c r="H84" s="698"/>
      <c r="I84" s="699" t="s">
        <v>4</v>
      </c>
      <c r="J84" s="700"/>
      <c r="K84" s="700"/>
      <c r="L84" s="700"/>
      <c r="M84" s="700"/>
      <c r="N84" s="698" t="s">
        <v>5</v>
      </c>
      <c r="O84" s="698"/>
      <c r="P84" s="698"/>
      <c r="Q84" s="698"/>
      <c r="R84" s="698"/>
    </row>
    <row r="85" spans="1:18">
      <c r="A85" s="694"/>
      <c r="B85" s="696"/>
      <c r="C85" s="696"/>
      <c r="D85" s="45" t="s">
        <v>6</v>
      </c>
      <c r="E85" s="46" t="s">
        <v>2</v>
      </c>
      <c r="F85" s="46" t="s">
        <v>7</v>
      </c>
      <c r="G85" s="46" t="s">
        <v>8</v>
      </c>
      <c r="H85" s="46" t="s">
        <v>9</v>
      </c>
      <c r="I85" s="46" t="s">
        <v>10</v>
      </c>
      <c r="J85" s="46" t="s">
        <v>2</v>
      </c>
      <c r="K85" s="46" t="s">
        <v>7</v>
      </c>
      <c r="L85" s="46" t="s">
        <v>8</v>
      </c>
      <c r="M85" s="47" t="s">
        <v>9</v>
      </c>
      <c r="N85" s="46" t="s">
        <v>10</v>
      </c>
      <c r="O85" s="46" t="s">
        <v>2</v>
      </c>
      <c r="P85" s="46" t="s">
        <v>7</v>
      </c>
      <c r="Q85" s="46" t="s">
        <v>8</v>
      </c>
      <c r="R85" s="46" t="s">
        <v>9</v>
      </c>
    </row>
    <row r="86" spans="1:18">
      <c r="A86" s="33" t="s">
        <v>23</v>
      </c>
      <c r="B86" s="73" t="s">
        <v>238</v>
      </c>
      <c r="C86" s="31"/>
      <c r="D86" s="31"/>
      <c r="E86" s="31"/>
      <c r="F86" s="31"/>
      <c r="G86" s="31"/>
      <c r="H86" s="31"/>
      <c r="I86" s="31"/>
      <c r="J86" s="31"/>
      <c r="K86" s="31"/>
      <c r="L86" s="31"/>
      <c r="M86" s="31"/>
      <c r="N86" s="31"/>
      <c r="O86" s="31"/>
      <c r="P86" s="31"/>
      <c r="Q86" s="31"/>
      <c r="R86" s="32"/>
    </row>
    <row r="87" spans="1:18">
      <c r="A87" s="34">
        <f>A66+1</f>
        <v>5</v>
      </c>
      <c r="B87" s="713" t="s">
        <v>612</v>
      </c>
      <c r="C87" s="66">
        <v>10</v>
      </c>
      <c r="D87" s="4"/>
      <c r="E87" s="6"/>
      <c r="F87" s="29"/>
      <c r="G87" s="26"/>
      <c r="H87" s="26"/>
      <c r="I87" s="6"/>
      <c r="J87" s="6"/>
      <c r="K87" s="29"/>
      <c r="L87" s="26"/>
      <c r="M87" s="26"/>
      <c r="N87" s="6"/>
      <c r="O87" s="6"/>
      <c r="P87" s="29"/>
      <c r="Q87" s="26"/>
      <c r="R87" s="26"/>
    </row>
    <row r="88" spans="1:18">
      <c r="A88" s="2"/>
      <c r="B88" s="714"/>
      <c r="C88" s="124" t="s">
        <v>127</v>
      </c>
      <c r="D88" s="4"/>
      <c r="E88" s="6"/>
      <c r="F88" s="29"/>
      <c r="G88" s="26"/>
      <c r="H88" s="26"/>
      <c r="I88" s="7"/>
      <c r="J88" s="8"/>
      <c r="K88" s="29"/>
      <c r="L88" s="28"/>
      <c r="M88" s="26"/>
      <c r="N88" s="8"/>
      <c r="O88" s="6"/>
      <c r="P88" s="29"/>
      <c r="Q88" s="28"/>
      <c r="R88" s="26"/>
    </row>
    <row r="89" spans="1:18">
      <c r="A89" s="2"/>
      <c r="B89" s="714"/>
      <c r="C89" s="6"/>
      <c r="D89" s="4"/>
      <c r="E89" s="6"/>
      <c r="F89" s="29"/>
      <c r="G89" s="26"/>
      <c r="H89" s="26"/>
      <c r="I89" s="7"/>
      <c r="J89" s="8"/>
      <c r="K89" s="29"/>
      <c r="L89" s="28"/>
      <c r="M89" s="26"/>
      <c r="N89" s="8"/>
      <c r="O89" s="6"/>
      <c r="P89" s="29"/>
      <c r="Q89" s="28"/>
      <c r="R89" s="26"/>
    </row>
    <row r="90" spans="1:18">
      <c r="A90" s="2"/>
      <c r="B90" s="714"/>
      <c r="C90" s="6"/>
      <c r="D90" s="4"/>
      <c r="E90" s="6"/>
      <c r="F90" s="29"/>
      <c r="G90" s="26"/>
      <c r="H90" s="26"/>
      <c r="I90" s="7"/>
      <c r="J90" s="8"/>
      <c r="K90" s="29"/>
      <c r="L90" s="28"/>
      <c r="M90" s="26"/>
      <c r="N90" s="8"/>
      <c r="O90" s="6"/>
      <c r="P90" s="29"/>
      <c r="Q90" s="28"/>
      <c r="R90" s="26"/>
    </row>
    <row r="91" spans="1:18">
      <c r="A91" s="2"/>
      <c r="B91" s="714"/>
      <c r="C91" s="6"/>
      <c r="D91" s="4"/>
      <c r="E91" s="6"/>
      <c r="F91" s="29"/>
      <c r="G91" s="26"/>
      <c r="H91" s="26"/>
      <c r="I91" s="7"/>
      <c r="J91" s="8"/>
      <c r="K91" s="29"/>
      <c r="L91" s="28"/>
      <c r="M91" s="26"/>
      <c r="N91" s="8"/>
      <c r="O91" s="6"/>
      <c r="P91" s="29"/>
      <c r="Q91" s="28"/>
      <c r="R91" s="26"/>
    </row>
    <row r="92" spans="1:18">
      <c r="A92" s="2"/>
      <c r="B92" s="714"/>
      <c r="C92" s="6"/>
      <c r="D92" s="4"/>
      <c r="E92" s="6"/>
      <c r="F92" s="29"/>
      <c r="G92" s="26"/>
      <c r="H92" s="26"/>
      <c r="I92" s="7"/>
      <c r="J92" s="8"/>
      <c r="K92" s="29"/>
      <c r="L92" s="28"/>
      <c r="M92" s="28"/>
      <c r="N92" s="8"/>
      <c r="O92" s="6"/>
      <c r="P92" s="29"/>
      <c r="Q92" s="28"/>
      <c r="R92" s="28"/>
    </row>
    <row r="93" spans="1:18">
      <c r="A93" s="2"/>
      <c r="B93" s="5"/>
      <c r="C93" s="6"/>
      <c r="D93" s="4"/>
      <c r="E93" s="9"/>
      <c r="F93" s="30"/>
      <c r="G93" s="27"/>
      <c r="H93" s="27"/>
      <c r="I93" s="9"/>
      <c r="J93" s="10"/>
      <c r="K93" s="30"/>
      <c r="L93" s="28"/>
      <c r="M93" s="28"/>
      <c r="N93" s="8"/>
      <c r="O93" s="6"/>
      <c r="P93" s="30"/>
      <c r="Q93" s="28"/>
      <c r="R93" s="28"/>
    </row>
    <row r="94" spans="1:18">
      <c r="A94" s="2"/>
      <c r="B94" s="11"/>
      <c r="C94" s="6"/>
      <c r="D94" s="12"/>
      <c r="E94" s="59"/>
      <c r="F94" s="13"/>
      <c r="G94" s="13" t="s">
        <v>20</v>
      </c>
      <c r="H94" s="25">
        <f>SUM(H87:H93)</f>
        <v>0</v>
      </c>
      <c r="I94" s="703"/>
      <c r="J94" s="703"/>
      <c r="K94" s="14"/>
      <c r="L94" s="13" t="s">
        <v>21</v>
      </c>
      <c r="M94" s="25">
        <f>SUM(M87:M93)</f>
        <v>0</v>
      </c>
      <c r="N94" s="3"/>
      <c r="O94" s="14"/>
      <c r="P94" s="14"/>
      <c r="Q94" s="13" t="s">
        <v>22</v>
      </c>
      <c r="R94" s="25">
        <f>SUM(R87:R93)</f>
        <v>0</v>
      </c>
    </row>
    <row r="95" spans="1:18">
      <c r="A95" s="2"/>
      <c r="B95" s="16" t="s">
        <v>13</v>
      </c>
      <c r="C95" s="14"/>
      <c r="D95" s="14"/>
      <c r="E95" s="14"/>
      <c r="F95" s="14"/>
      <c r="G95" s="13"/>
      <c r="H95" s="35">
        <f>M94+R94+H94</f>
        <v>0</v>
      </c>
      <c r="I95" s="17"/>
      <c r="J95" s="14"/>
      <c r="K95" s="14"/>
      <c r="L95" s="13"/>
      <c r="M95" s="15"/>
      <c r="N95" s="14"/>
      <c r="O95" s="14"/>
      <c r="P95" s="14"/>
      <c r="Q95" s="14"/>
      <c r="R95" s="17"/>
    </row>
    <row r="96" spans="1:18">
      <c r="A96" s="2"/>
      <c r="B96" s="11" t="s">
        <v>25</v>
      </c>
      <c r="C96" s="4"/>
      <c r="D96" s="4"/>
      <c r="E96" s="4"/>
      <c r="F96" s="4"/>
      <c r="G96" s="18"/>
      <c r="H96" s="36">
        <v>0</v>
      </c>
      <c r="I96" s="20"/>
      <c r="J96" s="4" t="s">
        <v>26</v>
      </c>
      <c r="K96" s="4"/>
      <c r="L96" s="18"/>
      <c r="M96" s="19"/>
      <c r="N96" s="4"/>
      <c r="O96" s="4"/>
      <c r="P96" s="4"/>
      <c r="Q96" s="4"/>
      <c r="R96" s="20"/>
    </row>
    <row r="97" spans="1:18">
      <c r="A97" s="23"/>
      <c r="B97" s="11" t="s">
        <v>14</v>
      </c>
      <c r="C97" s="4"/>
      <c r="D97" s="4"/>
      <c r="E97" s="4"/>
      <c r="F97" s="4"/>
      <c r="G97" s="18"/>
      <c r="H97" s="36">
        <f>SUM(H95:H96)</f>
        <v>0</v>
      </c>
      <c r="I97" s="20"/>
      <c r="J97" s="741" t="s">
        <v>239</v>
      </c>
      <c r="K97" s="742"/>
      <c r="L97" s="742"/>
      <c r="M97" s="742"/>
      <c r="N97" s="742"/>
      <c r="O97" s="742"/>
      <c r="P97" s="742"/>
      <c r="Q97" s="742"/>
      <c r="R97" s="743"/>
    </row>
    <row r="98" spans="1:18">
      <c r="A98" s="23"/>
      <c r="B98" s="11" t="s">
        <v>24</v>
      </c>
      <c r="C98" s="4"/>
      <c r="D98" s="4"/>
      <c r="E98" s="4"/>
      <c r="F98" s="4"/>
      <c r="G98" s="18"/>
      <c r="H98" s="36">
        <f>H97*15%</f>
        <v>0</v>
      </c>
      <c r="I98" s="20"/>
      <c r="J98" s="744"/>
      <c r="K98" s="745"/>
      <c r="L98" s="745"/>
      <c r="M98" s="745"/>
      <c r="N98" s="745"/>
      <c r="O98" s="745"/>
      <c r="P98" s="745"/>
      <c r="Q98" s="745"/>
      <c r="R98" s="746"/>
    </row>
    <row r="99" spans="1:18">
      <c r="A99" s="23"/>
      <c r="B99" s="11" t="s">
        <v>15</v>
      </c>
      <c r="C99" s="4"/>
      <c r="D99" s="4"/>
      <c r="E99" s="4"/>
      <c r="F99" s="4"/>
      <c r="G99" s="21" t="s">
        <v>16</v>
      </c>
      <c r="H99" s="37">
        <f>H98+H97</f>
        <v>0</v>
      </c>
      <c r="I99" s="38" t="str">
        <f>CONCATENATE("per ",C87, C88)</f>
        <v>per 10sqm</v>
      </c>
      <c r="J99" s="744"/>
      <c r="K99" s="745"/>
      <c r="L99" s="745"/>
      <c r="M99" s="745"/>
      <c r="N99" s="745"/>
      <c r="O99" s="745"/>
      <c r="P99" s="745"/>
      <c r="Q99" s="745"/>
      <c r="R99" s="746"/>
    </row>
    <row r="100" spans="1:18">
      <c r="A100" s="23"/>
      <c r="B100" s="11"/>
      <c r="C100" s="4"/>
      <c r="D100" s="4"/>
      <c r="E100" s="4"/>
      <c r="F100" s="4"/>
      <c r="G100" s="21" t="s">
        <v>16</v>
      </c>
      <c r="H100" s="37">
        <f>H99/C87</f>
        <v>0</v>
      </c>
      <c r="I100" s="38" t="str">
        <f>CONCATENATE("per ",C88)</f>
        <v>per sqm</v>
      </c>
      <c r="J100" s="744"/>
      <c r="K100" s="745"/>
      <c r="L100" s="745"/>
      <c r="M100" s="745"/>
      <c r="N100" s="745"/>
      <c r="O100" s="745"/>
      <c r="P100" s="745"/>
      <c r="Q100" s="745"/>
      <c r="R100" s="746"/>
    </row>
    <row r="101" spans="1:18">
      <c r="A101" s="23"/>
      <c r="B101" s="11" t="s">
        <v>18</v>
      </c>
      <c r="C101" s="4" t="s">
        <v>19</v>
      </c>
      <c r="D101" s="4"/>
      <c r="E101" s="4"/>
      <c r="F101" s="4"/>
      <c r="G101" s="21" t="s">
        <v>16</v>
      </c>
      <c r="H101" s="37">
        <f>CEILING(H100,0.5)</f>
        <v>0</v>
      </c>
      <c r="I101" s="38" t="str">
        <f>CONCATENATE("per ",C88)</f>
        <v>per sqm</v>
      </c>
      <c r="J101" s="744"/>
      <c r="K101" s="745"/>
      <c r="L101" s="745"/>
      <c r="M101" s="745"/>
      <c r="N101" s="745"/>
      <c r="O101" s="745"/>
      <c r="P101" s="745"/>
      <c r="Q101" s="745"/>
      <c r="R101" s="746"/>
    </row>
    <row r="102" spans="1:18">
      <c r="A102" s="23"/>
      <c r="B102" s="11"/>
      <c r="C102" s="4"/>
      <c r="D102" s="4"/>
      <c r="E102" s="4"/>
      <c r="F102" s="4"/>
      <c r="G102" s="24" t="s">
        <v>17</v>
      </c>
      <c r="H102" s="37">
        <f>H101/exr</f>
        <v>0</v>
      </c>
      <c r="I102" s="38" t="str">
        <f>CONCATENATE("per ",C88)</f>
        <v>per sqm</v>
      </c>
      <c r="J102" s="747"/>
      <c r="K102" s="748"/>
      <c r="L102" s="748"/>
      <c r="M102" s="748"/>
      <c r="N102" s="748"/>
      <c r="O102" s="748"/>
      <c r="P102" s="748"/>
      <c r="Q102" s="748"/>
      <c r="R102" s="749"/>
    </row>
    <row r="103" spans="1:18">
      <c r="A103" s="39"/>
      <c r="B103" s="40"/>
      <c r="C103" s="41"/>
      <c r="D103" s="41"/>
      <c r="E103" s="41"/>
      <c r="F103" s="41"/>
      <c r="G103" s="149" t="s">
        <v>460</v>
      </c>
      <c r="H103" s="150">
        <f>CEILING(0,0.0025)</f>
        <v>0</v>
      </c>
      <c r="I103" s="42"/>
      <c r="J103" s="43"/>
      <c r="K103" s="43"/>
      <c r="L103" s="43"/>
      <c r="M103" s="43"/>
      <c r="N103" s="43"/>
      <c r="O103" s="43"/>
      <c r="P103" s="43"/>
      <c r="Q103" s="43"/>
      <c r="R103" s="44"/>
    </row>
    <row r="105" spans="1:18" s="170" customFormat="1">
      <c r="A105" s="693" t="s">
        <v>0</v>
      </c>
      <c r="B105" s="695" t="s">
        <v>1</v>
      </c>
      <c r="C105" s="695" t="s">
        <v>2</v>
      </c>
      <c r="D105" s="697" t="s">
        <v>3</v>
      </c>
      <c r="E105" s="698"/>
      <c r="F105" s="698"/>
      <c r="G105" s="698"/>
      <c r="H105" s="698"/>
      <c r="I105" s="699" t="s">
        <v>4</v>
      </c>
      <c r="J105" s="700"/>
      <c r="K105" s="700"/>
      <c r="L105" s="700"/>
      <c r="M105" s="700"/>
      <c r="N105" s="698" t="s">
        <v>5</v>
      </c>
      <c r="O105" s="698"/>
      <c r="P105" s="698"/>
      <c r="Q105" s="698"/>
      <c r="R105" s="698"/>
    </row>
    <row r="106" spans="1:18" s="170" customFormat="1">
      <c r="A106" s="694"/>
      <c r="B106" s="696"/>
      <c r="C106" s="696"/>
      <c r="D106" s="45" t="s">
        <v>6</v>
      </c>
      <c r="E106" s="46" t="s">
        <v>2</v>
      </c>
      <c r="F106" s="46" t="s">
        <v>7</v>
      </c>
      <c r="G106" s="46" t="s">
        <v>8</v>
      </c>
      <c r="H106" s="46" t="s">
        <v>9</v>
      </c>
      <c r="I106" s="46" t="s">
        <v>10</v>
      </c>
      <c r="J106" s="46" t="s">
        <v>2</v>
      </c>
      <c r="K106" s="46" t="s">
        <v>7</v>
      </c>
      <c r="L106" s="46" t="s">
        <v>8</v>
      </c>
      <c r="M106" s="47" t="s">
        <v>9</v>
      </c>
      <c r="N106" s="46" t="s">
        <v>10</v>
      </c>
      <c r="O106" s="46" t="s">
        <v>2</v>
      </c>
      <c r="P106" s="46" t="s">
        <v>7</v>
      </c>
      <c r="Q106" s="46" t="s">
        <v>8</v>
      </c>
      <c r="R106" s="46" t="s">
        <v>9</v>
      </c>
    </row>
    <row r="107" spans="1:18" s="170" customFormat="1">
      <c r="A107" s="33" t="s">
        <v>23</v>
      </c>
      <c r="B107" s="73" t="s">
        <v>613</v>
      </c>
      <c r="C107" s="31"/>
      <c r="D107" s="31"/>
      <c r="E107" s="31"/>
      <c r="F107" s="31"/>
      <c r="G107" s="31"/>
      <c r="H107" s="31"/>
      <c r="I107" s="31"/>
      <c r="J107" s="31"/>
      <c r="K107" s="31"/>
      <c r="L107" s="31"/>
      <c r="M107" s="31"/>
      <c r="N107" s="31"/>
      <c r="O107" s="31"/>
      <c r="P107" s="31"/>
      <c r="Q107" s="31"/>
      <c r="R107" s="32"/>
    </row>
    <row r="108" spans="1:18" s="170" customFormat="1">
      <c r="A108" s="34">
        <f>A87+1</f>
        <v>6</v>
      </c>
      <c r="B108" s="730" t="s">
        <v>617</v>
      </c>
      <c r="C108" s="145">
        <v>10</v>
      </c>
      <c r="D108" s="87"/>
      <c r="E108" s="8"/>
      <c r="F108" s="88"/>
      <c r="G108" s="28"/>
      <c r="H108" s="28"/>
      <c r="I108" s="8"/>
      <c r="J108" s="8"/>
      <c r="K108" s="88"/>
      <c r="L108" s="28"/>
      <c r="M108" s="28"/>
      <c r="N108" s="8"/>
      <c r="O108" s="8"/>
      <c r="P108" s="88"/>
      <c r="Q108" s="28"/>
      <c r="R108" s="28"/>
    </row>
    <row r="109" spans="1:18" s="170" customFormat="1">
      <c r="A109" s="2"/>
      <c r="B109" s="731"/>
      <c r="C109" s="171" t="s">
        <v>127</v>
      </c>
      <c r="D109" s="87" t="s">
        <v>96</v>
      </c>
      <c r="E109" s="8" t="s">
        <v>81</v>
      </c>
      <c r="F109" s="88">
        <v>3</v>
      </c>
      <c r="G109" s="28">
        <f>sr</f>
        <v>1100</v>
      </c>
      <c r="H109" s="28">
        <f>F109*G109</f>
        <v>3300</v>
      </c>
      <c r="I109" s="89" t="s">
        <v>234</v>
      </c>
      <c r="J109" s="8" t="s">
        <v>127</v>
      </c>
      <c r="K109" s="88">
        <f>11/8</f>
        <v>1.375</v>
      </c>
      <c r="L109" s="28">
        <f>plywood</f>
        <v>420.36</v>
      </c>
      <c r="M109" s="28">
        <f>K109*L109</f>
        <v>577.995</v>
      </c>
      <c r="N109" s="8"/>
      <c r="O109" s="8"/>
      <c r="P109" s="88"/>
      <c r="Q109" s="28"/>
      <c r="R109" s="28"/>
    </row>
    <row r="110" spans="1:18" s="170" customFormat="1">
      <c r="A110" s="2"/>
      <c r="B110" s="731"/>
      <c r="C110" s="8"/>
      <c r="D110" s="87" t="s">
        <v>97</v>
      </c>
      <c r="E110" s="8" t="s">
        <v>81</v>
      </c>
      <c r="F110" s="88">
        <v>3</v>
      </c>
      <c r="G110" s="28">
        <f>ur</f>
        <v>850</v>
      </c>
      <c r="H110" s="28">
        <f>F110*G110</f>
        <v>2550</v>
      </c>
      <c r="I110" s="89" t="s">
        <v>231</v>
      </c>
      <c r="J110" s="8" t="s">
        <v>11</v>
      </c>
      <c r="K110" s="88">
        <f>0.6/12</f>
        <v>4.9999999999999996E-2</v>
      </c>
      <c r="L110" s="154">
        <f>AVERAGE(timber,planks)</f>
        <v>64135.06</v>
      </c>
      <c r="M110" s="28">
        <f>K110*L110</f>
        <v>3206.7529999999997</v>
      </c>
      <c r="N110" s="8"/>
      <c r="O110" s="8"/>
      <c r="P110" s="88"/>
      <c r="Q110" s="28"/>
      <c r="R110" s="28"/>
    </row>
    <row r="111" spans="1:18" s="170" customFormat="1">
      <c r="A111" s="2"/>
      <c r="B111" s="731"/>
      <c r="C111" s="8"/>
      <c r="D111" s="87"/>
      <c r="E111" s="8"/>
      <c r="F111" s="88"/>
      <c r="G111" s="28"/>
      <c r="H111" s="28"/>
      <c r="I111" s="89" t="s">
        <v>232</v>
      </c>
      <c r="J111" s="8" t="s">
        <v>28</v>
      </c>
      <c r="K111" s="88">
        <v>4</v>
      </c>
      <c r="L111" s="28">
        <f>nails/1000</f>
        <v>124.14419000000001</v>
      </c>
      <c r="M111" s="28">
        <f>K111*L111</f>
        <v>496.57676000000004</v>
      </c>
      <c r="N111" s="8"/>
      <c r="O111" s="8"/>
      <c r="P111" s="88"/>
      <c r="Q111" s="28"/>
      <c r="R111" s="28"/>
    </row>
    <row r="112" spans="1:18" s="170" customFormat="1">
      <c r="A112" s="2"/>
      <c r="B112" s="731"/>
      <c r="C112" s="8"/>
      <c r="D112" s="87"/>
      <c r="E112" s="8"/>
      <c r="F112" s="88"/>
      <c r="G112" s="28"/>
      <c r="H112" s="28"/>
      <c r="I112" s="89"/>
      <c r="J112" s="8"/>
      <c r="K112" s="88"/>
      <c r="L112" s="28"/>
      <c r="M112" s="28"/>
      <c r="N112" s="8"/>
      <c r="O112" s="8"/>
      <c r="P112" s="88"/>
      <c r="Q112" s="28"/>
      <c r="R112" s="28"/>
    </row>
    <row r="113" spans="1:18" s="170" customFormat="1" ht="31.5" customHeight="1">
      <c r="A113" s="2"/>
      <c r="B113" s="731"/>
      <c r="C113" s="8"/>
      <c r="D113" s="87"/>
      <c r="E113" s="8"/>
      <c r="F113" s="88"/>
      <c r="G113" s="28"/>
      <c r="H113" s="28"/>
      <c r="I113" s="89"/>
      <c r="J113" s="8"/>
      <c r="K113" s="88"/>
      <c r="L113" s="28"/>
      <c r="M113" s="28"/>
      <c r="N113" s="8"/>
      <c r="O113" s="8"/>
      <c r="P113" s="88"/>
      <c r="Q113" s="28"/>
      <c r="R113" s="28"/>
    </row>
    <row r="114" spans="1:18" s="170" customFormat="1">
      <c r="A114" s="2"/>
      <c r="B114" s="172"/>
      <c r="C114" s="8"/>
      <c r="D114" s="87"/>
      <c r="E114" s="10"/>
      <c r="F114" s="91"/>
      <c r="G114" s="92"/>
      <c r="H114" s="92"/>
      <c r="I114" s="10"/>
      <c r="J114" s="10"/>
      <c r="K114" s="91"/>
      <c r="L114" s="28"/>
      <c r="M114" s="28"/>
      <c r="N114" s="8"/>
      <c r="O114" s="8"/>
      <c r="P114" s="91"/>
      <c r="Q114" s="28"/>
      <c r="R114" s="28"/>
    </row>
    <row r="115" spans="1:18" s="170" customFormat="1">
      <c r="A115" s="2"/>
      <c r="B115" s="2"/>
      <c r="C115" s="8"/>
      <c r="D115" s="93"/>
      <c r="E115" s="94"/>
      <c r="F115" s="95"/>
      <c r="G115" s="95" t="s">
        <v>20</v>
      </c>
      <c r="H115" s="96">
        <f>SUM(H108:H114)</f>
        <v>5850</v>
      </c>
      <c r="I115" s="717"/>
      <c r="J115" s="717"/>
      <c r="K115" s="97"/>
      <c r="L115" s="95" t="s">
        <v>21</v>
      </c>
      <c r="M115" s="96">
        <f>SUM(M108:M114)</f>
        <v>4281.3247599999995</v>
      </c>
      <c r="N115" s="98"/>
      <c r="O115" s="97"/>
      <c r="P115" s="97"/>
      <c r="Q115" s="95" t="s">
        <v>22</v>
      </c>
      <c r="R115" s="96">
        <f>SUM(R108:R114)</f>
        <v>0</v>
      </c>
    </row>
    <row r="116" spans="1:18" s="170" customFormat="1">
      <c r="A116" s="2"/>
      <c r="B116" s="99" t="s">
        <v>13</v>
      </c>
      <c r="C116" s="97"/>
      <c r="D116" s="97"/>
      <c r="E116" s="97"/>
      <c r="F116" s="97"/>
      <c r="G116" s="95"/>
      <c r="H116" s="100">
        <f>M115+R115+H115</f>
        <v>10131.32476</v>
      </c>
      <c r="I116" s="101"/>
      <c r="J116" s="97"/>
      <c r="K116" s="97"/>
      <c r="L116" s="95"/>
      <c r="M116" s="102"/>
      <c r="N116" s="97"/>
      <c r="O116" s="97"/>
      <c r="P116" s="97"/>
      <c r="Q116" s="97"/>
      <c r="R116" s="101"/>
    </row>
    <row r="117" spans="1:18" s="170" customFormat="1">
      <c r="A117" s="2"/>
      <c r="B117" s="2" t="s">
        <v>25</v>
      </c>
      <c r="C117" s="87"/>
      <c r="D117" s="87"/>
      <c r="E117" s="87"/>
      <c r="F117" s="87"/>
      <c r="G117" s="103"/>
      <c r="H117" s="104">
        <v>0</v>
      </c>
      <c r="I117" s="105"/>
      <c r="J117" s="87" t="s">
        <v>26</v>
      </c>
      <c r="K117" s="87"/>
      <c r="L117" s="103"/>
      <c r="M117" s="106"/>
      <c r="N117" s="87"/>
      <c r="O117" s="87"/>
      <c r="P117" s="87"/>
      <c r="Q117" s="87"/>
      <c r="R117" s="105"/>
    </row>
    <row r="118" spans="1:18" s="170" customFormat="1">
      <c r="A118" s="23"/>
      <c r="B118" s="2" t="s">
        <v>14</v>
      </c>
      <c r="C118" s="87"/>
      <c r="D118" s="87"/>
      <c r="E118" s="87"/>
      <c r="F118" s="87"/>
      <c r="G118" s="103"/>
      <c r="H118" s="104">
        <f>SUM(H116:H117)</f>
        <v>10131.32476</v>
      </c>
      <c r="I118" s="105"/>
      <c r="J118" s="732"/>
      <c r="K118" s="733"/>
      <c r="L118" s="733"/>
      <c r="M118" s="733"/>
      <c r="N118" s="733"/>
      <c r="O118" s="733"/>
      <c r="P118" s="733"/>
      <c r="Q118" s="733"/>
      <c r="R118" s="734"/>
    </row>
    <row r="119" spans="1:18" s="170" customFormat="1">
      <c r="A119" s="23"/>
      <c r="B119" s="2" t="s">
        <v>24</v>
      </c>
      <c r="C119" s="87"/>
      <c r="D119" s="87"/>
      <c r="E119" s="87"/>
      <c r="F119" s="87"/>
      <c r="G119" s="103"/>
      <c r="H119" s="104">
        <f>H118*15%</f>
        <v>1519.6987139999999</v>
      </c>
      <c r="I119" s="105"/>
      <c r="J119" s="735"/>
      <c r="K119" s="736"/>
      <c r="L119" s="736"/>
      <c r="M119" s="736"/>
      <c r="N119" s="736"/>
      <c r="O119" s="736"/>
      <c r="P119" s="736"/>
      <c r="Q119" s="736"/>
      <c r="R119" s="737"/>
    </row>
    <row r="120" spans="1:18" s="170" customFormat="1">
      <c r="A120" s="23"/>
      <c r="B120" s="2" t="s">
        <v>15</v>
      </c>
      <c r="C120" s="87"/>
      <c r="D120" s="87"/>
      <c r="E120" s="87"/>
      <c r="F120" s="87"/>
      <c r="G120" s="107" t="s">
        <v>16</v>
      </c>
      <c r="H120" s="37">
        <f>H119+H118</f>
        <v>11651.023474</v>
      </c>
      <c r="I120" s="108" t="str">
        <f>CONCATENATE("per ",C108, C109)</f>
        <v>per 10sqm</v>
      </c>
      <c r="J120" s="735"/>
      <c r="K120" s="736"/>
      <c r="L120" s="736"/>
      <c r="M120" s="736"/>
      <c r="N120" s="736"/>
      <c r="O120" s="736"/>
      <c r="P120" s="736"/>
      <c r="Q120" s="736"/>
      <c r="R120" s="737"/>
    </row>
    <row r="121" spans="1:18" s="170" customFormat="1">
      <c r="A121" s="23"/>
      <c r="B121" s="2"/>
      <c r="C121" s="87"/>
      <c r="D121" s="87"/>
      <c r="E121" s="87"/>
      <c r="F121" s="87"/>
      <c r="G121" s="107" t="s">
        <v>16</v>
      </c>
      <c r="H121" s="37">
        <f>H120/C108</f>
        <v>1165.1023473999999</v>
      </c>
      <c r="I121" s="108" t="str">
        <f>CONCATENATE("per ",C109)</f>
        <v>per sqm</v>
      </c>
      <c r="J121" s="735"/>
      <c r="K121" s="736"/>
      <c r="L121" s="736"/>
      <c r="M121" s="736"/>
      <c r="N121" s="736"/>
      <c r="O121" s="736"/>
      <c r="P121" s="736"/>
      <c r="Q121" s="736"/>
      <c r="R121" s="737"/>
    </row>
    <row r="122" spans="1:18" s="170" customFormat="1">
      <c r="A122" s="23"/>
      <c r="B122" s="2" t="s">
        <v>18</v>
      </c>
      <c r="C122" s="87" t="s">
        <v>19</v>
      </c>
      <c r="D122" s="87"/>
      <c r="E122" s="87"/>
      <c r="F122" s="87"/>
      <c r="G122" s="107" t="s">
        <v>16</v>
      </c>
      <c r="H122" s="37">
        <f>CEILING(H121,0.5)</f>
        <v>1165.5</v>
      </c>
      <c r="I122" s="108" t="str">
        <f>CONCATENATE("per ",C109)</f>
        <v>per sqm</v>
      </c>
      <c r="J122" s="735"/>
      <c r="K122" s="736"/>
      <c r="L122" s="736"/>
      <c r="M122" s="736"/>
      <c r="N122" s="736"/>
      <c r="O122" s="736"/>
      <c r="P122" s="736"/>
      <c r="Q122" s="736"/>
      <c r="R122" s="737"/>
    </row>
    <row r="123" spans="1:18" s="170" customFormat="1">
      <c r="A123" s="23"/>
      <c r="B123" s="2"/>
      <c r="C123" s="87"/>
      <c r="D123" s="87"/>
      <c r="E123" s="87"/>
      <c r="F123" s="87"/>
      <c r="G123" s="109" t="s">
        <v>17</v>
      </c>
      <c r="H123" s="37">
        <f>H122/exr</f>
        <v>8.9653846153846146</v>
      </c>
      <c r="I123" s="108" t="str">
        <f>CONCATENATE("per ",C109)</f>
        <v>per sqm</v>
      </c>
      <c r="J123" s="738"/>
      <c r="K123" s="739"/>
      <c r="L123" s="739"/>
      <c r="M123" s="739"/>
      <c r="N123" s="739"/>
      <c r="O123" s="739"/>
      <c r="P123" s="739"/>
      <c r="Q123" s="739"/>
      <c r="R123" s="740"/>
    </row>
    <row r="124" spans="1:18" s="170" customFormat="1">
      <c r="A124" s="39"/>
      <c r="B124" s="40"/>
      <c r="C124" s="41"/>
      <c r="D124" s="41"/>
      <c r="E124" s="41"/>
      <c r="F124" s="41"/>
      <c r="G124" s="149" t="s">
        <v>460</v>
      </c>
      <c r="H124" s="150">
        <f>CEILING(SUM(M111)/H116,0.0025)</f>
        <v>0.05</v>
      </c>
      <c r="I124" s="42"/>
      <c r="J124" s="43"/>
      <c r="K124" s="43"/>
      <c r="L124" s="43"/>
      <c r="M124" s="43"/>
      <c r="N124" s="43"/>
      <c r="O124" s="43"/>
      <c r="P124" s="43"/>
      <c r="Q124" s="43"/>
      <c r="R124" s="44"/>
    </row>
    <row r="125" spans="1:18" s="170" customFormat="1"/>
    <row r="126" spans="1:18" s="170" customFormat="1">
      <c r="A126" s="693" t="s">
        <v>0</v>
      </c>
      <c r="B126" s="695" t="s">
        <v>1</v>
      </c>
      <c r="C126" s="695" t="s">
        <v>2</v>
      </c>
      <c r="D126" s="697" t="s">
        <v>3</v>
      </c>
      <c r="E126" s="698"/>
      <c r="F126" s="698"/>
      <c r="G126" s="698"/>
      <c r="H126" s="698"/>
      <c r="I126" s="699" t="s">
        <v>4</v>
      </c>
      <c r="J126" s="700"/>
      <c r="K126" s="700"/>
      <c r="L126" s="700"/>
      <c r="M126" s="700"/>
      <c r="N126" s="698" t="s">
        <v>5</v>
      </c>
      <c r="O126" s="698"/>
      <c r="P126" s="698"/>
      <c r="Q126" s="698"/>
      <c r="R126" s="698"/>
    </row>
    <row r="127" spans="1:18" s="170" customFormat="1">
      <c r="A127" s="694"/>
      <c r="B127" s="696"/>
      <c r="C127" s="696"/>
      <c r="D127" s="45" t="s">
        <v>6</v>
      </c>
      <c r="E127" s="46" t="s">
        <v>2</v>
      </c>
      <c r="F127" s="46" t="s">
        <v>7</v>
      </c>
      <c r="G127" s="46" t="s">
        <v>8</v>
      </c>
      <c r="H127" s="46" t="s">
        <v>9</v>
      </c>
      <c r="I127" s="46" t="s">
        <v>10</v>
      </c>
      <c r="J127" s="46" t="s">
        <v>2</v>
      </c>
      <c r="K127" s="46" t="s">
        <v>7</v>
      </c>
      <c r="L127" s="46" t="s">
        <v>8</v>
      </c>
      <c r="M127" s="47" t="s">
        <v>9</v>
      </c>
      <c r="N127" s="46" t="s">
        <v>10</v>
      </c>
      <c r="O127" s="46" t="s">
        <v>2</v>
      </c>
      <c r="P127" s="46" t="s">
        <v>7</v>
      </c>
      <c r="Q127" s="46" t="s">
        <v>8</v>
      </c>
      <c r="R127" s="46" t="s">
        <v>9</v>
      </c>
    </row>
    <row r="128" spans="1:18" s="170" customFormat="1">
      <c r="A128" s="33" t="s">
        <v>23</v>
      </c>
      <c r="B128" s="73" t="s">
        <v>614</v>
      </c>
      <c r="C128" s="31"/>
      <c r="D128" s="31"/>
      <c r="E128" s="31"/>
      <c r="F128" s="31"/>
      <c r="G128" s="31"/>
      <c r="H128" s="31"/>
      <c r="I128" s="31"/>
      <c r="J128" s="31"/>
      <c r="K128" s="31"/>
      <c r="L128" s="31"/>
      <c r="M128" s="31"/>
      <c r="N128" s="31"/>
      <c r="O128" s="31"/>
      <c r="P128" s="31"/>
      <c r="Q128" s="31"/>
      <c r="R128" s="32"/>
    </row>
    <row r="129" spans="1:18" s="170" customFormat="1">
      <c r="A129" s="34">
        <f>A108+1</f>
        <v>7</v>
      </c>
      <c r="B129" s="730" t="s">
        <v>618</v>
      </c>
      <c r="C129" s="145">
        <v>10</v>
      </c>
      <c r="D129" s="87"/>
      <c r="E129" s="8"/>
      <c r="F129" s="88"/>
      <c r="G129" s="28"/>
      <c r="H129" s="28"/>
      <c r="I129" s="8"/>
      <c r="J129" s="8"/>
      <c r="K129" s="88"/>
      <c r="L129" s="28"/>
      <c r="M129" s="28"/>
      <c r="N129" s="8"/>
      <c r="O129" s="8"/>
      <c r="P129" s="88"/>
      <c r="Q129" s="28"/>
      <c r="R129" s="28"/>
    </row>
    <row r="130" spans="1:18" s="170" customFormat="1">
      <c r="A130" s="2"/>
      <c r="B130" s="731"/>
      <c r="C130" s="171" t="s">
        <v>127</v>
      </c>
      <c r="D130" s="87" t="s">
        <v>96</v>
      </c>
      <c r="E130" s="8" t="s">
        <v>81</v>
      </c>
      <c r="F130" s="88">
        <v>3.5</v>
      </c>
      <c r="G130" s="28">
        <f>sr</f>
        <v>1100</v>
      </c>
      <c r="H130" s="28">
        <f>F130*G130</f>
        <v>3850</v>
      </c>
      <c r="I130" s="89" t="s">
        <v>234</v>
      </c>
      <c r="J130" s="8" t="s">
        <v>127</v>
      </c>
      <c r="K130" s="88">
        <f>11/8</f>
        <v>1.375</v>
      </c>
      <c r="L130" s="28">
        <f>plywood</f>
        <v>420.36</v>
      </c>
      <c r="M130" s="28">
        <f>K130*L130</f>
        <v>577.995</v>
      </c>
      <c r="N130" s="8"/>
      <c r="O130" s="8"/>
      <c r="P130" s="88"/>
      <c r="Q130" s="28"/>
      <c r="R130" s="28"/>
    </row>
    <row r="131" spans="1:18" s="170" customFormat="1">
      <c r="A131" s="2"/>
      <c r="B131" s="731"/>
      <c r="C131" s="8"/>
      <c r="D131" s="87" t="s">
        <v>97</v>
      </c>
      <c r="E131" s="8" t="s">
        <v>81</v>
      </c>
      <c r="F131" s="88">
        <v>3.8</v>
      </c>
      <c r="G131" s="28">
        <f>ur</f>
        <v>850</v>
      </c>
      <c r="H131" s="28">
        <f>F131*G131</f>
        <v>3230</v>
      </c>
      <c r="I131" s="89" t="s">
        <v>231</v>
      </c>
      <c r="J131" s="8" t="s">
        <v>11</v>
      </c>
      <c r="K131" s="88">
        <f>0.72/12</f>
        <v>0.06</v>
      </c>
      <c r="L131" s="154">
        <f>AVERAGE(timber,planks)</f>
        <v>64135.06</v>
      </c>
      <c r="M131" s="28">
        <f>K131*L131</f>
        <v>3848.1035999999999</v>
      </c>
      <c r="N131" s="8"/>
      <c r="O131" s="8"/>
      <c r="P131" s="88"/>
      <c r="Q131" s="28"/>
      <c r="R131" s="28"/>
    </row>
    <row r="132" spans="1:18" s="170" customFormat="1">
      <c r="A132" s="2"/>
      <c r="B132" s="731"/>
      <c r="C132" s="8"/>
      <c r="D132" s="87"/>
      <c r="E132" s="8"/>
      <c r="F132" s="88"/>
      <c r="G132" s="28"/>
      <c r="H132" s="28"/>
      <c r="I132" s="89" t="s">
        <v>232</v>
      </c>
      <c r="J132" s="8" t="s">
        <v>28</v>
      </c>
      <c r="K132" s="88">
        <v>5</v>
      </c>
      <c r="L132" s="28">
        <f>nails/1000</f>
        <v>124.14419000000001</v>
      </c>
      <c r="M132" s="28">
        <f>K132*L132</f>
        <v>620.72095000000002</v>
      </c>
      <c r="N132" s="8"/>
      <c r="O132" s="8"/>
      <c r="P132" s="88"/>
      <c r="Q132" s="28"/>
      <c r="R132" s="28"/>
    </row>
    <row r="133" spans="1:18" s="170" customFormat="1">
      <c r="A133" s="2"/>
      <c r="B133" s="731"/>
      <c r="C133" s="8"/>
      <c r="D133" s="87"/>
      <c r="E133" s="8"/>
      <c r="F133" s="88"/>
      <c r="G133" s="28"/>
      <c r="H133" s="28"/>
      <c r="I133" s="89"/>
      <c r="J133" s="8"/>
      <c r="K133" s="88"/>
      <c r="L133" s="28"/>
      <c r="M133" s="28"/>
      <c r="N133" s="8"/>
      <c r="O133" s="8"/>
      <c r="P133" s="88"/>
      <c r="Q133" s="28"/>
      <c r="R133" s="28"/>
    </row>
    <row r="134" spans="1:18" s="170" customFormat="1" ht="30.75" customHeight="1">
      <c r="A134" s="2"/>
      <c r="B134" s="731"/>
      <c r="C134" s="8"/>
      <c r="D134" s="87"/>
      <c r="E134" s="8"/>
      <c r="F134" s="88"/>
      <c r="G134" s="28"/>
      <c r="H134" s="28"/>
      <c r="I134" s="89"/>
      <c r="J134" s="8"/>
      <c r="K134" s="88"/>
      <c r="L134" s="28"/>
      <c r="M134" s="28"/>
      <c r="N134" s="8"/>
      <c r="O134" s="8"/>
      <c r="P134" s="88"/>
      <c r="Q134" s="28"/>
      <c r="R134" s="28"/>
    </row>
    <row r="135" spans="1:18" s="170" customFormat="1">
      <c r="A135" s="2"/>
      <c r="B135" s="172"/>
      <c r="C135" s="8"/>
      <c r="D135" s="87"/>
      <c r="E135" s="10"/>
      <c r="F135" s="91"/>
      <c r="G135" s="92"/>
      <c r="H135" s="92"/>
      <c r="I135" s="10"/>
      <c r="J135" s="10"/>
      <c r="K135" s="91"/>
      <c r="L135" s="28"/>
      <c r="M135" s="28"/>
      <c r="N135" s="8"/>
      <c r="O135" s="8"/>
      <c r="P135" s="91"/>
      <c r="Q135" s="28"/>
      <c r="R135" s="28"/>
    </row>
    <row r="136" spans="1:18" s="170" customFormat="1">
      <c r="A136" s="2"/>
      <c r="B136" s="2"/>
      <c r="C136" s="8"/>
      <c r="D136" s="93"/>
      <c r="E136" s="94"/>
      <c r="F136" s="95"/>
      <c r="G136" s="95" t="s">
        <v>20</v>
      </c>
      <c r="H136" s="96">
        <f>SUM(H129:H135)</f>
        <v>7080</v>
      </c>
      <c r="I136" s="717"/>
      <c r="J136" s="717"/>
      <c r="K136" s="97"/>
      <c r="L136" s="95" t="s">
        <v>21</v>
      </c>
      <c r="M136" s="96">
        <f>SUM(M129:M135)</f>
        <v>5046.8195500000002</v>
      </c>
      <c r="N136" s="98"/>
      <c r="O136" s="97"/>
      <c r="P136" s="97"/>
      <c r="Q136" s="95" t="s">
        <v>22</v>
      </c>
      <c r="R136" s="96">
        <f>SUM(R129:R135)</f>
        <v>0</v>
      </c>
    </row>
    <row r="137" spans="1:18" s="170" customFormat="1">
      <c r="A137" s="2"/>
      <c r="B137" s="99" t="s">
        <v>13</v>
      </c>
      <c r="C137" s="97"/>
      <c r="D137" s="97"/>
      <c r="E137" s="97"/>
      <c r="F137" s="97"/>
      <c r="G137" s="95"/>
      <c r="H137" s="100">
        <f>M136+R136+H136</f>
        <v>12126.81955</v>
      </c>
      <c r="I137" s="101"/>
      <c r="J137" s="97"/>
      <c r="K137" s="97"/>
      <c r="L137" s="95"/>
      <c r="M137" s="102"/>
      <c r="N137" s="97"/>
      <c r="O137" s="97"/>
      <c r="P137" s="97"/>
      <c r="Q137" s="97"/>
      <c r="R137" s="101"/>
    </row>
    <row r="138" spans="1:18" s="170" customFormat="1">
      <c r="A138" s="2"/>
      <c r="B138" s="2" t="s">
        <v>25</v>
      </c>
      <c r="C138" s="87"/>
      <c r="D138" s="87"/>
      <c r="E138" s="87"/>
      <c r="F138" s="87"/>
      <c r="G138" s="103"/>
      <c r="H138" s="104">
        <v>0</v>
      </c>
      <c r="I138" s="105"/>
      <c r="J138" s="87" t="s">
        <v>26</v>
      </c>
      <c r="K138" s="87"/>
      <c r="L138" s="103"/>
      <c r="M138" s="106"/>
      <c r="N138" s="87"/>
      <c r="O138" s="87"/>
      <c r="P138" s="87"/>
      <c r="Q138" s="87"/>
      <c r="R138" s="105"/>
    </row>
    <row r="139" spans="1:18" s="170" customFormat="1">
      <c r="A139" s="23"/>
      <c r="B139" s="2" t="s">
        <v>14</v>
      </c>
      <c r="C139" s="87"/>
      <c r="D139" s="87"/>
      <c r="E139" s="87"/>
      <c r="F139" s="87"/>
      <c r="G139" s="103"/>
      <c r="H139" s="104">
        <f>SUM(H137:H138)</f>
        <v>12126.81955</v>
      </c>
      <c r="I139" s="105"/>
      <c r="J139" s="732"/>
      <c r="K139" s="733"/>
      <c r="L139" s="733"/>
      <c r="M139" s="733"/>
      <c r="N139" s="733"/>
      <c r="O139" s="733"/>
      <c r="P139" s="733"/>
      <c r="Q139" s="733"/>
      <c r="R139" s="734"/>
    </row>
    <row r="140" spans="1:18" s="170" customFormat="1">
      <c r="A140" s="23"/>
      <c r="B140" s="2" t="s">
        <v>24</v>
      </c>
      <c r="C140" s="87"/>
      <c r="D140" s="87"/>
      <c r="E140" s="87"/>
      <c r="F140" s="87"/>
      <c r="G140" s="103"/>
      <c r="H140" s="104">
        <f>H139*15%</f>
        <v>1819.0229325</v>
      </c>
      <c r="I140" s="105"/>
      <c r="J140" s="735"/>
      <c r="K140" s="736"/>
      <c r="L140" s="736"/>
      <c r="M140" s="736"/>
      <c r="N140" s="736"/>
      <c r="O140" s="736"/>
      <c r="P140" s="736"/>
      <c r="Q140" s="736"/>
      <c r="R140" s="737"/>
    </row>
    <row r="141" spans="1:18" s="170" customFormat="1">
      <c r="A141" s="23"/>
      <c r="B141" s="2" t="s">
        <v>15</v>
      </c>
      <c r="C141" s="87"/>
      <c r="D141" s="87"/>
      <c r="E141" s="87"/>
      <c r="F141" s="87"/>
      <c r="G141" s="107" t="s">
        <v>16</v>
      </c>
      <c r="H141" s="37">
        <f>H140+H139</f>
        <v>13945.8424825</v>
      </c>
      <c r="I141" s="108" t="str">
        <f>CONCATENATE("per ",C129, C130)</f>
        <v>per 10sqm</v>
      </c>
      <c r="J141" s="735"/>
      <c r="K141" s="736"/>
      <c r="L141" s="736"/>
      <c r="M141" s="736"/>
      <c r="N141" s="736"/>
      <c r="O141" s="736"/>
      <c r="P141" s="736"/>
      <c r="Q141" s="736"/>
      <c r="R141" s="737"/>
    </row>
    <row r="142" spans="1:18" s="170" customFormat="1">
      <c r="A142" s="23"/>
      <c r="B142" s="2"/>
      <c r="C142" s="87"/>
      <c r="D142" s="87"/>
      <c r="E142" s="87"/>
      <c r="F142" s="87"/>
      <c r="G142" s="107" t="s">
        <v>16</v>
      </c>
      <c r="H142" s="37">
        <f>H141/C129</f>
        <v>1394.58424825</v>
      </c>
      <c r="I142" s="108" t="str">
        <f>CONCATENATE("per ",C130)</f>
        <v>per sqm</v>
      </c>
      <c r="J142" s="735"/>
      <c r="K142" s="736"/>
      <c r="L142" s="736"/>
      <c r="M142" s="736"/>
      <c r="N142" s="736"/>
      <c r="O142" s="736"/>
      <c r="P142" s="736"/>
      <c r="Q142" s="736"/>
      <c r="R142" s="737"/>
    </row>
    <row r="143" spans="1:18" s="170" customFormat="1">
      <c r="A143" s="23"/>
      <c r="B143" s="2" t="s">
        <v>18</v>
      </c>
      <c r="C143" s="87" t="s">
        <v>19</v>
      </c>
      <c r="D143" s="87"/>
      <c r="E143" s="87"/>
      <c r="F143" s="87"/>
      <c r="G143" s="107" t="s">
        <v>16</v>
      </c>
      <c r="H143" s="37">
        <f>CEILING(H142,0.5)</f>
        <v>1395</v>
      </c>
      <c r="I143" s="108" t="str">
        <f>CONCATENATE("per ",C130)</f>
        <v>per sqm</v>
      </c>
      <c r="J143" s="735"/>
      <c r="K143" s="736"/>
      <c r="L143" s="736"/>
      <c r="M143" s="736"/>
      <c r="N143" s="736"/>
      <c r="O143" s="736"/>
      <c r="P143" s="736"/>
      <c r="Q143" s="736"/>
      <c r="R143" s="737"/>
    </row>
    <row r="144" spans="1:18" s="170" customFormat="1">
      <c r="A144" s="23"/>
      <c r="B144" s="2"/>
      <c r="C144" s="87"/>
      <c r="D144" s="87"/>
      <c r="E144" s="87"/>
      <c r="F144" s="87"/>
      <c r="G144" s="109" t="s">
        <v>17</v>
      </c>
      <c r="H144" s="37">
        <f>H143/exr</f>
        <v>10.73076923076923</v>
      </c>
      <c r="I144" s="108" t="str">
        <f>CONCATENATE("per ",C130)</f>
        <v>per sqm</v>
      </c>
      <c r="J144" s="738"/>
      <c r="K144" s="739"/>
      <c r="L144" s="739"/>
      <c r="M144" s="739"/>
      <c r="N144" s="739"/>
      <c r="O144" s="739"/>
      <c r="P144" s="739"/>
      <c r="Q144" s="739"/>
      <c r="R144" s="740"/>
    </row>
    <row r="145" spans="1:18" s="170" customFormat="1">
      <c r="A145" s="39"/>
      <c r="B145" s="40"/>
      <c r="C145" s="41"/>
      <c r="D145" s="41"/>
      <c r="E145" s="41"/>
      <c r="F145" s="41"/>
      <c r="G145" s="149" t="s">
        <v>460</v>
      </c>
      <c r="H145" s="150">
        <f>CEILING(SUM(M132)/H137,0.0025)</f>
        <v>5.2499999999999998E-2</v>
      </c>
      <c r="I145" s="42"/>
      <c r="J145" s="43"/>
      <c r="K145" s="43"/>
      <c r="L145" s="43"/>
      <c r="M145" s="43"/>
      <c r="N145" s="43"/>
      <c r="O145" s="43"/>
      <c r="P145" s="43"/>
      <c r="Q145" s="43"/>
      <c r="R145" s="44"/>
    </row>
    <row r="146" spans="1:18" s="170" customFormat="1"/>
    <row r="147" spans="1:18" s="170" customFormat="1">
      <c r="A147" s="693" t="s">
        <v>0</v>
      </c>
      <c r="B147" s="695" t="s">
        <v>1</v>
      </c>
      <c r="C147" s="695" t="s">
        <v>2</v>
      </c>
      <c r="D147" s="697" t="s">
        <v>3</v>
      </c>
      <c r="E147" s="698"/>
      <c r="F147" s="698"/>
      <c r="G147" s="698"/>
      <c r="H147" s="698"/>
      <c r="I147" s="699" t="s">
        <v>4</v>
      </c>
      <c r="J147" s="700"/>
      <c r="K147" s="700"/>
      <c r="L147" s="700"/>
      <c r="M147" s="700"/>
      <c r="N147" s="698" t="s">
        <v>5</v>
      </c>
      <c r="O147" s="698"/>
      <c r="P147" s="698"/>
      <c r="Q147" s="698"/>
      <c r="R147" s="698"/>
    </row>
    <row r="148" spans="1:18" s="170" customFormat="1">
      <c r="A148" s="694"/>
      <c r="B148" s="696"/>
      <c r="C148" s="696"/>
      <c r="D148" s="45" t="s">
        <v>6</v>
      </c>
      <c r="E148" s="46" t="s">
        <v>2</v>
      </c>
      <c r="F148" s="46" t="s">
        <v>7</v>
      </c>
      <c r="G148" s="46" t="s">
        <v>8</v>
      </c>
      <c r="H148" s="46" t="s">
        <v>9</v>
      </c>
      <c r="I148" s="46" t="s">
        <v>10</v>
      </c>
      <c r="J148" s="46" t="s">
        <v>2</v>
      </c>
      <c r="K148" s="46" t="s">
        <v>7</v>
      </c>
      <c r="L148" s="46" t="s">
        <v>8</v>
      </c>
      <c r="M148" s="47" t="s">
        <v>9</v>
      </c>
      <c r="N148" s="46" t="s">
        <v>10</v>
      </c>
      <c r="O148" s="46" t="s">
        <v>2</v>
      </c>
      <c r="P148" s="46" t="s">
        <v>7</v>
      </c>
      <c r="Q148" s="46" t="s">
        <v>8</v>
      </c>
      <c r="R148" s="46" t="s">
        <v>9</v>
      </c>
    </row>
    <row r="149" spans="1:18" s="170" customFormat="1">
      <c r="A149" s="33" t="s">
        <v>23</v>
      </c>
      <c r="B149" s="73" t="s">
        <v>615</v>
      </c>
      <c r="C149" s="31"/>
      <c r="D149" s="31"/>
      <c r="E149" s="31"/>
      <c r="F149" s="31"/>
      <c r="G149" s="31"/>
      <c r="H149" s="31"/>
      <c r="I149" s="31"/>
      <c r="J149" s="31"/>
      <c r="K149" s="31"/>
      <c r="L149" s="31"/>
      <c r="M149" s="31"/>
      <c r="N149" s="31"/>
      <c r="O149" s="31"/>
      <c r="P149" s="31"/>
      <c r="Q149" s="31"/>
      <c r="R149" s="32"/>
    </row>
    <row r="150" spans="1:18" s="170" customFormat="1">
      <c r="A150" s="34">
        <f>A129+1</f>
        <v>8</v>
      </c>
      <c r="B150" s="730" t="s">
        <v>619</v>
      </c>
      <c r="C150" s="145">
        <v>10</v>
      </c>
      <c r="D150" s="87"/>
      <c r="E150" s="8"/>
      <c r="F150" s="88"/>
      <c r="G150" s="28"/>
      <c r="H150" s="28"/>
      <c r="I150" s="8"/>
      <c r="J150" s="8"/>
      <c r="K150" s="88"/>
      <c r="L150" s="28"/>
      <c r="M150" s="28"/>
      <c r="N150" s="8"/>
      <c r="O150" s="8"/>
      <c r="P150" s="88"/>
      <c r="Q150" s="28"/>
      <c r="R150" s="28"/>
    </row>
    <row r="151" spans="1:18" s="170" customFormat="1">
      <c r="A151" s="2"/>
      <c r="B151" s="731"/>
      <c r="C151" s="171" t="s">
        <v>127</v>
      </c>
      <c r="D151" s="87" t="s">
        <v>96</v>
      </c>
      <c r="E151" s="8" t="s">
        <v>81</v>
      </c>
      <c r="F151" s="88">
        <v>4.3</v>
      </c>
      <c r="G151" s="28">
        <f>sr</f>
        <v>1100</v>
      </c>
      <c r="H151" s="28">
        <f>F151*G151</f>
        <v>4730</v>
      </c>
      <c r="I151" s="89" t="s">
        <v>234</v>
      </c>
      <c r="J151" s="8" t="s">
        <v>127</v>
      </c>
      <c r="K151" s="88">
        <f>11/8</f>
        <v>1.375</v>
      </c>
      <c r="L151" s="28">
        <f>plywood</f>
        <v>420.36</v>
      </c>
      <c r="M151" s="28">
        <f>K151*L151</f>
        <v>577.995</v>
      </c>
      <c r="N151" s="8"/>
      <c r="O151" s="8"/>
      <c r="P151" s="88"/>
      <c r="Q151" s="28"/>
      <c r="R151" s="28"/>
    </row>
    <row r="152" spans="1:18" s="170" customFormat="1">
      <c r="A152" s="2"/>
      <c r="B152" s="731"/>
      <c r="C152" s="8"/>
      <c r="D152" s="87" t="s">
        <v>97</v>
      </c>
      <c r="E152" s="8" t="s">
        <v>81</v>
      </c>
      <c r="F152" s="88">
        <v>5.4</v>
      </c>
      <c r="G152" s="28">
        <f>ur</f>
        <v>850</v>
      </c>
      <c r="H152" s="28">
        <f>F152*G152</f>
        <v>4590</v>
      </c>
      <c r="I152" s="89" t="s">
        <v>231</v>
      </c>
      <c r="J152" s="8" t="s">
        <v>11</v>
      </c>
      <c r="K152" s="88">
        <f>0.9/12</f>
        <v>7.4999999999999997E-2</v>
      </c>
      <c r="L152" s="154">
        <f>AVERAGE(timber,planks)</f>
        <v>64135.06</v>
      </c>
      <c r="M152" s="28">
        <f>K152*L152</f>
        <v>4810.1295</v>
      </c>
      <c r="N152" s="8"/>
      <c r="O152" s="8"/>
      <c r="P152" s="88"/>
      <c r="Q152" s="28"/>
      <c r="R152" s="28"/>
    </row>
    <row r="153" spans="1:18" s="170" customFormat="1">
      <c r="A153" s="2"/>
      <c r="B153" s="731"/>
      <c r="C153" s="8"/>
      <c r="D153" s="87"/>
      <c r="E153" s="8"/>
      <c r="F153" s="88"/>
      <c r="G153" s="28"/>
      <c r="H153" s="28"/>
      <c r="I153" s="89" t="s">
        <v>232</v>
      </c>
      <c r="J153" s="8" t="s">
        <v>28</v>
      </c>
      <c r="K153" s="88">
        <v>6</v>
      </c>
      <c r="L153" s="28">
        <f>nails/1000</f>
        <v>124.14419000000001</v>
      </c>
      <c r="M153" s="28">
        <f>K153*L153</f>
        <v>744.86514000000011</v>
      </c>
      <c r="N153" s="8"/>
      <c r="O153" s="8"/>
      <c r="P153" s="88"/>
      <c r="Q153" s="28"/>
      <c r="R153" s="28"/>
    </row>
    <row r="154" spans="1:18" s="170" customFormat="1">
      <c r="A154" s="2"/>
      <c r="B154" s="731"/>
      <c r="C154" s="8"/>
      <c r="D154" s="87"/>
      <c r="E154" s="8"/>
      <c r="F154" s="88"/>
      <c r="G154" s="28"/>
      <c r="H154" s="28"/>
      <c r="I154" s="89"/>
      <c r="J154" s="8"/>
      <c r="K154" s="88"/>
      <c r="L154" s="28"/>
      <c r="M154" s="28"/>
      <c r="N154" s="8"/>
      <c r="O154" s="8"/>
      <c r="P154" s="88"/>
      <c r="Q154" s="28"/>
      <c r="R154" s="28"/>
    </row>
    <row r="155" spans="1:18" s="170" customFormat="1" ht="30.75" customHeight="1">
      <c r="A155" s="2"/>
      <c r="B155" s="731"/>
      <c r="C155" s="8"/>
      <c r="D155" s="87"/>
      <c r="E155" s="8"/>
      <c r="F155" s="88"/>
      <c r="G155" s="28"/>
      <c r="H155" s="28"/>
      <c r="I155" s="89"/>
      <c r="J155" s="8"/>
      <c r="K155" s="88"/>
      <c r="L155" s="28"/>
      <c r="M155" s="28"/>
      <c r="N155" s="8"/>
      <c r="O155" s="8"/>
      <c r="P155" s="88"/>
      <c r="Q155" s="28"/>
      <c r="R155" s="28"/>
    </row>
    <row r="156" spans="1:18" s="170" customFormat="1">
      <c r="A156" s="2"/>
      <c r="B156" s="172"/>
      <c r="C156" s="8"/>
      <c r="D156" s="87"/>
      <c r="E156" s="10"/>
      <c r="F156" s="91"/>
      <c r="G156" s="92"/>
      <c r="H156" s="92"/>
      <c r="I156" s="10"/>
      <c r="J156" s="10"/>
      <c r="K156" s="91"/>
      <c r="L156" s="28"/>
      <c r="M156" s="28"/>
      <c r="N156" s="8"/>
      <c r="O156" s="8"/>
      <c r="P156" s="91"/>
      <c r="Q156" s="28"/>
      <c r="R156" s="28"/>
    </row>
    <row r="157" spans="1:18" s="170" customFormat="1">
      <c r="A157" s="2"/>
      <c r="B157" s="2"/>
      <c r="C157" s="8"/>
      <c r="D157" s="93"/>
      <c r="E157" s="94"/>
      <c r="F157" s="95"/>
      <c r="G157" s="95" t="s">
        <v>20</v>
      </c>
      <c r="H157" s="96">
        <f>SUM(H150:H156)</f>
        <v>9320</v>
      </c>
      <c r="I157" s="717"/>
      <c r="J157" s="717"/>
      <c r="K157" s="97"/>
      <c r="L157" s="95" t="s">
        <v>21</v>
      </c>
      <c r="M157" s="96">
        <f>SUM(M150:M156)</f>
        <v>6132.9896399999998</v>
      </c>
      <c r="N157" s="98"/>
      <c r="O157" s="97"/>
      <c r="P157" s="97"/>
      <c r="Q157" s="95" t="s">
        <v>22</v>
      </c>
      <c r="R157" s="96">
        <f>SUM(R150:R156)</f>
        <v>0</v>
      </c>
    </row>
    <row r="158" spans="1:18" s="170" customFormat="1">
      <c r="A158" s="2"/>
      <c r="B158" s="99" t="s">
        <v>13</v>
      </c>
      <c r="C158" s="97"/>
      <c r="D158" s="97"/>
      <c r="E158" s="97"/>
      <c r="F158" s="97"/>
      <c r="G158" s="95"/>
      <c r="H158" s="100">
        <f>M157+R157+H157</f>
        <v>15452.98964</v>
      </c>
      <c r="I158" s="101"/>
      <c r="J158" s="97"/>
      <c r="K158" s="97"/>
      <c r="L158" s="95"/>
      <c r="M158" s="102"/>
      <c r="N158" s="97"/>
      <c r="O158" s="97"/>
      <c r="P158" s="97"/>
      <c r="Q158" s="97"/>
      <c r="R158" s="101"/>
    </row>
    <row r="159" spans="1:18" s="170" customFormat="1">
      <c r="A159" s="2"/>
      <c r="B159" s="2" t="s">
        <v>25</v>
      </c>
      <c r="C159" s="87"/>
      <c r="D159" s="87"/>
      <c r="E159" s="87"/>
      <c r="F159" s="87"/>
      <c r="G159" s="103"/>
      <c r="H159" s="104">
        <v>0</v>
      </c>
      <c r="I159" s="105"/>
      <c r="J159" s="87" t="s">
        <v>26</v>
      </c>
      <c r="K159" s="87"/>
      <c r="L159" s="103"/>
      <c r="M159" s="106"/>
      <c r="N159" s="87"/>
      <c r="O159" s="87"/>
      <c r="P159" s="87"/>
      <c r="Q159" s="87"/>
      <c r="R159" s="105"/>
    </row>
    <row r="160" spans="1:18" s="170" customFormat="1">
      <c r="A160" s="23"/>
      <c r="B160" s="2" t="s">
        <v>14</v>
      </c>
      <c r="C160" s="87"/>
      <c r="D160" s="87"/>
      <c r="E160" s="87"/>
      <c r="F160" s="87"/>
      <c r="G160" s="103"/>
      <c r="H160" s="104">
        <f>SUM(H158:H159)</f>
        <v>15452.98964</v>
      </c>
      <c r="I160" s="105"/>
      <c r="J160" s="732"/>
      <c r="K160" s="733"/>
      <c r="L160" s="733"/>
      <c r="M160" s="733"/>
      <c r="N160" s="733"/>
      <c r="O160" s="733"/>
      <c r="P160" s="733"/>
      <c r="Q160" s="733"/>
      <c r="R160" s="734"/>
    </row>
    <row r="161" spans="1:18" s="170" customFormat="1">
      <c r="A161" s="23"/>
      <c r="B161" s="2" t="s">
        <v>24</v>
      </c>
      <c r="C161" s="87"/>
      <c r="D161" s="87"/>
      <c r="E161" s="87"/>
      <c r="F161" s="87"/>
      <c r="G161" s="103"/>
      <c r="H161" s="104">
        <f>H160*15%</f>
        <v>2317.9484459999999</v>
      </c>
      <c r="I161" s="105"/>
      <c r="J161" s="735"/>
      <c r="K161" s="736"/>
      <c r="L161" s="736"/>
      <c r="M161" s="736"/>
      <c r="N161" s="736"/>
      <c r="O161" s="736"/>
      <c r="P161" s="736"/>
      <c r="Q161" s="736"/>
      <c r="R161" s="737"/>
    </row>
    <row r="162" spans="1:18" s="170" customFormat="1">
      <c r="A162" s="23"/>
      <c r="B162" s="2" t="s">
        <v>15</v>
      </c>
      <c r="C162" s="87"/>
      <c r="D162" s="87"/>
      <c r="E162" s="87"/>
      <c r="F162" s="87"/>
      <c r="G162" s="107" t="s">
        <v>16</v>
      </c>
      <c r="H162" s="37">
        <f>H161+H160</f>
        <v>17770.938085999998</v>
      </c>
      <c r="I162" s="108" t="str">
        <f>CONCATENATE("per ",C150, C151)</f>
        <v>per 10sqm</v>
      </c>
      <c r="J162" s="735"/>
      <c r="K162" s="736"/>
      <c r="L162" s="736"/>
      <c r="M162" s="736"/>
      <c r="N162" s="736"/>
      <c r="O162" s="736"/>
      <c r="P162" s="736"/>
      <c r="Q162" s="736"/>
      <c r="R162" s="737"/>
    </row>
    <row r="163" spans="1:18" s="170" customFormat="1">
      <c r="A163" s="23"/>
      <c r="B163" s="2"/>
      <c r="C163" s="87"/>
      <c r="D163" s="87"/>
      <c r="E163" s="87"/>
      <c r="F163" s="87"/>
      <c r="G163" s="107" t="s">
        <v>16</v>
      </c>
      <c r="H163" s="37">
        <f>H162/C150</f>
        <v>1777.0938085999999</v>
      </c>
      <c r="I163" s="108" t="str">
        <f>CONCATENATE("per ",C151)</f>
        <v>per sqm</v>
      </c>
      <c r="J163" s="735"/>
      <c r="K163" s="736"/>
      <c r="L163" s="736"/>
      <c r="M163" s="736"/>
      <c r="N163" s="736"/>
      <c r="O163" s="736"/>
      <c r="P163" s="736"/>
      <c r="Q163" s="736"/>
      <c r="R163" s="737"/>
    </row>
    <row r="164" spans="1:18" s="170" customFormat="1">
      <c r="A164" s="23"/>
      <c r="B164" s="2" t="s">
        <v>18</v>
      </c>
      <c r="C164" s="87" t="s">
        <v>19</v>
      </c>
      <c r="D164" s="87"/>
      <c r="E164" s="87"/>
      <c r="F164" s="87"/>
      <c r="G164" s="107" t="s">
        <v>16</v>
      </c>
      <c r="H164" s="37">
        <f>CEILING(H163,0.5)</f>
        <v>1777.5</v>
      </c>
      <c r="I164" s="108" t="str">
        <f>CONCATENATE("per ",C151)</f>
        <v>per sqm</v>
      </c>
      <c r="J164" s="735"/>
      <c r="K164" s="736"/>
      <c r="L164" s="736"/>
      <c r="M164" s="736"/>
      <c r="N164" s="736"/>
      <c r="O164" s="736"/>
      <c r="P164" s="736"/>
      <c r="Q164" s="736"/>
      <c r="R164" s="737"/>
    </row>
    <row r="165" spans="1:18" s="170" customFormat="1">
      <c r="A165" s="23"/>
      <c r="B165" s="2"/>
      <c r="C165" s="87"/>
      <c r="D165" s="87"/>
      <c r="E165" s="87"/>
      <c r="F165" s="87"/>
      <c r="G165" s="109" t="s">
        <v>17</v>
      </c>
      <c r="H165" s="37">
        <f>H164/exr</f>
        <v>13.673076923076923</v>
      </c>
      <c r="I165" s="108" t="str">
        <f>CONCATENATE("per ",C151)</f>
        <v>per sqm</v>
      </c>
      <c r="J165" s="738"/>
      <c r="K165" s="739"/>
      <c r="L165" s="739"/>
      <c r="M165" s="739"/>
      <c r="N165" s="739"/>
      <c r="O165" s="739"/>
      <c r="P165" s="739"/>
      <c r="Q165" s="739"/>
      <c r="R165" s="740"/>
    </row>
    <row r="166" spans="1:18" s="170" customFormat="1">
      <c r="A166" s="39"/>
      <c r="B166" s="40"/>
      <c r="C166" s="41"/>
      <c r="D166" s="41"/>
      <c r="E166" s="41"/>
      <c r="F166" s="41"/>
      <c r="G166" s="149" t="s">
        <v>460</v>
      </c>
      <c r="H166" s="150">
        <f>CEILING(SUM(M153)/H158,0.0025)</f>
        <v>0.05</v>
      </c>
      <c r="I166" s="42"/>
      <c r="J166" s="43"/>
      <c r="K166" s="43"/>
      <c r="L166" s="43"/>
      <c r="M166" s="43"/>
      <c r="N166" s="43"/>
      <c r="O166" s="43"/>
      <c r="P166" s="43"/>
      <c r="Q166" s="43"/>
      <c r="R166" s="44"/>
    </row>
    <row r="167" spans="1:18" s="170" customFormat="1"/>
    <row r="168" spans="1:18" s="170" customFormat="1">
      <c r="A168" s="693" t="s">
        <v>0</v>
      </c>
      <c r="B168" s="695" t="s">
        <v>1</v>
      </c>
      <c r="C168" s="695" t="s">
        <v>2</v>
      </c>
      <c r="D168" s="697" t="s">
        <v>3</v>
      </c>
      <c r="E168" s="698"/>
      <c r="F168" s="698"/>
      <c r="G168" s="698"/>
      <c r="H168" s="698"/>
      <c r="I168" s="699" t="s">
        <v>4</v>
      </c>
      <c r="J168" s="700"/>
      <c r="K168" s="700"/>
      <c r="L168" s="700"/>
      <c r="M168" s="700"/>
      <c r="N168" s="698" t="s">
        <v>5</v>
      </c>
      <c r="O168" s="698"/>
      <c r="P168" s="698"/>
      <c r="Q168" s="698"/>
      <c r="R168" s="698"/>
    </row>
    <row r="169" spans="1:18" s="170" customFormat="1">
      <c r="A169" s="694"/>
      <c r="B169" s="696"/>
      <c r="C169" s="696"/>
      <c r="D169" s="45" t="s">
        <v>6</v>
      </c>
      <c r="E169" s="46" t="s">
        <v>2</v>
      </c>
      <c r="F169" s="46" t="s">
        <v>7</v>
      </c>
      <c r="G169" s="46" t="s">
        <v>8</v>
      </c>
      <c r="H169" s="46" t="s">
        <v>9</v>
      </c>
      <c r="I169" s="46" t="s">
        <v>10</v>
      </c>
      <c r="J169" s="46" t="s">
        <v>2</v>
      </c>
      <c r="K169" s="46" t="s">
        <v>7</v>
      </c>
      <c r="L169" s="46" t="s">
        <v>8</v>
      </c>
      <c r="M169" s="47" t="s">
        <v>9</v>
      </c>
      <c r="N169" s="46" t="s">
        <v>10</v>
      </c>
      <c r="O169" s="46" t="s">
        <v>2</v>
      </c>
      <c r="P169" s="46" t="s">
        <v>7</v>
      </c>
      <c r="Q169" s="46" t="s">
        <v>8</v>
      </c>
      <c r="R169" s="46" t="s">
        <v>9</v>
      </c>
    </row>
    <row r="170" spans="1:18" s="170" customFormat="1">
      <c r="A170" s="33" t="s">
        <v>23</v>
      </c>
      <c r="B170" s="73" t="s">
        <v>616</v>
      </c>
      <c r="C170" s="31"/>
      <c r="D170" s="31"/>
      <c r="E170" s="31"/>
      <c r="F170" s="31"/>
      <c r="G170" s="31"/>
      <c r="H170" s="31"/>
      <c r="I170" s="31"/>
      <c r="J170" s="31"/>
      <c r="K170" s="31"/>
      <c r="L170" s="31"/>
      <c r="M170" s="31"/>
      <c r="N170" s="31"/>
      <c r="O170" s="31"/>
      <c r="P170" s="31"/>
      <c r="Q170" s="31"/>
      <c r="R170" s="32"/>
    </row>
    <row r="171" spans="1:18" s="170" customFormat="1">
      <c r="A171" s="34">
        <f>A150+1</f>
        <v>9</v>
      </c>
      <c r="B171" s="730" t="s">
        <v>620</v>
      </c>
      <c r="C171" s="145">
        <v>10</v>
      </c>
      <c r="D171" s="87"/>
      <c r="E171" s="8"/>
      <c r="F171" s="88"/>
      <c r="G171" s="28"/>
      <c r="H171" s="28"/>
      <c r="I171" s="8"/>
      <c r="J171" s="8"/>
      <c r="K171" s="88"/>
      <c r="L171" s="28"/>
      <c r="M171" s="28"/>
      <c r="N171" s="8"/>
      <c r="O171" s="8"/>
      <c r="P171" s="88"/>
      <c r="Q171" s="28"/>
      <c r="R171" s="28"/>
    </row>
    <row r="172" spans="1:18" s="170" customFormat="1">
      <c r="A172" s="2"/>
      <c r="B172" s="731"/>
      <c r="C172" s="171" t="s">
        <v>127</v>
      </c>
      <c r="D172" s="87"/>
      <c r="E172" s="8"/>
      <c r="F172" s="88"/>
      <c r="G172" s="28"/>
      <c r="H172" s="28"/>
      <c r="I172" s="89"/>
      <c r="J172" s="8"/>
      <c r="K172" s="88"/>
      <c r="L172" s="28"/>
      <c r="M172" s="28"/>
      <c r="N172" s="8"/>
      <c r="O172" s="8"/>
      <c r="P172" s="88"/>
      <c r="Q172" s="28"/>
      <c r="R172" s="28"/>
    </row>
    <row r="173" spans="1:18" s="170" customFormat="1">
      <c r="A173" s="2"/>
      <c r="B173" s="731"/>
      <c r="C173" s="8"/>
      <c r="D173" s="87"/>
      <c r="E173" s="8"/>
      <c r="F173" s="88"/>
      <c r="G173" s="28"/>
      <c r="H173" s="28"/>
      <c r="I173" s="89"/>
      <c r="J173" s="8"/>
      <c r="K173" s="88"/>
      <c r="L173" s="28"/>
      <c r="M173" s="28"/>
      <c r="N173" s="8"/>
      <c r="O173" s="8"/>
      <c r="P173" s="88"/>
      <c r="Q173" s="28"/>
      <c r="R173" s="28"/>
    </row>
    <row r="174" spans="1:18" s="170" customFormat="1">
      <c r="A174" s="2"/>
      <c r="B174" s="731"/>
      <c r="C174" s="8"/>
      <c r="D174" s="87"/>
      <c r="E174" s="8"/>
      <c r="F174" s="88"/>
      <c r="G174" s="28"/>
      <c r="H174" s="28"/>
      <c r="I174" s="89"/>
      <c r="J174" s="8"/>
      <c r="K174" s="88"/>
      <c r="L174" s="28"/>
      <c r="M174" s="28"/>
      <c r="N174" s="8"/>
      <c r="O174" s="8"/>
      <c r="P174" s="88"/>
      <c r="Q174" s="28"/>
      <c r="R174" s="28"/>
    </row>
    <row r="175" spans="1:18" s="170" customFormat="1">
      <c r="A175" s="2"/>
      <c r="B175" s="731"/>
      <c r="C175" s="8"/>
      <c r="D175" s="87"/>
      <c r="E175" s="8"/>
      <c r="F175" s="88"/>
      <c r="G175" s="28"/>
      <c r="H175" s="28"/>
      <c r="I175" s="89"/>
      <c r="J175" s="8"/>
      <c r="K175" s="88"/>
      <c r="L175" s="28"/>
      <c r="M175" s="28"/>
      <c r="N175" s="8"/>
      <c r="O175" s="8"/>
      <c r="P175" s="88"/>
      <c r="Q175" s="28"/>
      <c r="R175" s="28"/>
    </row>
    <row r="176" spans="1:18" s="170" customFormat="1" ht="31.5" customHeight="1">
      <c r="A176" s="2"/>
      <c r="B176" s="731"/>
      <c r="C176" s="8"/>
      <c r="D176" s="87"/>
      <c r="E176" s="8"/>
      <c r="F176" s="88"/>
      <c r="G176" s="28"/>
      <c r="H176" s="28"/>
      <c r="I176" s="89"/>
      <c r="J176" s="8"/>
      <c r="K176" s="88"/>
      <c r="L176" s="28"/>
      <c r="M176" s="28"/>
      <c r="N176" s="8"/>
      <c r="O176" s="8"/>
      <c r="P176" s="88"/>
      <c r="Q176" s="28"/>
      <c r="R176" s="28"/>
    </row>
    <row r="177" spans="1:18" s="170" customFormat="1">
      <c r="A177" s="2"/>
      <c r="B177" s="172"/>
      <c r="C177" s="8"/>
      <c r="D177" s="87"/>
      <c r="E177" s="10"/>
      <c r="F177" s="91"/>
      <c r="G177" s="92"/>
      <c r="H177" s="92"/>
      <c r="I177" s="10"/>
      <c r="J177" s="10"/>
      <c r="K177" s="91"/>
      <c r="L177" s="28"/>
      <c r="M177" s="28"/>
      <c r="N177" s="8"/>
      <c r="O177" s="8"/>
      <c r="P177" s="91"/>
      <c r="Q177" s="28"/>
      <c r="R177" s="28"/>
    </row>
    <row r="178" spans="1:18" s="170" customFormat="1">
      <c r="A178" s="2"/>
      <c r="B178" s="2"/>
      <c r="C178" s="8"/>
      <c r="D178" s="93"/>
      <c r="E178" s="94"/>
      <c r="F178" s="95"/>
      <c r="G178" s="95" t="s">
        <v>20</v>
      </c>
      <c r="H178" s="96">
        <f>SUM(H171:H177)</f>
        <v>0</v>
      </c>
      <c r="I178" s="717"/>
      <c r="J178" s="717"/>
      <c r="K178" s="97"/>
      <c r="L178" s="95" t="s">
        <v>21</v>
      </c>
      <c r="M178" s="96">
        <f>SUM(M171:M177)</f>
        <v>0</v>
      </c>
      <c r="N178" s="98"/>
      <c r="O178" s="97"/>
      <c r="P178" s="97"/>
      <c r="Q178" s="95" t="s">
        <v>22</v>
      </c>
      <c r="R178" s="96">
        <f>SUM(R171:R177)</f>
        <v>0</v>
      </c>
    </row>
    <row r="179" spans="1:18" s="170" customFormat="1">
      <c r="A179" s="2"/>
      <c r="B179" s="99" t="s">
        <v>13</v>
      </c>
      <c r="C179" s="97"/>
      <c r="D179" s="97"/>
      <c r="E179" s="97"/>
      <c r="F179" s="97"/>
      <c r="G179" s="95"/>
      <c r="H179" s="100">
        <f>M178+R178+H178</f>
        <v>0</v>
      </c>
      <c r="I179" s="101"/>
      <c r="J179" s="97"/>
      <c r="K179" s="97"/>
      <c r="L179" s="95"/>
      <c r="M179" s="102"/>
      <c r="N179" s="97"/>
      <c r="O179" s="97"/>
      <c r="P179" s="97"/>
      <c r="Q179" s="97"/>
      <c r="R179" s="101"/>
    </row>
    <row r="180" spans="1:18" s="170" customFormat="1">
      <c r="A180" s="2"/>
      <c r="B180" s="2" t="s">
        <v>25</v>
      </c>
      <c r="C180" s="87"/>
      <c r="D180" s="87"/>
      <c r="E180" s="87"/>
      <c r="F180" s="87"/>
      <c r="G180" s="103"/>
      <c r="H180" s="104">
        <v>0</v>
      </c>
      <c r="I180" s="105"/>
      <c r="J180" s="87" t="s">
        <v>26</v>
      </c>
      <c r="K180" s="87"/>
      <c r="L180" s="103"/>
      <c r="M180" s="106"/>
      <c r="N180" s="87"/>
      <c r="O180" s="87"/>
      <c r="P180" s="87"/>
      <c r="Q180" s="87"/>
      <c r="R180" s="105"/>
    </row>
    <row r="181" spans="1:18" s="170" customFormat="1">
      <c r="A181" s="23"/>
      <c r="B181" s="2" t="s">
        <v>14</v>
      </c>
      <c r="C181" s="87"/>
      <c r="D181" s="87"/>
      <c r="E181" s="87"/>
      <c r="F181" s="87"/>
      <c r="G181" s="103"/>
      <c r="H181" s="104">
        <f>SUM(H179:H180)</f>
        <v>0</v>
      </c>
      <c r="I181" s="105"/>
      <c r="J181" s="732" t="s">
        <v>239</v>
      </c>
      <c r="K181" s="733"/>
      <c r="L181" s="733"/>
      <c r="M181" s="733"/>
      <c r="N181" s="733"/>
      <c r="O181" s="733"/>
      <c r="P181" s="733"/>
      <c r="Q181" s="733"/>
      <c r="R181" s="734"/>
    </row>
    <row r="182" spans="1:18" s="170" customFormat="1">
      <c r="A182" s="23"/>
      <c r="B182" s="2" t="s">
        <v>24</v>
      </c>
      <c r="C182" s="87"/>
      <c r="D182" s="87"/>
      <c r="E182" s="87"/>
      <c r="F182" s="87"/>
      <c r="G182" s="103"/>
      <c r="H182" s="104">
        <f>H181*15%</f>
        <v>0</v>
      </c>
      <c r="I182" s="105"/>
      <c r="J182" s="735"/>
      <c r="K182" s="736"/>
      <c r="L182" s="736"/>
      <c r="M182" s="736"/>
      <c r="N182" s="736"/>
      <c r="O182" s="736"/>
      <c r="P182" s="736"/>
      <c r="Q182" s="736"/>
      <c r="R182" s="737"/>
    </row>
    <row r="183" spans="1:18" s="170" customFormat="1">
      <c r="A183" s="23"/>
      <c r="B183" s="2" t="s">
        <v>15</v>
      </c>
      <c r="C183" s="87"/>
      <c r="D183" s="87"/>
      <c r="E183" s="87"/>
      <c r="F183" s="87"/>
      <c r="G183" s="107" t="s">
        <v>16</v>
      </c>
      <c r="H183" s="37">
        <f>H182+H181</f>
        <v>0</v>
      </c>
      <c r="I183" s="108" t="str">
        <f>CONCATENATE("per ",C171, C172)</f>
        <v>per 10sqm</v>
      </c>
      <c r="J183" s="735"/>
      <c r="K183" s="736"/>
      <c r="L183" s="736"/>
      <c r="M183" s="736"/>
      <c r="N183" s="736"/>
      <c r="O183" s="736"/>
      <c r="P183" s="736"/>
      <c r="Q183" s="736"/>
      <c r="R183" s="737"/>
    </row>
    <row r="184" spans="1:18" s="170" customFormat="1">
      <c r="A184" s="23"/>
      <c r="B184" s="2"/>
      <c r="C184" s="87"/>
      <c r="D184" s="87"/>
      <c r="E184" s="87"/>
      <c r="F184" s="87"/>
      <c r="G184" s="107" t="s">
        <v>16</v>
      </c>
      <c r="H184" s="37">
        <f>H183/C171</f>
        <v>0</v>
      </c>
      <c r="I184" s="108" t="str">
        <f>CONCATENATE("per ",C172)</f>
        <v>per sqm</v>
      </c>
      <c r="J184" s="735"/>
      <c r="K184" s="736"/>
      <c r="L184" s="736"/>
      <c r="M184" s="736"/>
      <c r="N184" s="736"/>
      <c r="O184" s="736"/>
      <c r="P184" s="736"/>
      <c r="Q184" s="736"/>
      <c r="R184" s="737"/>
    </row>
    <row r="185" spans="1:18" s="170" customFormat="1">
      <c r="A185" s="23"/>
      <c r="B185" s="2" t="s">
        <v>18</v>
      </c>
      <c r="C185" s="87" t="s">
        <v>19</v>
      </c>
      <c r="D185" s="87"/>
      <c r="E185" s="87"/>
      <c r="F185" s="87"/>
      <c r="G185" s="107" t="s">
        <v>16</v>
      </c>
      <c r="H185" s="37">
        <f>CEILING(H184,0.5)</f>
        <v>0</v>
      </c>
      <c r="I185" s="108" t="str">
        <f>CONCATENATE("per ",C172)</f>
        <v>per sqm</v>
      </c>
      <c r="J185" s="735"/>
      <c r="K185" s="736"/>
      <c r="L185" s="736"/>
      <c r="M185" s="736"/>
      <c r="N185" s="736"/>
      <c r="O185" s="736"/>
      <c r="P185" s="736"/>
      <c r="Q185" s="736"/>
      <c r="R185" s="737"/>
    </row>
    <row r="186" spans="1:18" s="170" customFormat="1">
      <c r="A186" s="23"/>
      <c r="B186" s="2"/>
      <c r="C186" s="87"/>
      <c r="D186" s="87"/>
      <c r="E186" s="87"/>
      <c r="F186" s="87"/>
      <c r="G186" s="109" t="s">
        <v>17</v>
      </c>
      <c r="H186" s="37">
        <f>H185/exr</f>
        <v>0</v>
      </c>
      <c r="I186" s="108" t="str">
        <f>CONCATENATE("per ",C172)</f>
        <v>per sqm</v>
      </c>
      <c r="J186" s="738"/>
      <c r="K186" s="739"/>
      <c r="L186" s="739"/>
      <c r="M186" s="739"/>
      <c r="N186" s="739"/>
      <c r="O186" s="739"/>
      <c r="P186" s="739"/>
      <c r="Q186" s="739"/>
      <c r="R186" s="740"/>
    </row>
    <row r="187" spans="1:18" s="170" customFormat="1">
      <c r="A187" s="39"/>
      <c r="B187" s="40"/>
      <c r="C187" s="41"/>
      <c r="D187" s="41"/>
      <c r="E187" s="41"/>
      <c r="F187" s="41"/>
      <c r="G187" s="149" t="s">
        <v>460</v>
      </c>
      <c r="H187" s="150">
        <f>CEILING(0,0.0025)</f>
        <v>0</v>
      </c>
      <c r="I187" s="42"/>
      <c r="J187" s="43"/>
      <c r="K187" s="43"/>
      <c r="L187" s="43"/>
      <c r="M187" s="43"/>
      <c r="N187" s="43"/>
      <c r="O187" s="43"/>
      <c r="P187" s="43"/>
      <c r="Q187" s="43"/>
      <c r="R187" s="44"/>
    </row>
    <row r="188" spans="1:18" s="170" customFormat="1"/>
    <row r="189" spans="1:18" s="170" customFormat="1">
      <c r="A189" s="693" t="s">
        <v>0</v>
      </c>
      <c r="B189" s="695" t="s">
        <v>1</v>
      </c>
      <c r="C189" s="695" t="s">
        <v>2</v>
      </c>
      <c r="D189" s="697" t="s">
        <v>3</v>
      </c>
      <c r="E189" s="698"/>
      <c r="F189" s="698"/>
      <c r="G189" s="698"/>
      <c r="H189" s="698"/>
      <c r="I189" s="699" t="s">
        <v>4</v>
      </c>
      <c r="J189" s="700"/>
      <c r="K189" s="700"/>
      <c r="L189" s="700"/>
      <c r="M189" s="700"/>
      <c r="N189" s="698" t="s">
        <v>5</v>
      </c>
      <c r="O189" s="698"/>
      <c r="P189" s="698"/>
      <c r="Q189" s="698"/>
      <c r="R189" s="698"/>
    </row>
    <row r="190" spans="1:18" s="170" customFormat="1">
      <c r="A190" s="694"/>
      <c r="B190" s="696"/>
      <c r="C190" s="696"/>
      <c r="D190" s="45" t="s">
        <v>6</v>
      </c>
      <c r="E190" s="46" t="s">
        <v>2</v>
      </c>
      <c r="F190" s="46" t="s">
        <v>7</v>
      </c>
      <c r="G190" s="46" t="s">
        <v>8</v>
      </c>
      <c r="H190" s="46" t="s">
        <v>9</v>
      </c>
      <c r="I190" s="46" t="s">
        <v>10</v>
      </c>
      <c r="J190" s="46" t="s">
        <v>2</v>
      </c>
      <c r="K190" s="46" t="s">
        <v>7</v>
      </c>
      <c r="L190" s="46" t="s">
        <v>8</v>
      </c>
      <c r="M190" s="47" t="s">
        <v>9</v>
      </c>
      <c r="N190" s="46" t="s">
        <v>10</v>
      </c>
      <c r="O190" s="46" t="s">
        <v>2</v>
      </c>
      <c r="P190" s="46" t="s">
        <v>7</v>
      </c>
      <c r="Q190" s="46" t="s">
        <v>8</v>
      </c>
      <c r="R190" s="46" t="s">
        <v>9</v>
      </c>
    </row>
    <row r="191" spans="1:18" s="170" customFormat="1">
      <c r="A191" s="33" t="s">
        <v>23</v>
      </c>
      <c r="B191" s="73" t="s">
        <v>621</v>
      </c>
      <c r="C191" s="31"/>
      <c r="D191" s="31"/>
      <c r="E191" s="31"/>
      <c r="F191" s="31"/>
      <c r="G191" s="31"/>
      <c r="H191" s="31"/>
      <c r="I191" s="31"/>
      <c r="J191" s="31"/>
      <c r="K191" s="31"/>
      <c r="L191" s="31"/>
      <c r="M191" s="31"/>
      <c r="N191" s="31"/>
      <c r="O191" s="31"/>
      <c r="P191" s="31"/>
      <c r="Q191" s="31"/>
      <c r="R191" s="32"/>
    </row>
    <row r="192" spans="1:18" s="170" customFormat="1">
      <c r="A192" s="34">
        <f>A171+1</f>
        <v>10</v>
      </c>
      <c r="B192" s="730" t="s">
        <v>636</v>
      </c>
      <c r="C192" s="145">
        <v>10</v>
      </c>
      <c r="D192" s="87"/>
      <c r="E192" s="8"/>
      <c r="F192" s="88"/>
      <c r="G192" s="28"/>
      <c r="H192" s="28"/>
      <c r="I192" s="8"/>
      <c r="J192" s="8"/>
      <c r="K192" s="88"/>
      <c r="L192" s="28"/>
      <c r="M192" s="28"/>
      <c r="N192" s="8"/>
      <c r="O192" s="8"/>
      <c r="P192" s="88"/>
      <c r="Q192" s="28"/>
      <c r="R192" s="28"/>
    </row>
    <row r="193" spans="1:18" s="170" customFormat="1">
      <c r="A193" s="2"/>
      <c r="B193" s="731"/>
      <c r="C193" s="171" t="s">
        <v>127</v>
      </c>
      <c r="D193" s="87" t="s">
        <v>96</v>
      </c>
      <c r="E193" s="8" t="s">
        <v>81</v>
      </c>
      <c r="F193" s="88">
        <v>2.75</v>
      </c>
      <c r="G193" s="28">
        <f>sr</f>
        <v>1100</v>
      </c>
      <c r="H193" s="28">
        <f>F193*G193</f>
        <v>3025</v>
      </c>
      <c r="I193" s="89" t="s">
        <v>234</v>
      </c>
      <c r="J193" s="8" t="s">
        <v>127</v>
      </c>
      <c r="K193" s="88">
        <f>11/6</f>
        <v>1.8333333333333333</v>
      </c>
      <c r="L193" s="28">
        <f>plywood</f>
        <v>420.36</v>
      </c>
      <c r="M193" s="28">
        <f>K193*L193</f>
        <v>770.66</v>
      </c>
      <c r="N193" s="8"/>
      <c r="O193" s="8"/>
      <c r="P193" s="88"/>
      <c r="Q193" s="28"/>
      <c r="R193" s="28"/>
    </row>
    <row r="194" spans="1:18" s="170" customFormat="1">
      <c r="A194" s="2"/>
      <c r="B194" s="731"/>
      <c r="C194" s="8"/>
      <c r="D194" s="87" t="s">
        <v>97</v>
      </c>
      <c r="E194" s="8" t="s">
        <v>81</v>
      </c>
      <c r="F194" s="88">
        <v>2.4</v>
      </c>
      <c r="G194" s="28">
        <f>ur</f>
        <v>850</v>
      </c>
      <c r="H194" s="28">
        <f>F194*G194</f>
        <v>2040</v>
      </c>
      <c r="I194" s="89" t="s">
        <v>231</v>
      </c>
      <c r="J194" s="8" t="s">
        <v>11</v>
      </c>
      <c r="K194" s="88">
        <f>0.5/12</f>
        <v>4.1666666666666664E-2</v>
      </c>
      <c r="L194" s="154">
        <f>AVERAGE(timber,planks)</f>
        <v>64135.06</v>
      </c>
      <c r="M194" s="28">
        <f>K194*L194</f>
        <v>2672.2941666666666</v>
      </c>
      <c r="N194" s="8"/>
      <c r="O194" s="8"/>
      <c r="P194" s="88"/>
      <c r="Q194" s="28"/>
      <c r="R194" s="28"/>
    </row>
    <row r="195" spans="1:18" s="170" customFormat="1">
      <c r="A195" s="2"/>
      <c r="B195" s="731"/>
      <c r="C195" s="8"/>
      <c r="D195" s="87"/>
      <c r="E195" s="8"/>
      <c r="F195" s="88"/>
      <c r="G195" s="28"/>
      <c r="H195" s="28"/>
      <c r="I195" s="89" t="s">
        <v>232</v>
      </c>
      <c r="J195" s="8" t="s">
        <v>28</v>
      </c>
      <c r="K195" s="88">
        <v>3</v>
      </c>
      <c r="L195" s="28">
        <f>nails/1000</f>
        <v>124.14419000000001</v>
      </c>
      <c r="M195" s="28">
        <f>K195*L195</f>
        <v>372.43257000000006</v>
      </c>
      <c r="N195" s="8"/>
      <c r="O195" s="8"/>
      <c r="P195" s="88"/>
      <c r="Q195" s="28"/>
      <c r="R195" s="28"/>
    </row>
    <row r="196" spans="1:18" s="170" customFormat="1">
      <c r="A196" s="2"/>
      <c r="B196" s="731"/>
      <c r="C196" s="8"/>
      <c r="D196" s="87"/>
      <c r="E196" s="8"/>
      <c r="F196" s="88"/>
      <c r="G196" s="28"/>
      <c r="H196" s="28"/>
      <c r="I196" s="89"/>
      <c r="J196" s="8"/>
      <c r="K196" s="88"/>
      <c r="L196" s="28"/>
      <c r="M196" s="28"/>
      <c r="N196" s="8"/>
      <c r="O196" s="8"/>
      <c r="P196" s="88"/>
      <c r="Q196" s="28"/>
      <c r="R196" s="28"/>
    </row>
    <row r="197" spans="1:18" s="170" customFormat="1" ht="32.25" customHeight="1">
      <c r="A197" s="2"/>
      <c r="B197" s="731"/>
      <c r="C197" s="8"/>
      <c r="D197" s="87"/>
      <c r="E197" s="8"/>
      <c r="F197" s="88"/>
      <c r="G197" s="28"/>
      <c r="H197" s="28"/>
      <c r="I197" s="89"/>
      <c r="J197" s="8"/>
      <c r="K197" s="88"/>
      <c r="L197" s="28"/>
      <c r="M197" s="28"/>
      <c r="N197" s="8"/>
      <c r="O197" s="8"/>
      <c r="P197" s="88"/>
      <c r="Q197" s="28"/>
      <c r="R197" s="28"/>
    </row>
    <row r="198" spans="1:18" s="170" customFormat="1">
      <c r="A198" s="2"/>
      <c r="B198" s="172"/>
      <c r="C198" s="8"/>
      <c r="D198" s="87"/>
      <c r="E198" s="10"/>
      <c r="F198" s="91"/>
      <c r="G198" s="92"/>
      <c r="H198" s="92"/>
      <c r="I198" s="10"/>
      <c r="J198" s="10"/>
      <c r="K198" s="91"/>
      <c r="L198" s="28"/>
      <c r="M198" s="28"/>
      <c r="N198" s="8"/>
      <c r="O198" s="8"/>
      <c r="P198" s="91"/>
      <c r="Q198" s="28"/>
      <c r="R198" s="28"/>
    </row>
    <row r="199" spans="1:18" s="170" customFormat="1">
      <c r="A199" s="2"/>
      <c r="B199" s="2"/>
      <c r="C199" s="8"/>
      <c r="D199" s="93"/>
      <c r="E199" s="94"/>
      <c r="F199" s="95"/>
      <c r="G199" s="95" t="s">
        <v>20</v>
      </c>
      <c r="H199" s="96">
        <f>SUM(H192:H198)</f>
        <v>5065</v>
      </c>
      <c r="I199" s="717"/>
      <c r="J199" s="717"/>
      <c r="K199" s="97"/>
      <c r="L199" s="95" t="s">
        <v>21</v>
      </c>
      <c r="M199" s="96">
        <f>SUM(M192:M198)</f>
        <v>3815.3867366666664</v>
      </c>
      <c r="N199" s="98"/>
      <c r="O199" s="97"/>
      <c r="P199" s="97"/>
      <c r="Q199" s="95" t="s">
        <v>22</v>
      </c>
      <c r="R199" s="96">
        <f>SUM(R192:R198)</f>
        <v>0</v>
      </c>
    </row>
    <row r="200" spans="1:18" s="170" customFormat="1">
      <c r="A200" s="2"/>
      <c r="B200" s="99" t="s">
        <v>13</v>
      </c>
      <c r="C200" s="97"/>
      <c r="D200" s="97"/>
      <c r="E200" s="97"/>
      <c r="F200" s="97"/>
      <c r="G200" s="95"/>
      <c r="H200" s="100">
        <f>M199+R199+H199</f>
        <v>8880.3867366666673</v>
      </c>
      <c r="I200" s="101"/>
      <c r="J200" s="97"/>
      <c r="K200" s="97"/>
      <c r="L200" s="95"/>
      <c r="M200" s="102"/>
      <c r="N200" s="97"/>
      <c r="O200" s="97"/>
      <c r="P200" s="97"/>
      <c r="Q200" s="97"/>
      <c r="R200" s="101"/>
    </row>
    <row r="201" spans="1:18" s="170" customFormat="1">
      <c r="A201" s="2"/>
      <c r="B201" s="2" t="s">
        <v>25</v>
      </c>
      <c r="C201" s="87"/>
      <c r="D201" s="87"/>
      <c r="E201" s="87"/>
      <c r="F201" s="87"/>
      <c r="G201" s="103"/>
      <c r="H201" s="104">
        <v>0</v>
      </c>
      <c r="I201" s="105"/>
      <c r="J201" s="87" t="s">
        <v>26</v>
      </c>
      <c r="K201" s="87"/>
      <c r="L201" s="103"/>
      <c r="M201" s="106"/>
      <c r="N201" s="87"/>
      <c r="O201" s="87"/>
      <c r="P201" s="87"/>
      <c r="Q201" s="87"/>
      <c r="R201" s="105"/>
    </row>
    <row r="202" spans="1:18" s="170" customFormat="1">
      <c r="A202" s="23"/>
      <c r="B202" s="2" t="s">
        <v>14</v>
      </c>
      <c r="C202" s="87"/>
      <c r="D202" s="87"/>
      <c r="E202" s="87"/>
      <c r="F202" s="87"/>
      <c r="G202" s="103"/>
      <c r="H202" s="104">
        <f>SUM(H200:H201)</f>
        <v>8880.3867366666673</v>
      </c>
      <c r="I202" s="105"/>
      <c r="J202" s="732"/>
      <c r="K202" s="733"/>
      <c r="L202" s="733"/>
      <c r="M202" s="733"/>
      <c r="N202" s="733"/>
      <c r="O202" s="733"/>
      <c r="P202" s="733"/>
      <c r="Q202" s="733"/>
      <c r="R202" s="734"/>
    </row>
    <row r="203" spans="1:18" s="170" customFormat="1">
      <c r="A203" s="23"/>
      <c r="B203" s="2" t="s">
        <v>24</v>
      </c>
      <c r="C203" s="87"/>
      <c r="D203" s="87"/>
      <c r="E203" s="87"/>
      <c r="F203" s="87"/>
      <c r="G203" s="103"/>
      <c r="H203" s="104">
        <f>H202*15%</f>
        <v>1332.0580105000001</v>
      </c>
      <c r="I203" s="105"/>
      <c r="J203" s="735"/>
      <c r="K203" s="736"/>
      <c r="L203" s="736"/>
      <c r="M203" s="736"/>
      <c r="N203" s="736"/>
      <c r="O203" s="736"/>
      <c r="P203" s="736"/>
      <c r="Q203" s="736"/>
      <c r="R203" s="737"/>
    </row>
    <row r="204" spans="1:18" s="170" customFormat="1">
      <c r="A204" s="23"/>
      <c r="B204" s="2" t="s">
        <v>15</v>
      </c>
      <c r="C204" s="87"/>
      <c r="D204" s="87"/>
      <c r="E204" s="87"/>
      <c r="F204" s="87"/>
      <c r="G204" s="107" t="s">
        <v>16</v>
      </c>
      <c r="H204" s="37">
        <f>H203+H202</f>
        <v>10212.444747166668</v>
      </c>
      <c r="I204" s="108" t="str">
        <f>CONCATENATE("per ",C192, C193)</f>
        <v>per 10sqm</v>
      </c>
      <c r="J204" s="735"/>
      <c r="K204" s="736"/>
      <c r="L204" s="736"/>
      <c r="M204" s="736"/>
      <c r="N204" s="736"/>
      <c r="O204" s="736"/>
      <c r="P204" s="736"/>
      <c r="Q204" s="736"/>
      <c r="R204" s="737"/>
    </row>
    <row r="205" spans="1:18" s="170" customFormat="1">
      <c r="A205" s="23"/>
      <c r="B205" s="2"/>
      <c r="C205" s="87"/>
      <c r="D205" s="87"/>
      <c r="E205" s="87"/>
      <c r="F205" s="87"/>
      <c r="G205" s="107" t="s">
        <v>16</v>
      </c>
      <c r="H205" s="37">
        <f>H204/C192</f>
        <v>1021.2444747166668</v>
      </c>
      <c r="I205" s="108" t="str">
        <f>CONCATENATE("per ",C193)</f>
        <v>per sqm</v>
      </c>
      <c r="J205" s="735"/>
      <c r="K205" s="736"/>
      <c r="L205" s="736"/>
      <c r="M205" s="736"/>
      <c r="N205" s="736"/>
      <c r="O205" s="736"/>
      <c r="P205" s="736"/>
      <c r="Q205" s="736"/>
      <c r="R205" s="737"/>
    </row>
    <row r="206" spans="1:18" s="170" customFormat="1">
      <c r="A206" s="23"/>
      <c r="B206" s="2" t="s">
        <v>18</v>
      </c>
      <c r="C206" s="87" t="s">
        <v>19</v>
      </c>
      <c r="D206" s="87"/>
      <c r="E206" s="87"/>
      <c r="F206" s="87"/>
      <c r="G206" s="107" t="s">
        <v>16</v>
      </c>
      <c r="H206" s="37">
        <f>CEILING(H205,0.5)</f>
        <v>1021.5</v>
      </c>
      <c r="I206" s="108" t="str">
        <f>CONCATENATE("per ",C193)</f>
        <v>per sqm</v>
      </c>
      <c r="J206" s="735"/>
      <c r="K206" s="736"/>
      <c r="L206" s="736"/>
      <c r="M206" s="736"/>
      <c r="N206" s="736"/>
      <c r="O206" s="736"/>
      <c r="P206" s="736"/>
      <c r="Q206" s="736"/>
      <c r="R206" s="737"/>
    </row>
    <row r="207" spans="1:18" s="170" customFormat="1">
      <c r="A207" s="23"/>
      <c r="B207" s="2"/>
      <c r="C207" s="87"/>
      <c r="D207" s="87"/>
      <c r="E207" s="87"/>
      <c r="F207" s="87"/>
      <c r="G207" s="109" t="s">
        <v>17</v>
      </c>
      <c r="H207" s="37">
        <f>H206/exr</f>
        <v>7.8576923076923073</v>
      </c>
      <c r="I207" s="108" t="str">
        <f>CONCATENATE("per ",C193)</f>
        <v>per sqm</v>
      </c>
      <c r="J207" s="738"/>
      <c r="K207" s="739"/>
      <c r="L207" s="739"/>
      <c r="M207" s="739"/>
      <c r="N207" s="739"/>
      <c r="O207" s="739"/>
      <c r="P207" s="739"/>
      <c r="Q207" s="739"/>
      <c r="R207" s="740"/>
    </row>
    <row r="208" spans="1:18" s="170" customFormat="1">
      <c r="A208" s="39"/>
      <c r="B208" s="40"/>
      <c r="C208" s="41"/>
      <c r="D208" s="41"/>
      <c r="E208" s="41"/>
      <c r="F208" s="41"/>
      <c r="G208" s="149" t="s">
        <v>460</v>
      </c>
      <c r="H208" s="150">
        <f>CEILING(SUM(M195)/H200,0.0025)</f>
        <v>4.2500000000000003E-2</v>
      </c>
      <c r="I208" s="42"/>
      <c r="J208" s="43"/>
      <c r="K208" s="43"/>
      <c r="L208" s="43"/>
      <c r="M208" s="43"/>
      <c r="N208" s="43"/>
      <c r="O208" s="43"/>
      <c r="P208" s="43"/>
      <c r="Q208" s="43"/>
      <c r="R208" s="44"/>
    </row>
    <row r="209" spans="1:18" s="170" customFormat="1"/>
    <row r="210" spans="1:18" s="170" customFormat="1">
      <c r="A210" s="693" t="s">
        <v>0</v>
      </c>
      <c r="B210" s="695" t="s">
        <v>1</v>
      </c>
      <c r="C210" s="695" t="s">
        <v>2</v>
      </c>
      <c r="D210" s="697" t="s">
        <v>3</v>
      </c>
      <c r="E210" s="698"/>
      <c r="F210" s="698"/>
      <c r="G210" s="698"/>
      <c r="H210" s="698"/>
      <c r="I210" s="699" t="s">
        <v>4</v>
      </c>
      <c r="J210" s="700"/>
      <c r="K210" s="700"/>
      <c r="L210" s="700"/>
      <c r="M210" s="700"/>
      <c r="N210" s="698" t="s">
        <v>5</v>
      </c>
      <c r="O210" s="698"/>
      <c r="P210" s="698"/>
      <c r="Q210" s="698"/>
      <c r="R210" s="698"/>
    </row>
    <row r="211" spans="1:18" s="170" customFormat="1">
      <c r="A211" s="694"/>
      <c r="B211" s="696"/>
      <c r="C211" s="696"/>
      <c r="D211" s="45" t="s">
        <v>6</v>
      </c>
      <c r="E211" s="46" t="s">
        <v>2</v>
      </c>
      <c r="F211" s="46" t="s">
        <v>7</v>
      </c>
      <c r="G211" s="46" t="s">
        <v>8</v>
      </c>
      <c r="H211" s="46" t="s">
        <v>9</v>
      </c>
      <c r="I211" s="46" t="s">
        <v>10</v>
      </c>
      <c r="J211" s="46" t="s">
        <v>2</v>
      </c>
      <c r="K211" s="46" t="s">
        <v>7</v>
      </c>
      <c r="L211" s="46" t="s">
        <v>8</v>
      </c>
      <c r="M211" s="47" t="s">
        <v>9</v>
      </c>
      <c r="N211" s="46" t="s">
        <v>10</v>
      </c>
      <c r="O211" s="46" t="s">
        <v>2</v>
      </c>
      <c r="P211" s="46" t="s">
        <v>7</v>
      </c>
      <c r="Q211" s="46" t="s">
        <v>8</v>
      </c>
      <c r="R211" s="46" t="s">
        <v>9</v>
      </c>
    </row>
    <row r="212" spans="1:18" s="170" customFormat="1">
      <c r="A212" s="33" t="s">
        <v>23</v>
      </c>
      <c r="B212" s="73" t="s">
        <v>622</v>
      </c>
      <c r="C212" s="31"/>
      <c r="D212" s="31"/>
      <c r="E212" s="31"/>
      <c r="F212" s="31"/>
      <c r="G212" s="31"/>
      <c r="H212" s="31"/>
      <c r="I212" s="31"/>
      <c r="J212" s="31"/>
      <c r="K212" s="31"/>
      <c r="L212" s="31"/>
      <c r="M212" s="31"/>
      <c r="N212" s="31"/>
      <c r="O212" s="31"/>
      <c r="P212" s="31"/>
      <c r="Q212" s="31"/>
      <c r="R212" s="32"/>
    </row>
    <row r="213" spans="1:18" s="170" customFormat="1">
      <c r="A213" s="34">
        <f>A192+1</f>
        <v>11</v>
      </c>
      <c r="B213" s="730" t="s">
        <v>633</v>
      </c>
      <c r="C213" s="145">
        <v>10</v>
      </c>
      <c r="D213" s="87"/>
      <c r="E213" s="8"/>
      <c r="F213" s="88"/>
      <c r="G213" s="28"/>
      <c r="H213" s="28"/>
      <c r="I213" s="8"/>
      <c r="J213" s="8"/>
      <c r="K213" s="88"/>
      <c r="L213" s="28"/>
      <c r="M213" s="28"/>
      <c r="N213" s="8"/>
      <c r="O213" s="8"/>
      <c r="P213" s="88"/>
      <c r="Q213" s="28"/>
      <c r="R213" s="28"/>
    </row>
    <row r="214" spans="1:18" s="170" customFormat="1">
      <c r="A214" s="2"/>
      <c r="B214" s="731"/>
      <c r="C214" s="171" t="s">
        <v>127</v>
      </c>
      <c r="D214" s="87" t="s">
        <v>96</v>
      </c>
      <c r="E214" s="8" t="s">
        <v>81</v>
      </c>
      <c r="F214" s="88">
        <v>3.2</v>
      </c>
      <c r="G214" s="28">
        <f>sr</f>
        <v>1100</v>
      </c>
      <c r="H214" s="28">
        <f>F214*G214</f>
        <v>3520</v>
      </c>
      <c r="I214" s="89" t="s">
        <v>234</v>
      </c>
      <c r="J214" s="8" t="s">
        <v>127</v>
      </c>
      <c r="K214" s="88">
        <f>11/6</f>
        <v>1.8333333333333333</v>
      </c>
      <c r="L214" s="28">
        <f>plywood</f>
        <v>420.36</v>
      </c>
      <c r="M214" s="28">
        <f>K214*L214</f>
        <v>770.66</v>
      </c>
      <c r="N214" s="8"/>
      <c r="O214" s="8"/>
      <c r="P214" s="88"/>
      <c r="Q214" s="28"/>
      <c r="R214" s="28"/>
    </row>
    <row r="215" spans="1:18" s="170" customFormat="1">
      <c r="A215" s="2"/>
      <c r="B215" s="731"/>
      <c r="C215" s="8"/>
      <c r="D215" s="87" t="s">
        <v>97</v>
      </c>
      <c r="E215" s="8" t="s">
        <v>81</v>
      </c>
      <c r="F215" s="88">
        <v>3.2</v>
      </c>
      <c r="G215" s="28">
        <f>ur</f>
        <v>850</v>
      </c>
      <c r="H215" s="28">
        <f>F215*G215</f>
        <v>2720</v>
      </c>
      <c r="I215" s="89" t="s">
        <v>231</v>
      </c>
      <c r="J215" s="8" t="s">
        <v>11</v>
      </c>
      <c r="K215" s="88">
        <f>0.6/12</f>
        <v>4.9999999999999996E-2</v>
      </c>
      <c r="L215" s="154">
        <f>AVERAGE(timber,planks)</f>
        <v>64135.06</v>
      </c>
      <c r="M215" s="28">
        <f>K215*L215</f>
        <v>3206.7529999999997</v>
      </c>
      <c r="N215" s="8"/>
      <c r="O215" s="8"/>
      <c r="P215" s="88"/>
      <c r="Q215" s="28"/>
      <c r="R215" s="28"/>
    </row>
    <row r="216" spans="1:18" s="170" customFormat="1">
      <c r="A216" s="2"/>
      <c r="B216" s="731"/>
      <c r="C216" s="8"/>
      <c r="D216" s="87"/>
      <c r="E216" s="8"/>
      <c r="F216" s="88"/>
      <c r="G216" s="28"/>
      <c r="H216" s="28"/>
      <c r="I216" s="89" t="s">
        <v>232</v>
      </c>
      <c r="J216" s="8" t="s">
        <v>28</v>
      </c>
      <c r="K216" s="88">
        <v>4</v>
      </c>
      <c r="L216" s="28">
        <f>nails/1000</f>
        <v>124.14419000000001</v>
      </c>
      <c r="M216" s="28">
        <f>K216*L216</f>
        <v>496.57676000000004</v>
      </c>
      <c r="N216" s="8"/>
      <c r="O216" s="8"/>
      <c r="P216" s="88"/>
      <c r="Q216" s="28"/>
      <c r="R216" s="28"/>
    </row>
    <row r="217" spans="1:18" s="170" customFormat="1">
      <c r="A217" s="2"/>
      <c r="B217" s="731"/>
      <c r="C217" s="8"/>
      <c r="D217" s="87"/>
      <c r="E217" s="8"/>
      <c r="F217" s="88"/>
      <c r="G217" s="28"/>
      <c r="H217" s="28"/>
      <c r="I217" s="89"/>
      <c r="J217" s="8"/>
      <c r="K217" s="88"/>
      <c r="L217" s="28"/>
      <c r="M217" s="28"/>
      <c r="N217" s="8"/>
      <c r="O217" s="8"/>
      <c r="P217" s="88"/>
      <c r="Q217" s="28"/>
      <c r="R217" s="28"/>
    </row>
    <row r="218" spans="1:18" s="170" customFormat="1" ht="30.75" customHeight="1">
      <c r="A218" s="2"/>
      <c r="B218" s="731"/>
      <c r="C218" s="8"/>
      <c r="D218" s="87"/>
      <c r="E218" s="8"/>
      <c r="F218" s="88"/>
      <c r="G218" s="28"/>
      <c r="H218" s="28"/>
      <c r="I218" s="89"/>
      <c r="J218" s="8"/>
      <c r="K218" s="88"/>
      <c r="L218" s="28"/>
      <c r="M218" s="28"/>
      <c r="N218" s="8"/>
      <c r="O218" s="8"/>
      <c r="P218" s="88"/>
      <c r="Q218" s="28"/>
      <c r="R218" s="28"/>
    </row>
    <row r="219" spans="1:18" s="170" customFormat="1">
      <c r="A219" s="2"/>
      <c r="B219" s="172"/>
      <c r="C219" s="8"/>
      <c r="D219" s="87"/>
      <c r="E219" s="10"/>
      <c r="F219" s="91"/>
      <c r="G219" s="92"/>
      <c r="H219" s="92"/>
      <c r="I219" s="10"/>
      <c r="J219" s="10"/>
      <c r="K219" s="91"/>
      <c r="L219" s="28"/>
      <c r="M219" s="28"/>
      <c r="N219" s="8"/>
      <c r="O219" s="8"/>
      <c r="P219" s="91"/>
      <c r="Q219" s="28"/>
      <c r="R219" s="28"/>
    </row>
    <row r="220" spans="1:18" s="170" customFormat="1">
      <c r="A220" s="2"/>
      <c r="B220" s="2"/>
      <c r="C220" s="8"/>
      <c r="D220" s="93"/>
      <c r="E220" s="94"/>
      <c r="F220" s="95"/>
      <c r="G220" s="95" t="s">
        <v>20</v>
      </c>
      <c r="H220" s="96">
        <f>SUM(H213:H219)</f>
        <v>6240</v>
      </c>
      <c r="I220" s="717"/>
      <c r="J220" s="717"/>
      <c r="K220" s="97"/>
      <c r="L220" s="95" t="s">
        <v>21</v>
      </c>
      <c r="M220" s="96">
        <f>SUM(M213:M219)</f>
        <v>4473.9897599999995</v>
      </c>
      <c r="N220" s="98"/>
      <c r="O220" s="97"/>
      <c r="P220" s="97"/>
      <c r="Q220" s="95" t="s">
        <v>22</v>
      </c>
      <c r="R220" s="96">
        <f>SUM(R213:R219)</f>
        <v>0</v>
      </c>
    </row>
    <row r="221" spans="1:18" s="170" customFormat="1">
      <c r="A221" s="2"/>
      <c r="B221" s="99" t="s">
        <v>13</v>
      </c>
      <c r="C221" s="97"/>
      <c r="D221" s="97"/>
      <c r="E221" s="97"/>
      <c r="F221" s="97"/>
      <c r="G221" s="95"/>
      <c r="H221" s="100">
        <f>M220+R220+H220</f>
        <v>10713.98976</v>
      </c>
      <c r="I221" s="101"/>
      <c r="J221" s="97"/>
      <c r="K221" s="97"/>
      <c r="L221" s="95"/>
      <c r="M221" s="102"/>
      <c r="N221" s="97"/>
      <c r="O221" s="97"/>
      <c r="P221" s="97"/>
      <c r="Q221" s="97"/>
      <c r="R221" s="101"/>
    </row>
    <row r="222" spans="1:18" s="170" customFormat="1">
      <c r="A222" s="2"/>
      <c r="B222" s="2" t="s">
        <v>25</v>
      </c>
      <c r="C222" s="87"/>
      <c r="D222" s="87"/>
      <c r="E222" s="87"/>
      <c r="F222" s="87"/>
      <c r="G222" s="103"/>
      <c r="H222" s="104">
        <v>0</v>
      </c>
      <c r="I222" s="105"/>
      <c r="J222" s="87" t="s">
        <v>26</v>
      </c>
      <c r="K222" s="87"/>
      <c r="L222" s="103"/>
      <c r="M222" s="106"/>
      <c r="N222" s="87"/>
      <c r="O222" s="87"/>
      <c r="P222" s="87"/>
      <c r="Q222" s="87"/>
      <c r="R222" s="105"/>
    </row>
    <row r="223" spans="1:18" s="170" customFormat="1">
      <c r="A223" s="23"/>
      <c r="B223" s="2" t="s">
        <v>14</v>
      </c>
      <c r="C223" s="87"/>
      <c r="D223" s="87"/>
      <c r="E223" s="87"/>
      <c r="F223" s="87"/>
      <c r="G223" s="103"/>
      <c r="H223" s="104">
        <f>SUM(H221:H222)</f>
        <v>10713.98976</v>
      </c>
      <c r="I223" s="105"/>
      <c r="J223" s="732"/>
      <c r="K223" s="733"/>
      <c r="L223" s="733"/>
      <c r="M223" s="733"/>
      <c r="N223" s="733"/>
      <c r="O223" s="733"/>
      <c r="P223" s="733"/>
      <c r="Q223" s="733"/>
      <c r="R223" s="734"/>
    </row>
    <row r="224" spans="1:18" s="170" customFormat="1">
      <c r="A224" s="23"/>
      <c r="B224" s="2" t="s">
        <v>24</v>
      </c>
      <c r="C224" s="87"/>
      <c r="D224" s="87"/>
      <c r="E224" s="87"/>
      <c r="F224" s="87"/>
      <c r="G224" s="103"/>
      <c r="H224" s="104">
        <f>H223*15%</f>
        <v>1607.0984639999999</v>
      </c>
      <c r="I224" s="105"/>
      <c r="J224" s="735"/>
      <c r="K224" s="736"/>
      <c r="L224" s="736"/>
      <c r="M224" s="736"/>
      <c r="N224" s="736"/>
      <c r="O224" s="736"/>
      <c r="P224" s="736"/>
      <c r="Q224" s="736"/>
      <c r="R224" s="737"/>
    </row>
    <row r="225" spans="1:18" s="170" customFormat="1">
      <c r="A225" s="23"/>
      <c r="B225" s="2" t="s">
        <v>15</v>
      </c>
      <c r="C225" s="87"/>
      <c r="D225" s="87"/>
      <c r="E225" s="87"/>
      <c r="F225" s="87"/>
      <c r="G225" s="107" t="s">
        <v>16</v>
      </c>
      <c r="H225" s="37">
        <f>H224+H223</f>
        <v>12321.088224000001</v>
      </c>
      <c r="I225" s="108" t="str">
        <f>CONCATENATE("per ",C213, C214)</f>
        <v>per 10sqm</v>
      </c>
      <c r="J225" s="735"/>
      <c r="K225" s="736"/>
      <c r="L225" s="736"/>
      <c r="M225" s="736"/>
      <c r="N225" s="736"/>
      <c r="O225" s="736"/>
      <c r="P225" s="736"/>
      <c r="Q225" s="736"/>
      <c r="R225" s="737"/>
    </row>
    <row r="226" spans="1:18" s="170" customFormat="1">
      <c r="A226" s="23"/>
      <c r="B226" s="2"/>
      <c r="C226" s="87"/>
      <c r="D226" s="87"/>
      <c r="E226" s="87"/>
      <c r="F226" s="87"/>
      <c r="G226" s="107" t="s">
        <v>16</v>
      </c>
      <c r="H226" s="37">
        <f>H225/C213</f>
        <v>1232.1088224</v>
      </c>
      <c r="I226" s="108" t="str">
        <f>CONCATENATE("per ",C214)</f>
        <v>per sqm</v>
      </c>
      <c r="J226" s="735"/>
      <c r="K226" s="736"/>
      <c r="L226" s="736"/>
      <c r="M226" s="736"/>
      <c r="N226" s="736"/>
      <c r="O226" s="736"/>
      <c r="P226" s="736"/>
      <c r="Q226" s="736"/>
      <c r="R226" s="737"/>
    </row>
    <row r="227" spans="1:18" s="170" customFormat="1">
      <c r="A227" s="23"/>
      <c r="B227" s="2" t="s">
        <v>18</v>
      </c>
      <c r="C227" s="87" t="s">
        <v>19</v>
      </c>
      <c r="D227" s="87"/>
      <c r="E227" s="87"/>
      <c r="F227" s="87"/>
      <c r="G227" s="107" t="s">
        <v>16</v>
      </c>
      <c r="H227" s="37">
        <f>CEILING(H226,0.5)</f>
        <v>1232.5</v>
      </c>
      <c r="I227" s="108" t="str">
        <f>CONCATENATE("per ",C214)</f>
        <v>per sqm</v>
      </c>
      <c r="J227" s="735"/>
      <c r="K227" s="736"/>
      <c r="L227" s="736"/>
      <c r="M227" s="736"/>
      <c r="N227" s="736"/>
      <c r="O227" s="736"/>
      <c r="P227" s="736"/>
      <c r="Q227" s="736"/>
      <c r="R227" s="737"/>
    </row>
    <row r="228" spans="1:18" s="170" customFormat="1">
      <c r="A228" s="23"/>
      <c r="B228" s="2"/>
      <c r="C228" s="87"/>
      <c r="D228" s="87"/>
      <c r="E228" s="87"/>
      <c r="F228" s="87"/>
      <c r="G228" s="109" t="s">
        <v>17</v>
      </c>
      <c r="H228" s="37">
        <f>H227/exr</f>
        <v>9.4807692307692299</v>
      </c>
      <c r="I228" s="108" t="str">
        <f>CONCATENATE("per ",C214)</f>
        <v>per sqm</v>
      </c>
      <c r="J228" s="738"/>
      <c r="K228" s="739"/>
      <c r="L228" s="739"/>
      <c r="M228" s="739"/>
      <c r="N228" s="739"/>
      <c r="O228" s="739"/>
      <c r="P228" s="739"/>
      <c r="Q228" s="739"/>
      <c r="R228" s="740"/>
    </row>
    <row r="229" spans="1:18" s="170" customFormat="1">
      <c r="A229" s="39"/>
      <c r="B229" s="40"/>
      <c r="C229" s="41"/>
      <c r="D229" s="41"/>
      <c r="E229" s="41"/>
      <c r="F229" s="41"/>
      <c r="G229" s="149" t="s">
        <v>460</v>
      </c>
      <c r="H229" s="150">
        <f>CEILING(SUM(M216)/H221,0.0025)</f>
        <v>4.7500000000000001E-2</v>
      </c>
      <c r="I229" s="42"/>
      <c r="J229" s="43"/>
      <c r="K229" s="43"/>
      <c r="L229" s="43"/>
      <c r="M229" s="43"/>
      <c r="N229" s="43"/>
      <c r="O229" s="43"/>
      <c r="P229" s="43"/>
      <c r="Q229" s="43"/>
      <c r="R229" s="44"/>
    </row>
    <row r="230" spans="1:18" s="170" customFormat="1"/>
    <row r="231" spans="1:18" s="170" customFormat="1">
      <c r="A231" s="693" t="s">
        <v>0</v>
      </c>
      <c r="B231" s="695" t="s">
        <v>1</v>
      </c>
      <c r="C231" s="695" t="s">
        <v>2</v>
      </c>
      <c r="D231" s="697" t="s">
        <v>3</v>
      </c>
      <c r="E231" s="698"/>
      <c r="F231" s="698"/>
      <c r="G231" s="698"/>
      <c r="H231" s="698"/>
      <c r="I231" s="699" t="s">
        <v>4</v>
      </c>
      <c r="J231" s="700"/>
      <c r="K231" s="700"/>
      <c r="L231" s="700"/>
      <c r="M231" s="700"/>
      <c r="N231" s="698" t="s">
        <v>5</v>
      </c>
      <c r="O231" s="698"/>
      <c r="P231" s="698"/>
      <c r="Q231" s="698"/>
      <c r="R231" s="698"/>
    </row>
    <row r="232" spans="1:18" s="170" customFormat="1">
      <c r="A232" s="694"/>
      <c r="B232" s="696"/>
      <c r="C232" s="696"/>
      <c r="D232" s="45" t="s">
        <v>6</v>
      </c>
      <c r="E232" s="46" t="s">
        <v>2</v>
      </c>
      <c r="F232" s="46" t="s">
        <v>7</v>
      </c>
      <c r="G232" s="46" t="s">
        <v>8</v>
      </c>
      <c r="H232" s="46" t="s">
        <v>9</v>
      </c>
      <c r="I232" s="46" t="s">
        <v>10</v>
      </c>
      <c r="J232" s="46" t="s">
        <v>2</v>
      </c>
      <c r="K232" s="46" t="s">
        <v>7</v>
      </c>
      <c r="L232" s="46" t="s">
        <v>8</v>
      </c>
      <c r="M232" s="47" t="s">
        <v>9</v>
      </c>
      <c r="N232" s="46" t="s">
        <v>10</v>
      </c>
      <c r="O232" s="46" t="s">
        <v>2</v>
      </c>
      <c r="P232" s="46" t="s">
        <v>7</v>
      </c>
      <c r="Q232" s="46" t="s">
        <v>8</v>
      </c>
      <c r="R232" s="46" t="s">
        <v>9</v>
      </c>
    </row>
    <row r="233" spans="1:18" s="170" customFormat="1">
      <c r="A233" s="33" t="s">
        <v>23</v>
      </c>
      <c r="B233" s="73" t="s">
        <v>623</v>
      </c>
      <c r="C233" s="31"/>
      <c r="D233" s="31"/>
      <c r="E233" s="31"/>
      <c r="F233" s="31"/>
      <c r="G233" s="31"/>
      <c r="H233" s="31"/>
      <c r="I233" s="31"/>
      <c r="J233" s="31"/>
      <c r="K233" s="31"/>
      <c r="L233" s="31"/>
      <c r="M233" s="31"/>
      <c r="N233" s="31"/>
      <c r="O233" s="31"/>
      <c r="P233" s="31"/>
      <c r="Q233" s="31"/>
      <c r="R233" s="32"/>
    </row>
    <row r="234" spans="1:18" s="170" customFormat="1">
      <c r="A234" s="34">
        <f>A213+1</f>
        <v>12</v>
      </c>
      <c r="B234" s="730" t="s">
        <v>634</v>
      </c>
      <c r="C234" s="145">
        <v>10</v>
      </c>
      <c r="D234" s="87"/>
      <c r="E234" s="8"/>
      <c r="F234" s="88"/>
      <c r="G234" s="28"/>
      <c r="H234" s="28"/>
      <c r="I234" s="8"/>
      <c r="J234" s="8"/>
      <c r="K234" s="88"/>
      <c r="L234" s="28"/>
      <c r="M234" s="28"/>
      <c r="N234" s="8"/>
      <c r="O234" s="8"/>
      <c r="P234" s="88"/>
      <c r="Q234" s="28"/>
      <c r="R234" s="28"/>
    </row>
    <row r="235" spans="1:18" s="170" customFormat="1">
      <c r="A235" s="2"/>
      <c r="B235" s="731"/>
      <c r="C235" s="171" t="s">
        <v>127</v>
      </c>
      <c r="D235" s="87" t="s">
        <v>96</v>
      </c>
      <c r="E235" s="8" t="s">
        <v>81</v>
      </c>
      <c r="F235" s="88">
        <v>4</v>
      </c>
      <c r="G235" s="28">
        <f>sr</f>
        <v>1100</v>
      </c>
      <c r="H235" s="28">
        <f>F235*G235</f>
        <v>4400</v>
      </c>
      <c r="I235" s="89" t="s">
        <v>234</v>
      </c>
      <c r="J235" s="8" t="s">
        <v>127</v>
      </c>
      <c r="K235" s="88">
        <f>11/6</f>
        <v>1.8333333333333333</v>
      </c>
      <c r="L235" s="28">
        <f>plywood</f>
        <v>420.36</v>
      </c>
      <c r="M235" s="28">
        <f>K235*L235</f>
        <v>770.66</v>
      </c>
      <c r="N235" s="8"/>
      <c r="O235" s="8"/>
      <c r="P235" s="88"/>
      <c r="Q235" s="28"/>
      <c r="R235" s="28"/>
    </row>
    <row r="236" spans="1:18" s="170" customFormat="1">
      <c r="A236" s="2"/>
      <c r="B236" s="731"/>
      <c r="C236" s="8"/>
      <c r="D236" s="87" t="s">
        <v>97</v>
      </c>
      <c r="E236" s="8" t="s">
        <v>81</v>
      </c>
      <c r="F236" s="88">
        <v>4.4000000000000004</v>
      </c>
      <c r="G236" s="28">
        <f>ur</f>
        <v>850</v>
      </c>
      <c r="H236" s="28">
        <f>F236*G236</f>
        <v>3740.0000000000005</v>
      </c>
      <c r="I236" s="89" t="s">
        <v>231</v>
      </c>
      <c r="J236" s="8" t="s">
        <v>11</v>
      </c>
      <c r="K236" s="88">
        <f>0.75/12</f>
        <v>6.25E-2</v>
      </c>
      <c r="L236" s="154">
        <f>AVERAGE(timber,planks)</f>
        <v>64135.06</v>
      </c>
      <c r="M236" s="28">
        <f>K236*L236</f>
        <v>4008.4412499999999</v>
      </c>
      <c r="N236" s="8"/>
      <c r="O236" s="8"/>
      <c r="P236" s="88"/>
      <c r="Q236" s="28"/>
      <c r="R236" s="28"/>
    </row>
    <row r="237" spans="1:18" s="170" customFormat="1">
      <c r="A237" s="2"/>
      <c r="B237" s="731"/>
      <c r="C237" s="8"/>
      <c r="D237" s="87"/>
      <c r="E237" s="8"/>
      <c r="F237" s="88"/>
      <c r="G237" s="28"/>
      <c r="H237" s="28"/>
      <c r="I237" s="89" t="s">
        <v>232</v>
      </c>
      <c r="J237" s="8" t="s">
        <v>28</v>
      </c>
      <c r="K237" s="88">
        <v>5</v>
      </c>
      <c r="L237" s="28">
        <f>nails/1000</f>
        <v>124.14419000000001</v>
      </c>
      <c r="M237" s="28">
        <f>K237*L237</f>
        <v>620.72095000000002</v>
      </c>
      <c r="N237" s="8"/>
      <c r="O237" s="8"/>
      <c r="P237" s="88"/>
      <c r="Q237" s="28"/>
      <c r="R237" s="28"/>
    </row>
    <row r="238" spans="1:18" s="170" customFormat="1">
      <c r="A238" s="2"/>
      <c r="B238" s="731"/>
      <c r="C238" s="8"/>
      <c r="D238" s="87"/>
      <c r="E238" s="8"/>
      <c r="F238" s="88"/>
      <c r="G238" s="28"/>
      <c r="H238" s="28"/>
      <c r="I238" s="89"/>
      <c r="J238" s="8"/>
      <c r="K238" s="88"/>
      <c r="L238" s="28"/>
      <c r="M238" s="28"/>
      <c r="N238" s="8"/>
      <c r="O238" s="8"/>
      <c r="P238" s="88"/>
      <c r="Q238" s="28"/>
      <c r="R238" s="28"/>
    </row>
    <row r="239" spans="1:18" s="170" customFormat="1" ht="31.5" customHeight="1">
      <c r="A239" s="2"/>
      <c r="B239" s="731"/>
      <c r="C239" s="8"/>
      <c r="D239" s="87"/>
      <c r="E239" s="8"/>
      <c r="F239" s="88"/>
      <c r="G239" s="28"/>
      <c r="H239" s="28"/>
      <c r="I239" s="89"/>
      <c r="J239" s="8"/>
      <c r="K239" s="88"/>
      <c r="L239" s="28"/>
      <c r="M239" s="28"/>
      <c r="N239" s="8"/>
      <c r="O239" s="8"/>
      <c r="P239" s="88"/>
      <c r="Q239" s="28"/>
      <c r="R239" s="28"/>
    </row>
    <row r="240" spans="1:18" s="170" customFormat="1">
      <c r="A240" s="2"/>
      <c r="B240" s="172"/>
      <c r="C240" s="8"/>
      <c r="D240" s="87"/>
      <c r="E240" s="10"/>
      <c r="F240" s="91"/>
      <c r="G240" s="92"/>
      <c r="H240" s="92"/>
      <c r="I240" s="10"/>
      <c r="J240" s="10"/>
      <c r="K240" s="91"/>
      <c r="L240" s="28"/>
      <c r="M240" s="28"/>
      <c r="N240" s="8"/>
      <c r="O240" s="8"/>
      <c r="P240" s="91"/>
      <c r="Q240" s="28"/>
      <c r="R240" s="28"/>
    </row>
    <row r="241" spans="1:18" s="170" customFormat="1">
      <c r="A241" s="2"/>
      <c r="B241" s="2"/>
      <c r="C241" s="8"/>
      <c r="D241" s="93"/>
      <c r="E241" s="94"/>
      <c r="F241" s="95"/>
      <c r="G241" s="95" t="s">
        <v>20</v>
      </c>
      <c r="H241" s="96">
        <f>SUM(H234:H240)</f>
        <v>8140</v>
      </c>
      <c r="I241" s="717"/>
      <c r="J241" s="717"/>
      <c r="K241" s="97"/>
      <c r="L241" s="95" t="s">
        <v>21</v>
      </c>
      <c r="M241" s="96">
        <f>SUM(M234:M240)</f>
        <v>5399.8221999999996</v>
      </c>
      <c r="N241" s="98"/>
      <c r="O241" s="97"/>
      <c r="P241" s="97"/>
      <c r="Q241" s="95" t="s">
        <v>22</v>
      </c>
      <c r="R241" s="96">
        <f>SUM(R234:R240)</f>
        <v>0</v>
      </c>
    </row>
    <row r="242" spans="1:18" s="170" customFormat="1">
      <c r="A242" s="2"/>
      <c r="B242" s="99" t="s">
        <v>13</v>
      </c>
      <c r="C242" s="97"/>
      <c r="D242" s="97"/>
      <c r="E242" s="97"/>
      <c r="F242" s="97"/>
      <c r="G242" s="95"/>
      <c r="H242" s="100">
        <f>M241+R241+H241</f>
        <v>13539.822199999999</v>
      </c>
      <c r="I242" s="101"/>
      <c r="J242" s="97"/>
      <c r="K242" s="97"/>
      <c r="L242" s="95"/>
      <c r="M242" s="102"/>
      <c r="N242" s="97"/>
      <c r="O242" s="97"/>
      <c r="P242" s="97"/>
      <c r="Q242" s="97"/>
      <c r="R242" s="101"/>
    </row>
    <row r="243" spans="1:18" s="170" customFormat="1">
      <c r="A243" s="2"/>
      <c r="B243" s="2" t="s">
        <v>25</v>
      </c>
      <c r="C243" s="87"/>
      <c r="D243" s="87"/>
      <c r="E243" s="87"/>
      <c r="F243" s="87"/>
      <c r="G243" s="103"/>
      <c r="H243" s="104">
        <v>0</v>
      </c>
      <c r="I243" s="105"/>
      <c r="J243" s="87" t="s">
        <v>26</v>
      </c>
      <c r="K243" s="87"/>
      <c r="L243" s="103"/>
      <c r="M243" s="106"/>
      <c r="N243" s="87"/>
      <c r="O243" s="87"/>
      <c r="P243" s="87"/>
      <c r="Q243" s="87"/>
      <c r="R243" s="105"/>
    </row>
    <row r="244" spans="1:18" s="170" customFormat="1">
      <c r="A244" s="23"/>
      <c r="B244" s="2" t="s">
        <v>14</v>
      </c>
      <c r="C244" s="87"/>
      <c r="D244" s="87"/>
      <c r="E244" s="87"/>
      <c r="F244" s="87"/>
      <c r="G244" s="103"/>
      <c r="H244" s="104">
        <f>SUM(H242:H243)</f>
        <v>13539.822199999999</v>
      </c>
      <c r="I244" s="105"/>
      <c r="J244" s="732"/>
      <c r="K244" s="733"/>
      <c r="L244" s="733"/>
      <c r="M244" s="733"/>
      <c r="N244" s="733"/>
      <c r="O244" s="733"/>
      <c r="P244" s="733"/>
      <c r="Q244" s="733"/>
      <c r="R244" s="734"/>
    </row>
    <row r="245" spans="1:18" s="170" customFormat="1">
      <c r="A245" s="23"/>
      <c r="B245" s="2" t="s">
        <v>24</v>
      </c>
      <c r="C245" s="87"/>
      <c r="D245" s="87"/>
      <c r="E245" s="87"/>
      <c r="F245" s="87"/>
      <c r="G245" s="103"/>
      <c r="H245" s="104">
        <f>H244*15%</f>
        <v>2030.9733299999998</v>
      </c>
      <c r="I245" s="105"/>
      <c r="J245" s="735"/>
      <c r="K245" s="736"/>
      <c r="L245" s="736"/>
      <c r="M245" s="736"/>
      <c r="N245" s="736"/>
      <c r="O245" s="736"/>
      <c r="P245" s="736"/>
      <c r="Q245" s="736"/>
      <c r="R245" s="737"/>
    </row>
    <row r="246" spans="1:18" s="170" customFormat="1">
      <c r="A246" s="23"/>
      <c r="B246" s="2" t="s">
        <v>15</v>
      </c>
      <c r="C246" s="87"/>
      <c r="D246" s="87"/>
      <c r="E246" s="87"/>
      <c r="F246" s="87"/>
      <c r="G246" s="107" t="s">
        <v>16</v>
      </c>
      <c r="H246" s="37">
        <f>H245+H244</f>
        <v>15570.795529999999</v>
      </c>
      <c r="I246" s="108" t="str">
        <f>CONCATENATE("per ",C234, C235)</f>
        <v>per 10sqm</v>
      </c>
      <c r="J246" s="735"/>
      <c r="K246" s="736"/>
      <c r="L246" s="736"/>
      <c r="M246" s="736"/>
      <c r="N246" s="736"/>
      <c r="O246" s="736"/>
      <c r="P246" s="736"/>
      <c r="Q246" s="736"/>
      <c r="R246" s="737"/>
    </row>
    <row r="247" spans="1:18" s="170" customFormat="1">
      <c r="A247" s="23"/>
      <c r="B247" s="2"/>
      <c r="C247" s="87"/>
      <c r="D247" s="87"/>
      <c r="E247" s="87"/>
      <c r="F247" s="87"/>
      <c r="G247" s="107" t="s">
        <v>16</v>
      </c>
      <c r="H247" s="37">
        <f>H246/C234</f>
        <v>1557.079553</v>
      </c>
      <c r="I247" s="108" t="str">
        <f>CONCATENATE("per ",C235)</f>
        <v>per sqm</v>
      </c>
      <c r="J247" s="735"/>
      <c r="K247" s="736"/>
      <c r="L247" s="736"/>
      <c r="M247" s="736"/>
      <c r="N247" s="736"/>
      <c r="O247" s="736"/>
      <c r="P247" s="736"/>
      <c r="Q247" s="736"/>
      <c r="R247" s="737"/>
    </row>
    <row r="248" spans="1:18" s="170" customFormat="1">
      <c r="A248" s="23"/>
      <c r="B248" s="2" t="s">
        <v>18</v>
      </c>
      <c r="C248" s="87" t="s">
        <v>19</v>
      </c>
      <c r="D248" s="87"/>
      <c r="E248" s="87"/>
      <c r="F248" s="87"/>
      <c r="G248" s="107" t="s">
        <v>16</v>
      </c>
      <c r="H248" s="37">
        <f>CEILING(H247,0.5)</f>
        <v>1557.5</v>
      </c>
      <c r="I248" s="108" t="str">
        <f>CONCATENATE("per ",C235)</f>
        <v>per sqm</v>
      </c>
      <c r="J248" s="735"/>
      <c r="K248" s="736"/>
      <c r="L248" s="736"/>
      <c r="M248" s="736"/>
      <c r="N248" s="736"/>
      <c r="O248" s="736"/>
      <c r="P248" s="736"/>
      <c r="Q248" s="736"/>
      <c r="R248" s="737"/>
    </row>
    <row r="249" spans="1:18" s="170" customFormat="1">
      <c r="A249" s="23"/>
      <c r="B249" s="2"/>
      <c r="C249" s="87"/>
      <c r="D249" s="87"/>
      <c r="E249" s="87"/>
      <c r="F249" s="87"/>
      <c r="G249" s="109" t="s">
        <v>17</v>
      </c>
      <c r="H249" s="37">
        <f>H248/exr</f>
        <v>11.98076923076923</v>
      </c>
      <c r="I249" s="108" t="str">
        <f>CONCATENATE("per ",C235)</f>
        <v>per sqm</v>
      </c>
      <c r="J249" s="738"/>
      <c r="K249" s="739"/>
      <c r="L249" s="739"/>
      <c r="M249" s="739"/>
      <c r="N249" s="739"/>
      <c r="O249" s="739"/>
      <c r="P249" s="739"/>
      <c r="Q249" s="739"/>
      <c r="R249" s="740"/>
    </row>
    <row r="250" spans="1:18" s="170" customFormat="1">
      <c r="A250" s="39"/>
      <c r="B250" s="40"/>
      <c r="C250" s="41"/>
      <c r="D250" s="41"/>
      <c r="E250" s="41"/>
      <c r="F250" s="41"/>
      <c r="G250" s="149" t="s">
        <v>460</v>
      </c>
      <c r="H250" s="150">
        <f>CEILING(SUM(M237)/H242,0.0025)</f>
        <v>4.7500000000000001E-2</v>
      </c>
      <c r="I250" s="42"/>
      <c r="J250" s="43"/>
      <c r="K250" s="43"/>
      <c r="L250" s="43"/>
      <c r="M250" s="43"/>
      <c r="N250" s="43"/>
      <c r="O250" s="43"/>
      <c r="P250" s="43"/>
      <c r="Q250" s="43"/>
      <c r="R250" s="44"/>
    </row>
    <row r="251" spans="1:18" s="170" customFormat="1"/>
    <row r="252" spans="1:18" s="170" customFormat="1">
      <c r="A252" s="693" t="s">
        <v>0</v>
      </c>
      <c r="B252" s="695" t="s">
        <v>1</v>
      </c>
      <c r="C252" s="695" t="s">
        <v>2</v>
      </c>
      <c r="D252" s="697" t="s">
        <v>3</v>
      </c>
      <c r="E252" s="698"/>
      <c r="F252" s="698"/>
      <c r="G252" s="698"/>
      <c r="H252" s="698"/>
      <c r="I252" s="699" t="s">
        <v>4</v>
      </c>
      <c r="J252" s="700"/>
      <c r="K252" s="700"/>
      <c r="L252" s="700"/>
      <c r="M252" s="700"/>
      <c r="N252" s="698" t="s">
        <v>5</v>
      </c>
      <c r="O252" s="698"/>
      <c r="P252" s="698"/>
      <c r="Q252" s="698"/>
      <c r="R252" s="698"/>
    </row>
    <row r="253" spans="1:18" s="170" customFormat="1">
      <c r="A253" s="694"/>
      <c r="B253" s="696"/>
      <c r="C253" s="696"/>
      <c r="D253" s="45" t="s">
        <v>6</v>
      </c>
      <c r="E253" s="46" t="s">
        <v>2</v>
      </c>
      <c r="F253" s="46" t="s">
        <v>7</v>
      </c>
      <c r="G253" s="46" t="s">
        <v>8</v>
      </c>
      <c r="H253" s="46" t="s">
        <v>9</v>
      </c>
      <c r="I253" s="46" t="s">
        <v>10</v>
      </c>
      <c r="J253" s="46" t="s">
        <v>2</v>
      </c>
      <c r="K253" s="46" t="s">
        <v>7</v>
      </c>
      <c r="L253" s="46" t="s">
        <v>8</v>
      </c>
      <c r="M253" s="47" t="s">
        <v>9</v>
      </c>
      <c r="N253" s="46" t="s">
        <v>10</v>
      </c>
      <c r="O253" s="46" t="s">
        <v>2</v>
      </c>
      <c r="P253" s="46" t="s">
        <v>7</v>
      </c>
      <c r="Q253" s="46" t="s">
        <v>8</v>
      </c>
      <c r="R253" s="46" t="s">
        <v>9</v>
      </c>
    </row>
    <row r="254" spans="1:18" s="170" customFormat="1">
      <c r="A254" s="33" t="s">
        <v>23</v>
      </c>
      <c r="B254" s="73" t="s">
        <v>624</v>
      </c>
      <c r="C254" s="31"/>
      <c r="D254" s="31"/>
      <c r="E254" s="31"/>
      <c r="F254" s="31"/>
      <c r="G254" s="31"/>
      <c r="H254" s="31"/>
      <c r="I254" s="31"/>
      <c r="J254" s="31"/>
      <c r="K254" s="31"/>
      <c r="L254" s="31"/>
      <c r="M254" s="31"/>
      <c r="N254" s="31"/>
      <c r="O254" s="31"/>
      <c r="P254" s="31"/>
      <c r="Q254" s="31"/>
      <c r="R254" s="32"/>
    </row>
    <row r="255" spans="1:18" s="170" customFormat="1">
      <c r="A255" s="34">
        <f>A234+1</f>
        <v>13</v>
      </c>
      <c r="B255" s="730" t="s">
        <v>635</v>
      </c>
      <c r="C255" s="145">
        <v>10</v>
      </c>
      <c r="D255" s="87"/>
      <c r="E255" s="8"/>
      <c r="F255" s="88"/>
      <c r="G255" s="28"/>
      <c r="H255" s="28"/>
      <c r="I255" s="8"/>
      <c r="J255" s="8"/>
      <c r="K255" s="88"/>
      <c r="L255" s="28"/>
      <c r="M255" s="28"/>
      <c r="N255" s="8"/>
      <c r="O255" s="8"/>
      <c r="P255" s="88"/>
      <c r="Q255" s="28"/>
      <c r="R255" s="28"/>
    </row>
    <row r="256" spans="1:18" s="170" customFormat="1">
      <c r="A256" s="2"/>
      <c r="B256" s="731"/>
      <c r="C256" s="171" t="s">
        <v>127</v>
      </c>
      <c r="D256" s="87"/>
      <c r="E256" s="8"/>
      <c r="F256" s="88"/>
      <c r="G256" s="28"/>
      <c r="H256" s="28"/>
      <c r="I256" s="89"/>
      <c r="J256" s="8"/>
      <c r="K256" s="88"/>
      <c r="L256" s="28"/>
      <c r="M256" s="28"/>
      <c r="N256" s="8"/>
      <c r="O256" s="8"/>
      <c r="P256" s="88"/>
      <c r="Q256" s="28"/>
      <c r="R256" s="28"/>
    </row>
    <row r="257" spans="1:18" s="170" customFormat="1">
      <c r="A257" s="2"/>
      <c r="B257" s="731"/>
      <c r="C257" s="8"/>
      <c r="D257" s="87"/>
      <c r="E257" s="8"/>
      <c r="F257" s="88"/>
      <c r="G257" s="28"/>
      <c r="H257" s="28"/>
      <c r="I257" s="89"/>
      <c r="J257" s="8"/>
      <c r="K257" s="88"/>
      <c r="L257" s="28"/>
      <c r="M257" s="28"/>
      <c r="N257" s="8"/>
      <c r="O257" s="8"/>
      <c r="P257" s="88"/>
      <c r="Q257" s="28"/>
      <c r="R257" s="28"/>
    </row>
    <row r="258" spans="1:18" s="170" customFormat="1">
      <c r="A258" s="2"/>
      <c r="B258" s="731"/>
      <c r="C258" s="8"/>
      <c r="D258" s="87"/>
      <c r="E258" s="8"/>
      <c r="F258" s="88"/>
      <c r="G258" s="28"/>
      <c r="H258" s="28"/>
      <c r="I258" s="89"/>
      <c r="J258" s="8"/>
      <c r="K258" s="88"/>
      <c r="L258" s="28"/>
      <c r="M258" s="28"/>
      <c r="N258" s="8"/>
      <c r="O258" s="8"/>
      <c r="P258" s="88"/>
      <c r="Q258" s="28"/>
      <c r="R258" s="28"/>
    </row>
    <row r="259" spans="1:18" s="170" customFormat="1">
      <c r="A259" s="2"/>
      <c r="B259" s="731"/>
      <c r="C259" s="8"/>
      <c r="D259" s="87"/>
      <c r="E259" s="8"/>
      <c r="F259" s="88"/>
      <c r="G259" s="28"/>
      <c r="H259" s="28"/>
      <c r="I259" s="89"/>
      <c r="J259" s="8"/>
      <c r="K259" s="88"/>
      <c r="L259" s="28"/>
      <c r="M259" s="28"/>
      <c r="N259" s="8"/>
      <c r="O259" s="8"/>
      <c r="P259" s="88"/>
      <c r="Q259" s="28"/>
      <c r="R259" s="28"/>
    </row>
    <row r="260" spans="1:18" s="170" customFormat="1" ht="31.5" customHeight="1">
      <c r="A260" s="2"/>
      <c r="B260" s="731"/>
      <c r="C260" s="8"/>
      <c r="D260" s="87"/>
      <c r="E260" s="8"/>
      <c r="F260" s="88"/>
      <c r="G260" s="28"/>
      <c r="H260" s="28"/>
      <c r="I260" s="89"/>
      <c r="J260" s="8"/>
      <c r="K260" s="88"/>
      <c r="L260" s="28"/>
      <c r="M260" s="28"/>
      <c r="N260" s="8"/>
      <c r="O260" s="8"/>
      <c r="P260" s="88"/>
      <c r="Q260" s="28"/>
      <c r="R260" s="28"/>
    </row>
    <row r="261" spans="1:18" s="170" customFormat="1">
      <c r="A261" s="2"/>
      <c r="B261" s="172"/>
      <c r="C261" s="8"/>
      <c r="D261" s="87"/>
      <c r="E261" s="10"/>
      <c r="F261" s="91"/>
      <c r="G261" s="92"/>
      <c r="H261" s="92"/>
      <c r="I261" s="10"/>
      <c r="J261" s="10"/>
      <c r="K261" s="91"/>
      <c r="L261" s="28"/>
      <c r="M261" s="28"/>
      <c r="N261" s="8"/>
      <c r="O261" s="8"/>
      <c r="P261" s="91"/>
      <c r="Q261" s="28"/>
      <c r="R261" s="28"/>
    </row>
    <row r="262" spans="1:18" s="170" customFormat="1">
      <c r="A262" s="2"/>
      <c r="B262" s="2"/>
      <c r="C262" s="8"/>
      <c r="D262" s="93"/>
      <c r="E262" s="94"/>
      <c r="F262" s="95"/>
      <c r="G262" s="95" t="s">
        <v>20</v>
      </c>
      <c r="H262" s="96">
        <f>SUM(H255:H261)</f>
        <v>0</v>
      </c>
      <c r="I262" s="717"/>
      <c r="J262" s="717"/>
      <c r="K262" s="97"/>
      <c r="L262" s="95" t="s">
        <v>21</v>
      </c>
      <c r="M262" s="96">
        <f>SUM(M255:M261)</f>
        <v>0</v>
      </c>
      <c r="N262" s="98"/>
      <c r="O262" s="97"/>
      <c r="P262" s="97"/>
      <c r="Q262" s="95" t="s">
        <v>22</v>
      </c>
      <c r="R262" s="96">
        <f>SUM(R255:R261)</f>
        <v>0</v>
      </c>
    </row>
    <row r="263" spans="1:18" s="170" customFormat="1">
      <c r="A263" s="2"/>
      <c r="B263" s="99" t="s">
        <v>13</v>
      </c>
      <c r="C263" s="97"/>
      <c r="D263" s="97"/>
      <c r="E263" s="97"/>
      <c r="F263" s="97"/>
      <c r="G263" s="95"/>
      <c r="H263" s="100">
        <f>M262+R262+H262</f>
        <v>0</v>
      </c>
      <c r="I263" s="101"/>
      <c r="J263" s="97"/>
      <c r="K263" s="97"/>
      <c r="L263" s="95"/>
      <c r="M263" s="102"/>
      <c r="N263" s="97"/>
      <c r="O263" s="97"/>
      <c r="P263" s="97"/>
      <c r="Q263" s="97"/>
      <c r="R263" s="101"/>
    </row>
    <row r="264" spans="1:18" s="170" customFormat="1">
      <c r="A264" s="2"/>
      <c r="B264" s="2" t="s">
        <v>25</v>
      </c>
      <c r="C264" s="87"/>
      <c r="D264" s="87"/>
      <c r="E264" s="87"/>
      <c r="F264" s="87"/>
      <c r="G264" s="103"/>
      <c r="H264" s="104">
        <v>0</v>
      </c>
      <c r="I264" s="105"/>
      <c r="J264" s="87" t="s">
        <v>26</v>
      </c>
      <c r="K264" s="87"/>
      <c r="L264" s="103"/>
      <c r="M264" s="106"/>
      <c r="N264" s="87"/>
      <c r="O264" s="87"/>
      <c r="P264" s="87"/>
      <c r="Q264" s="87"/>
      <c r="R264" s="105"/>
    </row>
    <row r="265" spans="1:18" s="170" customFormat="1">
      <c r="A265" s="23"/>
      <c r="B265" s="2" t="s">
        <v>14</v>
      </c>
      <c r="C265" s="87"/>
      <c r="D265" s="87"/>
      <c r="E265" s="87"/>
      <c r="F265" s="87"/>
      <c r="G265" s="103"/>
      <c r="H265" s="104">
        <f>SUM(H263:H264)</f>
        <v>0</v>
      </c>
      <c r="I265" s="105"/>
      <c r="J265" s="732" t="s">
        <v>239</v>
      </c>
      <c r="K265" s="733"/>
      <c r="L265" s="733"/>
      <c r="M265" s="733"/>
      <c r="N265" s="733"/>
      <c r="O265" s="733"/>
      <c r="P265" s="733"/>
      <c r="Q265" s="733"/>
      <c r="R265" s="734"/>
    </row>
    <row r="266" spans="1:18" s="170" customFormat="1">
      <c r="A266" s="23"/>
      <c r="B266" s="2" t="s">
        <v>24</v>
      </c>
      <c r="C266" s="87"/>
      <c r="D266" s="87"/>
      <c r="E266" s="87"/>
      <c r="F266" s="87"/>
      <c r="G266" s="103"/>
      <c r="H266" s="104">
        <f>H265*15%</f>
        <v>0</v>
      </c>
      <c r="I266" s="105"/>
      <c r="J266" s="735"/>
      <c r="K266" s="736"/>
      <c r="L266" s="736"/>
      <c r="M266" s="736"/>
      <c r="N266" s="736"/>
      <c r="O266" s="736"/>
      <c r="P266" s="736"/>
      <c r="Q266" s="736"/>
      <c r="R266" s="737"/>
    </row>
    <row r="267" spans="1:18" s="170" customFormat="1">
      <c r="A267" s="23"/>
      <c r="B267" s="2" t="s">
        <v>15</v>
      </c>
      <c r="C267" s="87"/>
      <c r="D267" s="87"/>
      <c r="E267" s="87"/>
      <c r="F267" s="87"/>
      <c r="G267" s="107" t="s">
        <v>16</v>
      </c>
      <c r="H267" s="37">
        <f>H266+H265</f>
        <v>0</v>
      </c>
      <c r="I267" s="108" t="str">
        <f>CONCATENATE("per ",C255, C256)</f>
        <v>per 10sqm</v>
      </c>
      <c r="J267" s="735"/>
      <c r="K267" s="736"/>
      <c r="L267" s="736"/>
      <c r="M267" s="736"/>
      <c r="N267" s="736"/>
      <c r="O267" s="736"/>
      <c r="P267" s="736"/>
      <c r="Q267" s="736"/>
      <c r="R267" s="737"/>
    </row>
    <row r="268" spans="1:18" s="170" customFormat="1">
      <c r="A268" s="23"/>
      <c r="B268" s="2"/>
      <c r="C268" s="87"/>
      <c r="D268" s="87"/>
      <c r="E268" s="87"/>
      <c r="F268" s="87"/>
      <c r="G268" s="107" t="s">
        <v>16</v>
      </c>
      <c r="H268" s="37">
        <f>H267/C255</f>
        <v>0</v>
      </c>
      <c r="I268" s="108" t="str">
        <f>CONCATENATE("per ",C256)</f>
        <v>per sqm</v>
      </c>
      <c r="J268" s="735"/>
      <c r="K268" s="736"/>
      <c r="L268" s="736"/>
      <c r="M268" s="736"/>
      <c r="N268" s="736"/>
      <c r="O268" s="736"/>
      <c r="P268" s="736"/>
      <c r="Q268" s="736"/>
      <c r="R268" s="737"/>
    </row>
    <row r="269" spans="1:18" s="170" customFormat="1">
      <c r="A269" s="23"/>
      <c r="B269" s="2" t="s">
        <v>18</v>
      </c>
      <c r="C269" s="87" t="s">
        <v>19</v>
      </c>
      <c r="D269" s="87"/>
      <c r="E269" s="87"/>
      <c r="F269" s="87"/>
      <c r="G269" s="107" t="s">
        <v>16</v>
      </c>
      <c r="H269" s="37">
        <f>CEILING(H268,0.5)</f>
        <v>0</v>
      </c>
      <c r="I269" s="108" t="str">
        <f>CONCATENATE("per ",C256)</f>
        <v>per sqm</v>
      </c>
      <c r="J269" s="735"/>
      <c r="K269" s="736"/>
      <c r="L269" s="736"/>
      <c r="M269" s="736"/>
      <c r="N269" s="736"/>
      <c r="O269" s="736"/>
      <c r="P269" s="736"/>
      <c r="Q269" s="736"/>
      <c r="R269" s="737"/>
    </row>
    <row r="270" spans="1:18" s="170" customFormat="1">
      <c r="A270" s="23"/>
      <c r="B270" s="2"/>
      <c r="C270" s="87"/>
      <c r="D270" s="87"/>
      <c r="E270" s="87"/>
      <c r="F270" s="87"/>
      <c r="G270" s="109" t="s">
        <v>17</v>
      </c>
      <c r="H270" s="37">
        <f>H269/exr</f>
        <v>0</v>
      </c>
      <c r="I270" s="108" t="str">
        <f>CONCATENATE("per ",C256)</f>
        <v>per sqm</v>
      </c>
      <c r="J270" s="738"/>
      <c r="K270" s="739"/>
      <c r="L270" s="739"/>
      <c r="M270" s="739"/>
      <c r="N270" s="739"/>
      <c r="O270" s="739"/>
      <c r="P270" s="739"/>
      <c r="Q270" s="739"/>
      <c r="R270" s="740"/>
    </row>
    <row r="271" spans="1:18" s="170" customFormat="1">
      <c r="A271" s="39"/>
      <c r="B271" s="40"/>
      <c r="C271" s="41"/>
      <c r="D271" s="41"/>
      <c r="E271" s="41"/>
      <c r="F271" s="41"/>
      <c r="G271" s="149" t="s">
        <v>460</v>
      </c>
      <c r="H271" s="150">
        <f>CEILING(0,0.0025)</f>
        <v>0</v>
      </c>
      <c r="I271" s="42"/>
      <c r="J271" s="43"/>
      <c r="K271" s="43"/>
      <c r="L271" s="43"/>
      <c r="M271" s="43"/>
      <c r="N271" s="43"/>
      <c r="O271" s="43"/>
      <c r="P271" s="43"/>
      <c r="Q271" s="43"/>
      <c r="R271" s="44"/>
    </row>
    <row r="272" spans="1:18" s="170" customFormat="1"/>
    <row r="273" spans="1:18" s="170" customFormat="1">
      <c r="A273" s="693" t="s">
        <v>0</v>
      </c>
      <c r="B273" s="695" t="s">
        <v>1</v>
      </c>
      <c r="C273" s="695" t="s">
        <v>2</v>
      </c>
      <c r="D273" s="697" t="s">
        <v>3</v>
      </c>
      <c r="E273" s="698"/>
      <c r="F273" s="698"/>
      <c r="G273" s="698"/>
      <c r="H273" s="698"/>
      <c r="I273" s="699" t="s">
        <v>4</v>
      </c>
      <c r="J273" s="700"/>
      <c r="K273" s="700"/>
      <c r="L273" s="700"/>
      <c r="M273" s="700"/>
      <c r="N273" s="698" t="s">
        <v>5</v>
      </c>
      <c r="O273" s="698"/>
      <c r="P273" s="698"/>
      <c r="Q273" s="698"/>
      <c r="R273" s="698"/>
    </row>
    <row r="274" spans="1:18" s="170" customFormat="1">
      <c r="A274" s="694"/>
      <c r="B274" s="696"/>
      <c r="C274" s="696"/>
      <c r="D274" s="45" t="s">
        <v>6</v>
      </c>
      <c r="E274" s="46" t="s">
        <v>2</v>
      </c>
      <c r="F274" s="46" t="s">
        <v>7</v>
      </c>
      <c r="G274" s="46" t="s">
        <v>8</v>
      </c>
      <c r="H274" s="46" t="s">
        <v>9</v>
      </c>
      <c r="I274" s="46" t="s">
        <v>10</v>
      </c>
      <c r="J274" s="46" t="s">
        <v>2</v>
      </c>
      <c r="K274" s="46" t="s">
        <v>7</v>
      </c>
      <c r="L274" s="46" t="s">
        <v>8</v>
      </c>
      <c r="M274" s="47" t="s">
        <v>9</v>
      </c>
      <c r="N274" s="46" t="s">
        <v>10</v>
      </c>
      <c r="O274" s="46" t="s">
        <v>2</v>
      </c>
      <c r="P274" s="46" t="s">
        <v>7</v>
      </c>
      <c r="Q274" s="46" t="s">
        <v>8</v>
      </c>
      <c r="R274" s="46" t="s">
        <v>9</v>
      </c>
    </row>
    <row r="275" spans="1:18" s="170" customFormat="1">
      <c r="A275" s="33" t="s">
        <v>23</v>
      </c>
      <c r="B275" s="73" t="s">
        <v>625</v>
      </c>
      <c r="C275" s="31"/>
      <c r="D275" s="31"/>
      <c r="E275" s="31"/>
      <c r="F275" s="31"/>
      <c r="G275" s="31"/>
      <c r="H275" s="31"/>
      <c r="I275" s="31"/>
      <c r="J275" s="31"/>
      <c r="K275" s="31"/>
      <c r="L275" s="31"/>
      <c r="M275" s="31"/>
      <c r="N275" s="31"/>
      <c r="O275" s="31"/>
      <c r="P275" s="31"/>
      <c r="Q275" s="31"/>
      <c r="R275" s="32"/>
    </row>
    <row r="276" spans="1:18" s="170" customFormat="1">
      <c r="A276" s="34">
        <f>A255+1</f>
        <v>14</v>
      </c>
      <c r="B276" s="730" t="s">
        <v>626</v>
      </c>
      <c r="C276" s="145">
        <v>10</v>
      </c>
      <c r="D276" s="87"/>
      <c r="E276" s="8"/>
      <c r="F276" s="88"/>
      <c r="G276" s="28"/>
      <c r="H276" s="28"/>
      <c r="I276" s="8"/>
      <c r="J276" s="8"/>
      <c r="K276" s="88"/>
      <c r="L276" s="28"/>
      <c r="M276" s="28"/>
      <c r="N276" s="8"/>
      <c r="O276" s="8"/>
      <c r="P276" s="88"/>
      <c r="Q276" s="28"/>
      <c r="R276" s="28"/>
    </row>
    <row r="277" spans="1:18" s="170" customFormat="1">
      <c r="A277" s="2"/>
      <c r="B277" s="731"/>
      <c r="C277" s="171" t="s">
        <v>127</v>
      </c>
      <c r="D277" s="87" t="s">
        <v>96</v>
      </c>
      <c r="E277" s="8" t="s">
        <v>81</v>
      </c>
      <c r="F277" s="88">
        <v>3.6</v>
      </c>
      <c r="G277" s="28">
        <f>sr</f>
        <v>1100</v>
      </c>
      <c r="H277" s="28">
        <f>F277*G277</f>
        <v>3960</v>
      </c>
      <c r="I277" s="89" t="s">
        <v>234</v>
      </c>
      <c r="J277" s="8" t="s">
        <v>127</v>
      </c>
      <c r="K277" s="88">
        <f>11/6</f>
        <v>1.8333333333333333</v>
      </c>
      <c r="L277" s="28">
        <f>plywood</f>
        <v>420.36</v>
      </c>
      <c r="M277" s="28">
        <f>K277*L277</f>
        <v>770.66</v>
      </c>
      <c r="N277" s="8"/>
      <c r="O277" s="8"/>
      <c r="P277" s="88"/>
      <c r="Q277" s="28"/>
      <c r="R277" s="28"/>
    </row>
    <row r="278" spans="1:18" s="170" customFormat="1">
      <c r="A278" s="2"/>
      <c r="B278" s="731"/>
      <c r="C278" s="8"/>
      <c r="D278" s="87" t="s">
        <v>97</v>
      </c>
      <c r="E278" s="8" t="s">
        <v>81</v>
      </c>
      <c r="F278" s="88">
        <v>3.3</v>
      </c>
      <c r="G278" s="28">
        <f>ur</f>
        <v>850</v>
      </c>
      <c r="H278" s="28">
        <f>F278*G278</f>
        <v>2805</v>
      </c>
      <c r="I278" s="89" t="s">
        <v>231</v>
      </c>
      <c r="J278" s="8" t="s">
        <v>11</v>
      </c>
      <c r="K278" s="88">
        <f>0.75/12</f>
        <v>6.25E-2</v>
      </c>
      <c r="L278" s="154">
        <f>AVERAGE(timber,planks)</f>
        <v>64135.06</v>
      </c>
      <c r="M278" s="28">
        <f>K278*L278</f>
        <v>4008.4412499999999</v>
      </c>
      <c r="N278" s="8"/>
      <c r="O278" s="8"/>
      <c r="P278" s="88"/>
      <c r="Q278" s="28"/>
      <c r="R278" s="28"/>
    </row>
    <row r="279" spans="1:18" s="170" customFormat="1">
      <c r="A279" s="2"/>
      <c r="B279" s="731"/>
      <c r="C279" s="8"/>
      <c r="D279" s="87"/>
      <c r="E279" s="8"/>
      <c r="F279" s="88"/>
      <c r="G279" s="28"/>
      <c r="H279" s="28"/>
      <c r="I279" s="89" t="s">
        <v>232</v>
      </c>
      <c r="J279" s="8" t="s">
        <v>28</v>
      </c>
      <c r="K279" s="88">
        <v>5</v>
      </c>
      <c r="L279" s="28">
        <f>nails/1000</f>
        <v>124.14419000000001</v>
      </c>
      <c r="M279" s="28">
        <f>K279*L279</f>
        <v>620.72095000000002</v>
      </c>
      <c r="N279" s="8"/>
      <c r="O279" s="8"/>
      <c r="P279" s="88"/>
      <c r="Q279" s="28"/>
      <c r="R279" s="28"/>
    </row>
    <row r="280" spans="1:18" s="170" customFormat="1">
      <c r="A280" s="2"/>
      <c r="B280" s="731"/>
      <c r="C280" s="8"/>
      <c r="D280" s="87"/>
      <c r="E280" s="8"/>
      <c r="F280" s="88"/>
      <c r="G280" s="28"/>
      <c r="H280" s="28"/>
      <c r="I280" s="89"/>
      <c r="J280" s="8"/>
      <c r="K280" s="88"/>
      <c r="L280" s="28"/>
      <c r="M280" s="28"/>
      <c r="N280" s="8"/>
      <c r="O280" s="8"/>
      <c r="P280" s="88"/>
      <c r="Q280" s="28"/>
      <c r="R280" s="28"/>
    </row>
    <row r="281" spans="1:18" s="170" customFormat="1" ht="18" customHeight="1">
      <c r="A281" s="2"/>
      <c r="B281" s="731"/>
      <c r="C281" s="8"/>
      <c r="D281" s="87"/>
      <c r="E281" s="8"/>
      <c r="F281" s="88"/>
      <c r="G281" s="28"/>
      <c r="H281" s="28"/>
      <c r="I281" s="89"/>
      <c r="J281" s="8"/>
      <c r="K281" s="88"/>
      <c r="L281" s="28"/>
      <c r="M281" s="28"/>
      <c r="N281" s="8"/>
      <c r="O281" s="8"/>
      <c r="P281" s="88"/>
      <c r="Q281" s="28"/>
      <c r="R281" s="28"/>
    </row>
    <row r="282" spans="1:18" s="170" customFormat="1">
      <c r="A282" s="2"/>
      <c r="B282" s="172"/>
      <c r="C282" s="8"/>
      <c r="D282" s="87"/>
      <c r="E282" s="10"/>
      <c r="F282" s="91"/>
      <c r="G282" s="92"/>
      <c r="H282" s="92"/>
      <c r="I282" s="10"/>
      <c r="J282" s="10"/>
      <c r="K282" s="91"/>
      <c r="L282" s="28"/>
      <c r="M282" s="28"/>
      <c r="N282" s="8"/>
      <c r="O282" s="8"/>
      <c r="P282" s="91"/>
      <c r="Q282" s="28"/>
      <c r="R282" s="28"/>
    </row>
    <row r="283" spans="1:18" s="170" customFormat="1">
      <c r="A283" s="2"/>
      <c r="B283" s="2"/>
      <c r="C283" s="8"/>
      <c r="D283" s="93"/>
      <c r="E283" s="94"/>
      <c r="F283" s="95"/>
      <c r="G283" s="95" t="s">
        <v>20</v>
      </c>
      <c r="H283" s="96">
        <f>SUM(H276:H282)</f>
        <v>6765</v>
      </c>
      <c r="I283" s="717"/>
      <c r="J283" s="717"/>
      <c r="K283" s="97"/>
      <c r="L283" s="95" t="s">
        <v>21</v>
      </c>
      <c r="M283" s="96">
        <f>SUM(M276:M282)</f>
        <v>5399.8221999999996</v>
      </c>
      <c r="N283" s="98"/>
      <c r="O283" s="97"/>
      <c r="P283" s="97"/>
      <c r="Q283" s="95" t="s">
        <v>22</v>
      </c>
      <c r="R283" s="96">
        <f>SUM(R276:R282)</f>
        <v>0</v>
      </c>
    </row>
    <row r="284" spans="1:18" s="170" customFormat="1">
      <c r="A284" s="2"/>
      <c r="B284" s="99" t="s">
        <v>13</v>
      </c>
      <c r="C284" s="97"/>
      <c r="D284" s="97"/>
      <c r="E284" s="97"/>
      <c r="F284" s="97"/>
      <c r="G284" s="95"/>
      <c r="H284" s="100">
        <f>M283+R283+H283</f>
        <v>12164.822199999999</v>
      </c>
      <c r="I284" s="101"/>
      <c r="J284" s="97"/>
      <c r="K284" s="97"/>
      <c r="L284" s="95"/>
      <c r="M284" s="102"/>
      <c r="N284" s="97"/>
      <c r="O284" s="97"/>
      <c r="P284" s="97"/>
      <c r="Q284" s="97"/>
      <c r="R284" s="101"/>
    </row>
    <row r="285" spans="1:18" s="170" customFormat="1">
      <c r="A285" s="2"/>
      <c r="B285" s="2" t="s">
        <v>25</v>
      </c>
      <c r="C285" s="87"/>
      <c r="D285" s="87"/>
      <c r="E285" s="87"/>
      <c r="F285" s="87"/>
      <c r="G285" s="103"/>
      <c r="H285" s="104">
        <v>0</v>
      </c>
      <c r="I285" s="105"/>
      <c r="J285" s="87" t="s">
        <v>26</v>
      </c>
      <c r="K285" s="87"/>
      <c r="L285" s="103"/>
      <c r="M285" s="106"/>
      <c r="N285" s="87"/>
      <c r="O285" s="87"/>
      <c r="P285" s="87"/>
      <c r="Q285" s="87"/>
      <c r="R285" s="105"/>
    </row>
    <row r="286" spans="1:18" s="170" customFormat="1">
      <c r="A286" s="23"/>
      <c r="B286" s="2" t="s">
        <v>14</v>
      </c>
      <c r="C286" s="87"/>
      <c r="D286" s="87"/>
      <c r="E286" s="87"/>
      <c r="F286" s="87"/>
      <c r="G286" s="103"/>
      <c r="H286" s="104">
        <f>SUM(H284:H285)</f>
        <v>12164.822199999999</v>
      </c>
      <c r="I286" s="105"/>
      <c r="J286" s="732"/>
      <c r="K286" s="733"/>
      <c r="L286" s="733"/>
      <c r="M286" s="733"/>
      <c r="N286" s="733"/>
      <c r="O286" s="733"/>
      <c r="P286" s="733"/>
      <c r="Q286" s="733"/>
      <c r="R286" s="734"/>
    </row>
    <row r="287" spans="1:18" s="170" customFormat="1">
      <c r="A287" s="23"/>
      <c r="B287" s="2" t="s">
        <v>24</v>
      </c>
      <c r="C287" s="87"/>
      <c r="D287" s="87"/>
      <c r="E287" s="87"/>
      <c r="F287" s="87"/>
      <c r="G287" s="103"/>
      <c r="H287" s="104">
        <f>H286*15%</f>
        <v>1824.7233299999998</v>
      </c>
      <c r="I287" s="105"/>
      <c r="J287" s="735"/>
      <c r="K287" s="736"/>
      <c r="L287" s="736"/>
      <c r="M287" s="736"/>
      <c r="N287" s="736"/>
      <c r="O287" s="736"/>
      <c r="P287" s="736"/>
      <c r="Q287" s="736"/>
      <c r="R287" s="737"/>
    </row>
    <row r="288" spans="1:18" s="170" customFormat="1">
      <c r="A288" s="23"/>
      <c r="B288" s="2" t="s">
        <v>15</v>
      </c>
      <c r="C288" s="87"/>
      <c r="D288" s="87"/>
      <c r="E288" s="87"/>
      <c r="F288" s="87"/>
      <c r="G288" s="107" t="s">
        <v>16</v>
      </c>
      <c r="H288" s="37">
        <f>H287+H286</f>
        <v>13989.545529999999</v>
      </c>
      <c r="I288" s="108" t="str">
        <f>CONCATENATE("per ",C276, C277)</f>
        <v>per 10sqm</v>
      </c>
      <c r="J288" s="735"/>
      <c r="K288" s="736"/>
      <c r="L288" s="736"/>
      <c r="M288" s="736"/>
      <c r="N288" s="736"/>
      <c r="O288" s="736"/>
      <c r="P288" s="736"/>
      <c r="Q288" s="736"/>
      <c r="R288" s="737"/>
    </row>
    <row r="289" spans="1:18" s="170" customFormat="1">
      <c r="A289" s="23"/>
      <c r="B289" s="2"/>
      <c r="C289" s="87"/>
      <c r="D289" s="87"/>
      <c r="E289" s="87"/>
      <c r="F289" s="87"/>
      <c r="G289" s="107" t="s">
        <v>16</v>
      </c>
      <c r="H289" s="37">
        <f>H288/C276</f>
        <v>1398.954553</v>
      </c>
      <c r="I289" s="108" t="str">
        <f>CONCATENATE("per ",C277)</f>
        <v>per sqm</v>
      </c>
      <c r="J289" s="735"/>
      <c r="K289" s="736"/>
      <c r="L289" s="736"/>
      <c r="M289" s="736"/>
      <c r="N289" s="736"/>
      <c r="O289" s="736"/>
      <c r="P289" s="736"/>
      <c r="Q289" s="736"/>
      <c r="R289" s="737"/>
    </row>
    <row r="290" spans="1:18" s="170" customFormat="1">
      <c r="A290" s="23"/>
      <c r="B290" s="2" t="s">
        <v>18</v>
      </c>
      <c r="C290" s="87" t="s">
        <v>19</v>
      </c>
      <c r="D290" s="87"/>
      <c r="E290" s="87"/>
      <c r="F290" s="87"/>
      <c r="G290" s="107" t="s">
        <v>16</v>
      </c>
      <c r="H290" s="37">
        <f>CEILING(H289,0.5)</f>
        <v>1399</v>
      </c>
      <c r="I290" s="108" t="str">
        <f>CONCATENATE("per ",C277)</f>
        <v>per sqm</v>
      </c>
      <c r="J290" s="735"/>
      <c r="K290" s="736"/>
      <c r="L290" s="736"/>
      <c r="M290" s="736"/>
      <c r="N290" s="736"/>
      <c r="O290" s="736"/>
      <c r="P290" s="736"/>
      <c r="Q290" s="736"/>
      <c r="R290" s="737"/>
    </row>
    <row r="291" spans="1:18" s="170" customFormat="1">
      <c r="A291" s="23"/>
      <c r="B291" s="2"/>
      <c r="C291" s="87"/>
      <c r="D291" s="87"/>
      <c r="E291" s="87"/>
      <c r="F291" s="87"/>
      <c r="G291" s="109" t="s">
        <v>17</v>
      </c>
      <c r="H291" s="37">
        <f>H290/exr</f>
        <v>10.761538461538462</v>
      </c>
      <c r="I291" s="108" t="str">
        <f>CONCATENATE("per ",C277)</f>
        <v>per sqm</v>
      </c>
      <c r="J291" s="738"/>
      <c r="K291" s="739"/>
      <c r="L291" s="739"/>
      <c r="M291" s="739"/>
      <c r="N291" s="739"/>
      <c r="O291" s="739"/>
      <c r="P291" s="739"/>
      <c r="Q291" s="739"/>
      <c r="R291" s="740"/>
    </row>
    <row r="292" spans="1:18" s="170" customFormat="1">
      <c r="A292" s="39"/>
      <c r="B292" s="40"/>
      <c r="C292" s="41"/>
      <c r="D292" s="41"/>
      <c r="E292" s="41"/>
      <c r="F292" s="41"/>
      <c r="G292" s="149" t="s">
        <v>460</v>
      </c>
      <c r="H292" s="150">
        <f>CEILING(SUM(M279)/H284,0.0025)</f>
        <v>5.2499999999999998E-2</v>
      </c>
      <c r="I292" s="42"/>
      <c r="J292" s="43"/>
      <c r="K292" s="43"/>
      <c r="L292" s="43"/>
      <c r="M292" s="43"/>
      <c r="N292" s="43"/>
      <c r="O292" s="43"/>
      <c r="P292" s="43"/>
      <c r="Q292" s="43"/>
      <c r="R292" s="44"/>
    </row>
    <row r="293" spans="1:18" s="170" customFormat="1"/>
    <row r="294" spans="1:18" s="170" customFormat="1">
      <c r="A294" s="693" t="s">
        <v>0</v>
      </c>
      <c r="B294" s="695" t="s">
        <v>1</v>
      </c>
      <c r="C294" s="695" t="s">
        <v>2</v>
      </c>
      <c r="D294" s="697" t="s">
        <v>3</v>
      </c>
      <c r="E294" s="698"/>
      <c r="F294" s="698"/>
      <c r="G294" s="698"/>
      <c r="H294" s="698"/>
      <c r="I294" s="699" t="s">
        <v>4</v>
      </c>
      <c r="J294" s="700"/>
      <c r="K294" s="700"/>
      <c r="L294" s="700"/>
      <c r="M294" s="700"/>
      <c r="N294" s="698" t="s">
        <v>5</v>
      </c>
      <c r="O294" s="698"/>
      <c r="P294" s="698"/>
      <c r="Q294" s="698"/>
      <c r="R294" s="698"/>
    </row>
    <row r="295" spans="1:18" s="170" customFormat="1">
      <c r="A295" s="694"/>
      <c r="B295" s="696"/>
      <c r="C295" s="696"/>
      <c r="D295" s="45" t="s">
        <v>6</v>
      </c>
      <c r="E295" s="46" t="s">
        <v>2</v>
      </c>
      <c r="F295" s="46" t="s">
        <v>7</v>
      </c>
      <c r="G295" s="46" t="s">
        <v>8</v>
      </c>
      <c r="H295" s="46" t="s">
        <v>9</v>
      </c>
      <c r="I295" s="46" t="s">
        <v>10</v>
      </c>
      <c r="J295" s="46" t="s">
        <v>2</v>
      </c>
      <c r="K295" s="46" t="s">
        <v>7</v>
      </c>
      <c r="L295" s="46" t="s">
        <v>8</v>
      </c>
      <c r="M295" s="47" t="s">
        <v>9</v>
      </c>
      <c r="N295" s="46" t="s">
        <v>10</v>
      </c>
      <c r="O295" s="46" t="s">
        <v>2</v>
      </c>
      <c r="P295" s="46" t="s">
        <v>7</v>
      </c>
      <c r="Q295" s="46" t="s">
        <v>8</v>
      </c>
      <c r="R295" s="46" t="s">
        <v>9</v>
      </c>
    </row>
    <row r="296" spans="1:18" s="170" customFormat="1">
      <c r="A296" s="33" t="s">
        <v>23</v>
      </c>
      <c r="B296" s="73" t="s">
        <v>627</v>
      </c>
      <c r="C296" s="31"/>
      <c r="D296" s="31"/>
      <c r="E296" s="31"/>
      <c r="F296" s="31"/>
      <c r="G296" s="31"/>
      <c r="H296" s="31"/>
      <c r="I296" s="31"/>
      <c r="J296" s="31"/>
      <c r="K296" s="31"/>
      <c r="L296" s="31"/>
      <c r="M296" s="31"/>
      <c r="N296" s="31"/>
      <c r="O296" s="31"/>
      <c r="P296" s="31"/>
      <c r="Q296" s="31"/>
      <c r="R296" s="32"/>
    </row>
    <row r="297" spans="1:18" s="170" customFormat="1">
      <c r="A297" s="34">
        <f>A276+1</f>
        <v>15</v>
      </c>
      <c r="B297" s="730" t="s">
        <v>628</v>
      </c>
      <c r="C297" s="145">
        <v>10</v>
      </c>
      <c r="D297" s="87"/>
      <c r="E297" s="8"/>
      <c r="F297" s="88"/>
      <c r="G297" s="28"/>
      <c r="H297" s="28"/>
      <c r="I297" s="8"/>
      <c r="J297" s="8"/>
      <c r="K297" s="88"/>
      <c r="L297" s="28"/>
      <c r="M297" s="28"/>
      <c r="N297" s="8"/>
      <c r="O297" s="8"/>
      <c r="P297" s="88"/>
      <c r="Q297" s="28"/>
      <c r="R297" s="28"/>
    </row>
    <row r="298" spans="1:18" s="170" customFormat="1">
      <c r="A298" s="2"/>
      <c r="B298" s="731"/>
      <c r="C298" s="171" t="s">
        <v>127</v>
      </c>
      <c r="D298" s="87" t="s">
        <v>96</v>
      </c>
      <c r="E298" s="8" t="s">
        <v>81</v>
      </c>
      <c r="F298" s="88">
        <v>4.2</v>
      </c>
      <c r="G298" s="28">
        <f>sr</f>
        <v>1100</v>
      </c>
      <c r="H298" s="28">
        <f>F298*G298</f>
        <v>4620</v>
      </c>
      <c r="I298" s="89" t="s">
        <v>234</v>
      </c>
      <c r="J298" s="8" t="s">
        <v>127</v>
      </c>
      <c r="K298" s="88">
        <f>11/6</f>
        <v>1.8333333333333333</v>
      </c>
      <c r="L298" s="28">
        <f>plywood</f>
        <v>420.36</v>
      </c>
      <c r="M298" s="28">
        <f>K298*L298</f>
        <v>770.66</v>
      </c>
      <c r="N298" s="8"/>
      <c r="O298" s="8"/>
      <c r="P298" s="88"/>
      <c r="Q298" s="28"/>
      <c r="R298" s="28"/>
    </row>
    <row r="299" spans="1:18" s="170" customFormat="1">
      <c r="A299" s="2"/>
      <c r="B299" s="731"/>
      <c r="C299" s="8"/>
      <c r="D299" s="87" t="s">
        <v>97</v>
      </c>
      <c r="E299" s="8" t="s">
        <v>81</v>
      </c>
      <c r="F299" s="88">
        <v>4.2</v>
      </c>
      <c r="G299" s="28">
        <f>ur</f>
        <v>850</v>
      </c>
      <c r="H299" s="28">
        <f>F299*G299</f>
        <v>3570</v>
      </c>
      <c r="I299" s="89" t="s">
        <v>231</v>
      </c>
      <c r="J299" s="8" t="s">
        <v>11</v>
      </c>
      <c r="K299" s="88">
        <f>1/12</f>
        <v>8.3333333333333329E-2</v>
      </c>
      <c r="L299" s="154">
        <f>AVERAGE(timber,planks)</f>
        <v>64135.06</v>
      </c>
      <c r="M299" s="28">
        <f>K299*L299</f>
        <v>5344.5883333333331</v>
      </c>
      <c r="N299" s="8"/>
      <c r="O299" s="8"/>
      <c r="P299" s="88"/>
      <c r="Q299" s="28"/>
      <c r="R299" s="28"/>
    </row>
    <row r="300" spans="1:18" s="170" customFormat="1">
      <c r="A300" s="2"/>
      <c r="B300" s="731"/>
      <c r="C300" s="8"/>
      <c r="D300" s="87"/>
      <c r="E300" s="8"/>
      <c r="F300" s="88"/>
      <c r="G300" s="28"/>
      <c r="H300" s="28"/>
      <c r="I300" s="89" t="s">
        <v>232</v>
      </c>
      <c r="J300" s="8" t="s">
        <v>28</v>
      </c>
      <c r="K300" s="88">
        <v>6.5</v>
      </c>
      <c r="L300" s="28">
        <f>nails/1000</f>
        <v>124.14419000000001</v>
      </c>
      <c r="M300" s="28">
        <f>K300*L300</f>
        <v>806.9372350000001</v>
      </c>
      <c r="N300" s="8"/>
      <c r="O300" s="8"/>
      <c r="P300" s="88"/>
      <c r="Q300" s="28"/>
      <c r="R300" s="28"/>
    </row>
    <row r="301" spans="1:18" s="170" customFormat="1">
      <c r="A301" s="2"/>
      <c r="B301" s="731"/>
      <c r="C301" s="8"/>
      <c r="D301" s="87"/>
      <c r="E301" s="8"/>
      <c r="F301" s="88"/>
      <c r="G301" s="28"/>
      <c r="H301" s="28"/>
      <c r="I301" s="89"/>
      <c r="J301" s="8"/>
      <c r="K301" s="88"/>
      <c r="L301" s="28"/>
      <c r="M301" s="28"/>
      <c r="N301" s="8"/>
      <c r="O301" s="8"/>
      <c r="P301" s="88"/>
      <c r="Q301" s="28"/>
      <c r="R301" s="28"/>
    </row>
    <row r="302" spans="1:18" s="170" customFormat="1" ht="30.75" customHeight="1">
      <c r="A302" s="2"/>
      <c r="B302" s="731"/>
      <c r="C302" s="8"/>
      <c r="D302" s="87"/>
      <c r="E302" s="8"/>
      <c r="F302" s="88"/>
      <c r="G302" s="28"/>
      <c r="H302" s="28"/>
      <c r="I302" s="89"/>
      <c r="J302" s="8"/>
      <c r="K302" s="88"/>
      <c r="L302" s="28"/>
      <c r="M302" s="28"/>
      <c r="N302" s="8"/>
      <c r="O302" s="8"/>
      <c r="P302" s="88"/>
      <c r="Q302" s="28"/>
      <c r="R302" s="28"/>
    </row>
    <row r="303" spans="1:18" s="170" customFormat="1">
      <c r="A303" s="2"/>
      <c r="B303" s="172"/>
      <c r="C303" s="8"/>
      <c r="D303" s="87"/>
      <c r="E303" s="10"/>
      <c r="F303" s="91"/>
      <c r="G303" s="92"/>
      <c r="H303" s="92"/>
      <c r="I303" s="10"/>
      <c r="J303" s="10"/>
      <c r="K303" s="91"/>
      <c r="L303" s="28"/>
      <c r="M303" s="28"/>
      <c r="N303" s="8"/>
      <c r="O303" s="8"/>
      <c r="P303" s="91"/>
      <c r="Q303" s="28"/>
      <c r="R303" s="28"/>
    </row>
    <row r="304" spans="1:18" s="170" customFormat="1">
      <c r="A304" s="2"/>
      <c r="B304" s="2"/>
      <c r="C304" s="8"/>
      <c r="D304" s="93"/>
      <c r="E304" s="94"/>
      <c r="F304" s="95"/>
      <c r="G304" s="95" t="s">
        <v>20</v>
      </c>
      <c r="H304" s="96">
        <f>SUM(H297:H303)</f>
        <v>8190</v>
      </c>
      <c r="I304" s="717"/>
      <c r="J304" s="717"/>
      <c r="K304" s="97"/>
      <c r="L304" s="95" t="s">
        <v>21</v>
      </c>
      <c r="M304" s="96">
        <f>SUM(M297:M303)</f>
        <v>6922.1855683333333</v>
      </c>
      <c r="N304" s="98"/>
      <c r="O304" s="97"/>
      <c r="P304" s="97"/>
      <c r="Q304" s="95" t="s">
        <v>22</v>
      </c>
      <c r="R304" s="96">
        <f>SUM(R297:R303)</f>
        <v>0</v>
      </c>
    </row>
    <row r="305" spans="1:18" s="170" customFormat="1">
      <c r="A305" s="2"/>
      <c r="B305" s="99" t="s">
        <v>13</v>
      </c>
      <c r="C305" s="97"/>
      <c r="D305" s="97"/>
      <c r="E305" s="97"/>
      <c r="F305" s="97"/>
      <c r="G305" s="95"/>
      <c r="H305" s="100">
        <f>M304+R304+H304</f>
        <v>15112.185568333334</v>
      </c>
      <c r="I305" s="101"/>
      <c r="J305" s="97"/>
      <c r="K305" s="97"/>
      <c r="L305" s="95"/>
      <c r="M305" s="102"/>
      <c r="N305" s="97"/>
      <c r="O305" s="97"/>
      <c r="P305" s="97"/>
      <c r="Q305" s="97"/>
      <c r="R305" s="101"/>
    </row>
    <row r="306" spans="1:18" s="170" customFormat="1">
      <c r="A306" s="2"/>
      <c r="B306" s="2" t="s">
        <v>25</v>
      </c>
      <c r="C306" s="87"/>
      <c r="D306" s="87"/>
      <c r="E306" s="87"/>
      <c r="F306" s="87"/>
      <c r="G306" s="103"/>
      <c r="H306" s="104">
        <v>0</v>
      </c>
      <c r="I306" s="105"/>
      <c r="J306" s="87" t="s">
        <v>26</v>
      </c>
      <c r="K306" s="87"/>
      <c r="L306" s="103"/>
      <c r="M306" s="106"/>
      <c r="N306" s="87"/>
      <c r="O306" s="87"/>
      <c r="P306" s="87"/>
      <c r="Q306" s="87"/>
      <c r="R306" s="105"/>
    </row>
    <row r="307" spans="1:18" s="170" customFormat="1">
      <c r="A307" s="23"/>
      <c r="B307" s="2" t="s">
        <v>14</v>
      </c>
      <c r="C307" s="87"/>
      <c r="D307" s="87"/>
      <c r="E307" s="87"/>
      <c r="F307" s="87"/>
      <c r="G307" s="103"/>
      <c r="H307" s="104">
        <f>SUM(H305:H306)</f>
        <v>15112.185568333334</v>
      </c>
      <c r="I307" s="105"/>
      <c r="J307" s="732"/>
      <c r="K307" s="733"/>
      <c r="L307" s="733"/>
      <c r="M307" s="733"/>
      <c r="N307" s="733"/>
      <c r="O307" s="733"/>
      <c r="P307" s="733"/>
      <c r="Q307" s="733"/>
      <c r="R307" s="734"/>
    </row>
    <row r="308" spans="1:18" s="170" customFormat="1">
      <c r="A308" s="23"/>
      <c r="B308" s="2" t="s">
        <v>24</v>
      </c>
      <c r="C308" s="87"/>
      <c r="D308" s="87"/>
      <c r="E308" s="87"/>
      <c r="F308" s="87"/>
      <c r="G308" s="103"/>
      <c r="H308" s="104">
        <f>H307*15%</f>
        <v>2266.8278352500001</v>
      </c>
      <c r="I308" s="105"/>
      <c r="J308" s="735"/>
      <c r="K308" s="736"/>
      <c r="L308" s="736"/>
      <c r="M308" s="736"/>
      <c r="N308" s="736"/>
      <c r="O308" s="736"/>
      <c r="P308" s="736"/>
      <c r="Q308" s="736"/>
      <c r="R308" s="737"/>
    </row>
    <row r="309" spans="1:18" s="170" customFormat="1">
      <c r="A309" s="23"/>
      <c r="B309" s="2" t="s">
        <v>15</v>
      </c>
      <c r="C309" s="87"/>
      <c r="D309" s="87"/>
      <c r="E309" s="87"/>
      <c r="F309" s="87"/>
      <c r="G309" s="107" t="s">
        <v>16</v>
      </c>
      <c r="H309" s="37">
        <f>H308+H307</f>
        <v>17379.013403583333</v>
      </c>
      <c r="I309" s="108" t="str">
        <f>CONCATENATE("per ",C297, C298)</f>
        <v>per 10sqm</v>
      </c>
      <c r="J309" s="735"/>
      <c r="K309" s="736"/>
      <c r="L309" s="736"/>
      <c r="M309" s="736"/>
      <c r="N309" s="736"/>
      <c r="O309" s="736"/>
      <c r="P309" s="736"/>
      <c r="Q309" s="736"/>
      <c r="R309" s="737"/>
    </row>
    <row r="310" spans="1:18" s="170" customFormat="1">
      <c r="A310" s="23"/>
      <c r="B310" s="2"/>
      <c r="C310" s="87"/>
      <c r="D310" s="87"/>
      <c r="E310" s="87"/>
      <c r="F310" s="87"/>
      <c r="G310" s="107" t="s">
        <v>16</v>
      </c>
      <c r="H310" s="37">
        <f>H309/C297</f>
        <v>1737.9013403583333</v>
      </c>
      <c r="I310" s="108" t="str">
        <f>CONCATENATE("per ",C298)</f>
        <v>per sqm</v>
      </c>
      <c r="J310" s="735"/>
      <c r="K310" s="736"/>
      <c r="L310" s="736"/>
      <c r="M310" s="736"/>
      <c r="N310" s="736"/>
      <c r="O310" s="736"/>
      <c r="P310" s="736"/>
      <c r="Q310" s="736"/>
      <c r="R310" s="737"/>
    </row>
    <row r="311" spans="1:18" s="170" customFormat="1">
      <c r="A311" s="23"/>
      <c r="B311" s="2" t="s">
        <v>18</v>
      </c>
      <c r="C311" s="87" t="s">
        <v>19</v>
      </c>
      <c r="D311" s="87"/>
      <c r="E311" s="87"/>
      <c r="F311" s="87"/>
      <c r="G311" s="107" t="s">
        <v>16</v>
      </c>
      <c r="H311" s="37">
        <f>CEILING(H310,0.5)</f>
        <v>1738</v>
      </c>
      <c r="I311" s="108" t="str">
        <f>CONCATENATE("per ",C298)</f>
        <v>per sqm</v>
      </c>
      <c r="J311" s="735"/>
      <c r="K311" s="736"/>
      <c r="L311" s="736"/>
      <c r="M311" s="736"/>
      <c r="N311" s="736"/>
      <c r="O311" s="736"/>
      <c r="P311" s="736"/>
      <c r="Q311" s="736"/>
      <c r="R311" s="737"/>
    </row>
    <row r="312" spans="1:18" s="170" customFormat="1">
      <c r="A312" s="23"/>
      <c r="B312" s="2"/>
      <c r="C312" s="87"/>
      <c r="D312" s="87"/>
      <c r="E312" s="87"/>
      <c r="F312" s="87"/>
      <c r="G312" s="109" t="s">
        <v>17</v>
      </c>
      <c r="H312" s="37">
        <f>H311/exr</f>
        <v>13.36923076923077</v>
      </c>
      <c r="I312" s="108" t="str">
        <f>CONCATENATE("per ",C298)</f>
        <v>per sqm</v>
      </c>
      <c r="J312" s="738"/>
      <c r="K312" s="739"/>
      <c r="L312" s="739"/>
      <c r="M312" s="739"/>
      <c r="N312" s="739"/>
      <c r="O312" s="739"/>
      <c r="P312" s="739"/>
      <c r="Q312" s="739"/>
      <c r="R312" s="740"/>
    </row>
    <row r="313" spans="1:18" s="170" customFormat="1">
      <c r="A313" s="39"/>
      <c r="B313" s="40"/>
      <c r="C313" s="41"/>
      <c r="D313" s="41"/>
      <c r="E313" s="41"/>
      <c r="F313" s="41"/>
      <c r="G313" s="149" t="s">
        <v>460</v>
      </c>
      <c r="H313" s="150">
        <f>CEILING(SUM(M300)/H305,0.0025)</f>
        <v>5.5E-2</v>
      </c>
      <c r="I313" s="42"/>
      <c r="J313" s="43"/>
      <c r="K313" s="43"/>
      <c r="L313" s="43"/>
      <c r="M313" s="43"/>
      <c r="N313" s="43"/>
      <c r="O313" s="43"/>
      <c r="P313" s="43"/>
      <c r="Q313" s="43"/>
      <c r="R313" s="44"/>
    </row>
    <row r="314" spans="1:18" s="170" customFormat="1"/>
    <row r="315" spans="1:18" s="170" customFormat="1">
      <c r="A315" s="693" t="s">
        <v>0</v>
      </c>
      <c r="B315" s="695" t="s">
        <v>1</v>
      </c>
      <c r="C315" s="695" t="s">
        <v>2</v>
      </c>
      <c r="D315" s="697" t="s">
        <v>3</v>
      </c>
      <c r="E315" s="698"/>
      <c r="F315" s="698"/>
      <c r="G315" s="698"/>
      <c r="H315" s="698"/>
      <c r="I315" s="699" t="s">
        <v>4</v>
      </c>
      <c r="J315" s="700"/>
      <c r="K315" s="700"/>
      <c r="L315" s="700"/>
      <c r="M315" s="700"/>
      <c r="N315" s="698" t="s">
        <v>5</v>
      </c>
      <c r="O315" s="698"/>
      <c r="P315" s="698"/>
      <c r="Q315" s="698"/>
      <c r="R315" s="698"/>
    </row>
    <row r="316" spans="1:18" s="170" customFormat="1">
      <c r="A316" s="694"/>
      <c r="B316" s="696"/>
      <c r="C316" s="696"/>
      <c r="D316" s="45" t="s">
        <v>6</v>
      </c>
      <c r="E316" s="46" t="s">
        <v>2</v>
      </c>
      <c r="F316" s="46" t="s">
        <v>7</v>
      </c>
      <c r="G316" s="46" t="s">
        <v>8</v>
      </c>
      <c r="H316" s="46" t="s">
        <v>9</v>
      </c>
      <c r="I316" s="46" t="s">
        <v>10</v>
      </c>
      <c r="J316" s="46" t="s">
        <v>2</v>
      </c>
      <c r="K316" s="46" t="s">
        <v>7</v>
      </c>
      <c r="L316" s="46" t="s">
        <v>8</v>
      </c>
      <c r="M316" s="47" t="s">
        <v>9</v>
      </c>
      <c r="N316" s="46" t="s">
        <v>10</v>
      </c>
      <c r="O316" s="46" t="s">
        <v>2</v>
      </c>
      <c r="P316" s="46" t="s">
        <v>7</v>
      </c>
      <c r="Q316" s="46" t="s">
        <v>8</v>
      </c>
      <c r="R316" s="46" t="s">
        <v>9</v>
      </c>
    </row>
    <row r="317" spans="1:18" s="170" customFormat="1">
      <c r="A317" s="33" t="s">
        <v>23</v>
      </c>
      <c r="B317" s="73" t="s">
        <v>629</v>
      </c>
      <c r="C317" s="31"/>
      <c r="D317" s="31"/>
      <c r="E317" s="31"/>
      <c r="F317" s="31"/>
      <c r="G317" s="31"/>
      <c r="H317" s="31"/>
      <c r="I317" s="31"/>
      <c r="J317" s="31"/>
      <c r="K317" s="31"/>
      <c r="L317" s="31"/>
      <c r="M317" s="31"/>
      <c r="N317" s="31"/>
      <c r="O317" s="31"/>
      <c r="P317" s="31"/>
      <c r="Q317" s="31"/>
      <c r="R317" s="32"/>
    </row>
    <row r="318" spans="1:18" s="170" customFormat="1">
      <c r="A318" s="34">
        <f>A297+1</f>
        <v>16</v>
      </c>
      <c r="B318" s="730" t="s">
        <v>630</v>
      </c>
      <c r="C318" s="145">
        <v>10</v>
      </c>
      <c r="D318" s="87"/>
      <c r="E318" s="8"/>
      <c r="F318" s="88"/>
      <c r="G318" s="28"/>
      <c r="H318" s="28"/>
      <c r="I318" s="8"/>
      <c r="J318" s="8"/>
      <c r="K318" s="88"/>
      <c r="L318" s="28"/>
      <c r="M318" s="28"/>
      <c r="N318" s="8"/>
      <c r="O318" s="8"/>
      <c r="P318" s="88"/>
      <c r="Q318" s="28"/>
      <c r="R318" s="28"/>
    </row>
    <row r="319" spans="1:18" s="170" customFormat="1">
      <c r="A319" s="2"/>
      <c r="B319" s="731"/>
      <c r="C319" s="171" t="s">
        <v>127</v>
      </c>
      <c r="D319" s="87" t="s">
        <v>96</v>
      </c>
      <c r="E319" s="8" t="s">
        <v>81</v>
      </c>
      <c r="F319" s="88">
        <v>5.2</v>
      </c>
      <c r="G319" s="28">
        <f>sr</f>
        <v>1100</v>
      </c>
      <c r="H319" s="28">
        <f>F319*G319</f>
        <v>5720</v>
      </c>
      <c r="I319" s="89" t="s">
        <v>234</v>
      </c>
      <c r="J319" s="8" t="s">
        <v>127</v>
      </c>
      <c r="K319" s="88">
        <f>11/6</f>
        <v>1.8333333333333333</v>
      </c>
      <c r="L319" s="28">
        <f>plywood</f>
        <v>420.36</v>
      </c>
      <c r="M319" s="28">
        <f>K319*L319</f>
        <v>770.66</v>
      </c>
      <c r="N319" s="8"/>
      <c r="O319" s="8"/>
      <c r="P319" s="88"/>
      <c r="Q319" s="28"/>
      <c r="R319" s="28"/>
    </row>
    <row r="320" spans="1:18" s="170" customFormat="1">
      <c r="A320" s="2"/>
      <c r="B320" s="731"/>
      <c r="C320" s="8"/>
      <c r="D320" s="87" t="s">
        <v>97</v>
      </c>
      <c r="E320" s="8" t="s">
        <v>81</v>
      </c>
      <c r="F320" s="88">
        <v>5.9</v>
      </c>
      <c r="G320" s="28">
        <f>ur</f>
        <v>850</v>
      </c>
      <c r="H320" s="28">
        <f>F320*G320</f>
        <v>5015</v>
      </c>
      <c r="I320" s="89" t="s">
        <v>231</v>
      </c>
      <c r="J320" s="8" t="s">
        <v>11</v>
      </c>
      <c r="K320" s="88">
        <f>1.2/12</f>
        <v>9.9999999999999992E-2</v>
      </c>
      <c r="L320" s="154">
        <f>AVERAGE(timber,planks)</f>
        <v>64135.06</v>
      </c>
      <c r="M320" s="28">
        <f>K320*L320</f>
        <v>6413.5059999999994</v>
      </c>
      <c r="N320" s="8"/>
      <c r="O320" s="8"/>
      <c r="P320" s="88"/>
      <c r="Q320" s="28"/>
      <c r="R320" s="28"/>
    </row>
    <row r="321" spans="1:18" s="170" customFormat="1">
      <c r="A321" s="2"/>
      <c r="B321" s="731"/>
      <c r="C321" s="8"/>
      <c r="D321" s="87"/>
      <c r="E321" s="8"/>
      <c r="F321" s="88"/>
      <c r="G321" s="28"/>
      <c r="H321" s="28"/>
      <c r="I321" s="89" t="s">
        <v>232</v>
      </c>
      <c r="J321" s="8" t="s">
        <v>28</v>
      </c>
      <c r="K321" s="88">
        <v>8</v>
      </c>
      <c r="L321" s="28">
        <f>nails/1000</f>
        <v>124.14419000000001</v>
      </c>
      <c r="M321" s="28">
        <f>K321*L321</f>
        <v>993.15352000000007</v>
      </c>
      <c r="N321" s="8"/>
      <c r="O321" s="8"/>
      <c r="P321" s="88"/>
      <c r="Q321" s="28"/>
      <c r="R321" s="28"/>
    </row>
    <row r="322" spans="1:18" s="170" customFormat="1">
      <c r="A322" s="2"/>
      <c r="B322" s="731"/>
      <c r="C322" s="8"/>
      <c r="D322" s="87"/>
      <c r="E322" s="8"/>
      <c r="F322" s="88"/>
      <c r="G322" s="28"/>
      <c r="H322" s="28"/>
      <c r="I322" s="89"/>
      <c r="J322" s="8"/>
      <c r="K322" s="88"/>
      <c r="L322" s="28"/>
      <c r="M322" s="28"/>
      <c r="N322" s="8"/>
      <c r="O322" s="8"/>
      <c r="P322" s="88"/>
      <c r="Q322" s="28"/>
      <c r="R322" s="28"/>
    </row>
    <row r="323" spans="1:18" s="170" customFormat="1" ht="30.75" customHeight="1">
      <c r="A323" s="2"/>
      <c r="B323" s="731"/>
      <c r="C323" s="8"/>
      <c r="D323" s="87"/>
      <c r="E323" s="8"/>
      <c r="F323" s="88"/>
      <c r="G323" s="28"/>
      <c r="H323" s="28"/>
      <c r="I323" s="89"/>
      <c r="J323" s="8"/>
      <c r="K323" s="88"/>
      <c r="L323" s="28"/>
      <c r="M323" s="28"/>
      <c r="N323" s="8"/>
      <c r="O323" s="8"/>
      <c r="P323" s="88"/>
      <c r="Q323" s="28"/>
      <c r="R323" s="28"/>
    </row>
    <row r="324" spans="1:18" s="170" customFormat="1">
      <c r="A324" s="2"/>
      <c r="B324" s="172"/>
      <c r="C324" s="8"/>
      <c r="D324" s="87"/>
      <c r="E324" s="10"/>
      <c r="F324" s="91"/>
      <c r="G324" s="92"/>
      <c r="H324" s="92"/>
      <c r="I324" s="10"/>
      <c r="J324" s="10"/>
      <c r="K324" s="91"/>
      <c r="L324" s="28"/>
      <c r="M324" s="28"/>
      <c r="N324" s="8"/>
      <c r="O324" s="8"/>
      <c r="P324" s="91"/>
      <c r="Q324" s="28"/>
      <c r="R324" s="28"/>
    </row>
    <row r="325" spans="1:18" s="170" customFormat="1">
      <c r="A325" s="2"/>
      <c r="B325" s="2"/>
      <c r="C325" s="8"/>
      <c r="D325" s="93"/>
      <c r="E325" s="94"/>
      <c r="F325" s="95"/>
      <c r="G325" s="95" t="s">
        <v>20</v>
      </c>
      <c r="H325" s="96">
        <f>SUM(H318:H324)</f>
        <v>10735</v>
      </c>
      <c r="I325" s="717"/>
      <c r="J325" s="717"/>
      <c r="K325" s="97"/>
      <c r="L325" s="95" t="s">
        <v>21</v>
      </c>
      <c r="M325" s="96">
        <f>SUM(M318:M324)</f>
        <v>8177.3195199999991</v>
      </c>
      <c r="N325" s="98"/>
      <c r="O325" s="97"/>
      <c r="P325" s="97"/>
      <c r="Q325" s="95" t="s">
        <v>22</v>
      </c>
      <c r="R325" s="96">
        <f>SUM(R318:R324)</f>
        <v>0</v>
      </c>
    </row>
    <row r="326" spans="1:18" s="170" customFormat="1">
      <c r="A326" s="2"/>
      <c r="B326" s="99" t="s">
        <v>13</v>
      </c>
      <c r="C326" s="97"/>
      <c r="D326" s="97"/>
      <c r="E326" s="97"/>
      <c r="F326" s="97"/>
      <c r="G326" s="95"/>
      <c r="H326" s="100">
        <f>M325+R325+H325</f>
        <v>18912.319519999997</v>
      </c>
      <c r="I326" s="101"/>
      <c r="J326" s="97"/>
      <c r="K326" s="97"/>
      <c r="L326" s="95"/>
      <c r="M326" s="102"/>
      <c r="N326" s="97"/>
      <c r="O326" s="97"/>
      <c r="P326" s="97"/>
      <c r="Q326" s="97"/>
      <c r="R326" s="101"/>
    </row>
    <row r="327" spans="1:18" s="170" customFormat="1">
      <c r="A327" s="2"/>
      <c r="B327" s="2" t="s">
        <v>25</v>
      </c>
      <c r="C327" s="87"/>
      <c r="D327" s="87"/>
      <c r="E327" s="87"/>
      <c r="F327" s="87"/>
      <c r="G327" s="103"/>
      <c r="H327" s="104">
        <v>0</v>
      </c>
      <c r="I327" s="105"/>
      <c r="J327" s="87" t="s">
        <v>26</v>
      </c>
      <c r="K327" s="87"/>
      <c r="L327" s="103"/>
      <c r="M327" s="106"/>
      <c r="N327" s="87"/>
      <c r="O327" s="87"/>
      <c r="P327" s="87"/>
      <c r="Q327" s="87"/>
      <c r="R327" s="105"/>
    </row>
    <row r="328" spans="1:18" s="170" customFormat="1">
      <c r="A328" s="23"/>
      <c r="B328" s="2" t="s">
        <v>14</v>
      </c>
      <c r="C328" s="87"/>
      <c r="D328" s="87"/>
      <c r="E328" s="87"/>
      <c r="F328" s="87"/>
      <c r="G328" s="103"/>
      <c r="H328" s="104">
        <f>SUM(H326:H327)</f>
        <v>18912.319519999997</v>
      </c>
      <c r="I328" s="105"/>
      <c r="J328" s="732"/>
      <c r="K328" s="733"/>
      <c r="L328" s="733"/>
      <c r="M328" s="733"/>
      <c r="N328" s="733"/>
      <c r="O328" s="733"/>
      <c r="P328" s="733"/>
      <c r="Q328" s="733"/>
      <c r="R328" s="734"/>
    </row>
    <row r="329" spans="1:18" s="170" customFormat="1">
      <c r="A329" s="23"/>
      <c r="B329" s="2" t="s">
        <v>24</v>
      </c>
      <c r="C329" s="87"/>
      <c r="D329" s="87"/>
      <c r="E329" s="87"/>
      <c r="F329" s="87"/>
      <c r="G329" s="103"/>
      <c r="H329" s="104">
        <f>H328*15%</f>
        <v>2836.8479279999997</v>
      </c>
      <c r="I329" s="105"/>
      <c r="J329" s="735"/>
      <c r="K329" s="736"/>
      <c r="L329" s="736"/>
      <c r="M329" s="736"/>
      <c r="N329" s="736"/>
      <c r="O329" s="736"/>
      <c r="P329" s="736"/>
      <c r="Q329" s="736"/>
      <c r="R329" s="737"/>
    </row>
    <row r="330" spans="1:18" s="170" customFormat="1">
      <c r="A330" s="23"/>
      <c r="B330" s="2" t="s">
        <v>15</v>
      </c>
      <c r="C330" s="87"/>
      <c r="D330" s="87"/>
      <c r="E330" s="87"/>
      <c r="F330" s="87"/>
      <c r="G330" s="107" t="s">
        <v>16</v>
      </c>
      <c r="H330" s="37">
        <f>H329+H328</f>
        <v>21749.167447999997</v>
      </c>
      <c r="I330" s="108" t="str">
        <f>CONCATENATE("per ",C318, C319)</f>
        <v>per 10sqm</v>
      </c>
      <c r="J330" s="735"/>
      <c r="K330" s="736"/>
      <c r="L330" s="736"/>
      <c r="M330" s="736"/>
      <c r="N330" s="736"/>
      <c r="O330" s="736"/>
      <c r="P330" s="736"/>
      <c r="Q330" s="736"/>
      <c r="R330" s="737"/>
    </row>
    <row r="331" spans="1:18" s="170" customFormat="1">
      <c r="A331" s="23"/>
      <c r="B331" s="2"/>
      <c r="C331" s="87"/>
      <c r="D331" s="87"/>
      <c r="E331" s="87"/>
      <c r="F331" s="87"/>
      <c r="G331" s="107" t="s">
        <v>16</v>
      </c>
      <c r="H331" s="37">
        <f>H330/C318</f>
        <v>2174.9167447999998</v>
      </c>
      <c r="I331" s="108" t="str">
        <f>CONCATENATE("per ",C319)</f>
        <v>per sqm</v>
      </c>
      <c r="J331" s="735"/>
      <c r="K331" s="736"/>
      <c r="L331" s="736"/>
      <c r="M331" s="736"/>
      <c r="N331" s="736"/>
      <c r="O331" s="736"/>
      <c r="P331" s="736"/>
      <c r="Q331" s="736"/>
      <c r="R331" s="737"/>
    </row>
    <row r="332" spans="1:18" s="170" customFormat="1">
      <c r="A332" s="23"/>
      <c r="B332" s="2" t="s">
        <v>18</v>
      </c>
      <c r="C332" s="87" t="s">
        <v>19</v>
      </c>
      <c r="D332" s="87"/>
      <c r="E332" s="87"/>
      <c r="F332" s="87"/>
      <c r="G332" s="107" t="s">
        <v>16</v>
      </c>
      <c r="H332" s="37">
        <f>CEILING(H331,0.5)</f>
        <v>2175</v>
      </c>
      <c r="I332" s="108" t="str">
        <f>CONCATENATE("per ",C319)</f>
        <v>per sqm</v>
      </c>
      <c r="J332" s="735"/>
      <c r="K332" s="736"/>
      <c r="L332" s="736"/>
      <c r="M332" s="736"/>
      <c r="N332" s="736"/>
      <c r="O332" s="736"/>
      <c r="P332" s="736"/>
      <c r="Q332" s="736"/>
      <c r="R332" s="737"/>
    </row>
    <row r="333" spans="1:18" s="170" customFormat="1">
      <c r="A333" s="23"/>
      <c r="B333" s="2"/>
      <c r="C333" s="87"/>
      <c r="D333" s="87"/>
      <c r="E333" s="87"/>
      <c r="F333" s="87"/>
      <c r="G333" s="109" t="s">
        <v>17</v>
      </c>
      <c r="H333" s="37">
        <f>H332/exr</f>
        <v>16.73076923076923</v>
      </c>
      <c r="I333" s="108" t="str">
        <f>CONCATENATE("per ",C319)</f>
        <v>per sqm</v>
      </c>
      <c r="J333" s="738"/>
      <c r="K333" s="739"/>
      <c r="L333" s="739"/>
      <c r="M333" s="739"/>
      <c r="N333" s="739"/>
      <c r="O333" s="739"/>
      <c r="P333" s="739"/>
      <c r="Q333" s="739"/>
      <c r="R333" s="740"/>
    </row>
    <row r="334" spans="1:18" s="170" customFormat="1">
      <c r="A334" s="39"/>
      <c r="B334" s="40"/>
      <c r="C334" s="41"/>
      <c r="D334" s="41"/>
      <c r="E334" s="41"/>
      <c r="F334" s="41"/>
      <c r="G334" s="149" t="s">
        <v>460</v>
      </c>
      <c r="H334" s="150">
        <f>CEILING(SUM(M321)/H326,0.0025)</f>
        <v>5.5E-2</v>
      </c>
      <c r="I334" s="42"/>
      <c r="J334" s="43"/>
      <c r="K334" s="43"/>
      <c r="L334" s="43"/>
      <c r="M334" s="43"/>
      <c r="N334" s="43"/>
      <c r="O334" s="43"/>
      <c r="P334" s="43"/>
      <c r="Q334" s="43"/>
      <c r="R334" s="44"/>
    </row>
    <row r="335" spans="1:18" s="170" customFormat="1"/>
    <row r="336" spans="1:18" s="170" customFormat="1">
      <c r="A336" s="693" t="s">
        <v>0</v>
      </c>
      <c r="B336" s="695" t="s">
        <v>1</v>
      </c>
      <c r="C336" s="695" t="s">
        <v>2</v>
      </c>
      <c r="D336" s="697" t="s">
        <v>3</v>
      </c>
      <c r="E336" s="698"/>
      <c r="F336" s="698"/>
      <c r="G336" s="698"/>
      <c r="H336" s="698"/>
      <c r="I336" s="699" t="s">
        <v>4</v>
      </c>
      <c r="J336" s="700"/>
      <c r="K336" s="700"/>
      <c r="L336" s="700"/>
      <c r="M336" s="700"/>
      <c r="N336" s="698" t="s">
        <v>5</v>
      </c>
      <c r="O336" s="698"/>
      <c r="P336" s="698"/>
      <c r="Q336" s="698"/>
      <c r="R336" s="698"/>
    </row>
    <row r="337" spans="1:18" s="170" customFormat="1">
      <c r="A337" s="694"/>
      <c r="B337" s="696"/>
      <c r="C337" s="696"/>
      <c r="D337" s="45" t="s">
        <v>6</v>
      </c>
      <c r="E337" s="46" t="s">
        <v>2</v>
      </c>
      <c r="F337" s="46" t="s">
        <v>7</v>
      </c>
      <c r="G337" s="46" t="s">
        <v>8</v>
      </c>
      <c r="H337" s="46" t="s">
        <v>9</v>
      </c>
      <c r="I337" s="46" t="s">
        <v>10</v>
      </c>
      <c r="J337" s="46" t="s">
        <v>2</v>
      </c>
      <c r="K337" s="46" t="s">
        <v>7</v>
      </c>
      <c r="L337" s="46" t="s">
        <v>8</v>
      </c>
      <c r="M337" s="47" t="s">
        <v>9</v>
      </c>
      <c r="N337" s="46" t="s">
        <v>10</v>
      </c>
      <c r="O337" s="46" t="s">
        <v>2</v>
      </c>
      <c r="P337" s="46" t="s">
        <v>7</v>
      </c>
      <c r="Q337" s="46" t="s">
        <v>8</v>
      </c>
      <c r="R337" s="46" t="s">
        <v>9</v>
      </c>
    </row>
    <row r="338" spans="1:18" s="170" customFormat="1">
      <c r="A338" s="33" t="s">
        <v>23</v>
      </c>
      <c r="B338" s="73" t="s">
        <v>631</v>
      </c>
      <c r="C338" s="31"/>
      <c r="D338" s="31"/>
      <c r="E338" s="31"/>
      <c r="F338" s="31"/>
      <c r="G338" s="31"/>
      <c r="H338" s="31"/>
      <c r="I338" s="31"/>
      <c r="J338" s="31"/>
      <c r="K338" s="31"/>
      <c r="L338" s="31"/>
      <c r="M338" s="31"/>
      <c r="N338" s="31"/>
      <c r="O338" s="31"/>
      <c r="P338" s="31"/>
      <c r="Q338" s="31"/>
      <c r="R338" s="32"/>
    </row>
    <row r="339" spans="1:18" s="170" customFormat="1">
      <c r="A339" s="34">
        <f>A318+1</f>
        <v>17</v>
      </c>
      <c r="B339" s="730" t="s">
        <v>632</v>
      </c>
      <c r="C339" s="145">
        <v>10</v>
      </c>
      <c r="D339" s="87"/>
      <c r="E339" s="8"/>
      <c r="F339" s="88"/>
      <c r="G339" s="28"/>
      <c r="H339" s="28"/>
      <c r="I339" s="8"/>
      <c r="J339" s="8"/>
      <c r="K339" s="88"/>
      <c r="L339" s="28"/>
      <c r="M339" s="28"/>
      <c r="N339" s="8"/>
      <c r="O339" s="8"/>
      <c r="P339" s="88"/>
      <c r="Q339" s="28"/>
      <c r="R339" s="28"/>
    </row>
    <row r="340" spans="1:18" s="170" customFormat="1">
      <c r="A340" s="2"/>
      <c r="B340" s="731"/>
      <c r="C340" s="171" t="s">
        <v>127</v>
      </c>
      <c r="D340" s="87"/>
      <c r="E340" s="8"/>
      <c r="F340" s="88"/>
      <c r="G340" s="28"/>
      <c r="H340" s="28"/>
      <c r="I340" s="89"/>
      <c r="J340" s="8"/>
      <c r="K340" s="88"/>
      <c r="L340" s="28"/>
      <c r="M340" s="28"/>
      <c r="N340" s="8"/>
      <c r="O340" s="8"/>
      <c r="P340" s="88"/>
      <c r="Q340" s="28"/>
      <c r="R340" s="28"/>
    </row>
    <row r="341" spans="1:18" s="170" customFormat="1">
      <c r="A341" s="2"/>
      <c r="B341" s="731"/>
      <c r="C341" s="8"/>
      <c r="D341" s="87"/>
      <c r="E341" s="8"/>
      <c r="F341" s="88"/>
      <c r="G341" s="28"/>
      <c r="H341" s="28"/>
      <c r="I341" s="89"/>
      <c r="J341" s="8"/>
      <c r="K341" s="88"/>
      <c r="L341" s="28"/>
      <c r="M341" s="28"/>
      <c r="N341" s="8"/>
      <c r="O341" s="8"/>
      <c r="P341" s="88"/>
      <c r="Q341" s="28"/>
      <c r="R341" s="28"/>
    </row>
    <row r="342" spans="1:18" s="170" customFormat="1">
      <c r="A342" s="2"/>
      <c r="B342" s="731"/>
      <c r="C342" s="8"/>
      <c r="D342" s="87"/>
      <c r="E342" s="8"/>
      <c r="F342" s="88"/>
      <c r="G342" s="28"/>
      <c r="H342" s="28"/>
      <c r="I342" s="89"/>
      <c r="J342" s="8"/>
      <c r="K342" s="88"/>
      <c r="L342" s="28"/>
      <c r="M342" s="28"/>
      <c r="N342" s="8"/>
      <c r="O342" s="8"/>
      <c r="P342" s="88"/>
      <c r="Q342" s="28"/>
      <c r="R342" s="28"/>
    </row>
    <row r="343" spans="1:18" s="170" customFormat="1">
      <c r="A343" s="2"/>
      <c r="B343" s="731"/>
      <c r="C343" s="8"/>
      <c r="D343" s="87"/>
      <c r="E343" s="8"/>
      <c r="F343" s="88"/>
      <c r="G343" s="28"/>
      <c r="H343" s="28"/>
      <c r="I343" s="89"/>
      <c r="J343" s="8"/>
      <c r="K343" s="88"/>
      <c r="L343" s="28"/>
      <c r="M343" s="28"/>
      <c r="N343" s="8"/>
      <c r="O343" s="8"/>
      <c r="P343" s="88"/>
      <c r="Q343" s="28"/>
      <c r="R343" s="28"/>
    </row>
    <row r="344" spans="1:18" s="170" customFormat="1" ht="31.5" customHeight="1">
      <c r="A344" s="2"/>
      <c r="B344" s="731"/>
      <c r="C344" s="8"/>
      <c r="D344" s="87"/>
      <c r="E344" s="8"/>
      <c r="F344" s="88"/>
      <c r="G344" s="28"/>
      <c r="H344" s="28"/>
      <c r="I344" s="89"/>
      <c r="J344" s="8"/>
      <c r="K344" s="88"/>
      <c r="L344" s="28"/>
      <c r="M344" s="28"/>
      <c r="N344" s="8"/>
      <c r="O344" s="8"/>
      <c r="P344" s="88"/>
      <c r="Q344" s="28"/>
      <c r="R344" s="28"/>
    </row>
    <row r="345" spans="1:18" s="170" customFormat="1">
      <c r="A345" s="2"/>
      <c r="B345" s="172"/>
      <c r="C345" s="8"/>
      <c r="D345" s="87"/>
      <c r="E345" s="10"/>
      <c r="F345" s="91"/>
      <c r="G345" s="92"/>
      <c r="H345" s="92"/>
      <c r="I345" s="10"/>
      <c r="J345" s="10"/>
      <c r="K345" s="91"/>
      <c r="L345" s="28"/>
      <c r="M345" s="28"/>
      <c r="N345" s="8"/>
      <c r="O345" s="8"/>
      <c r="P345" s="91"/>
      <c r="Q345" s="28"/>
      <c r="R345" s="28"/>
    </row>
    <row r="346" spans="1:18" s="170" customFormat="1">
      <c r="A346" s="2"/>
      <c r="B346" s="2"/>
      <c r="C346" s="8"/>
      <c r="D346" s="93"/>
      <c r="E346" s="94"/>
      <c r="F346" s="95"/>
      <c r="G346" s="95" t="s">
        <v>20</v>
      </c>
      <c r="H346" s="96">
        <f>SUM(H339:H345)</f>
        <v>0</v>
      </c>
      <c r="I346" s="717"/>
      <c r="J346" s="717"/>
      <c r="K346" s="97"/>
      <c r="L346" s="95" t="s">
        <v>21</v>
      </c>
      <c r="M346" s="96">
        <f>SUM(M339:M345)</f>
        <v>0</v>
      </c>
      <c r="N346" s="98"/>
      <c r="O346" s="97"/>
      <c r="P346" s="97"/>
      <c r="Q346" s="95" t="s">
        <v>22</v>
      </c>
      <c r="R346" s="96">
        <f>SUM(R339:R345)</f>
        <v>0</v>
      </c>
    </row>
    <row r="347" spans="1:18" s="170" customFormat="1">
      <c r="A347" s="2"/>
      <c r="B347" s="99" t="s">
        <v>13</v>
      </c>
      <c r="C347" s="97"/>
      <c r="D347" s="97"/>
      <c r="E347" s="97"/>
      <c r="F347" s="97"/>
      <c r="G347" s="95"/>
      <c r="H347" s="100">
        <f>M346+R346+H346</f>
        <v>0</v>
      </c>
      <c r="I347" s="101"/>
      <c r="J347" s="97"/>
      <c r="K347" s="97"/>
      <c r="L347" s="95"/>
      <c r="M347" s="102"/>
      <c r="N347" s="97"/>
      <c r="O347" s="97"/>
      <c r="P347" s="97"/>
      <c r="Q347" s="97"/>
      <c r="R347" s="101"/>
    </row>
    <row r="348" spans="1:18" s="170" customFormat="1">
      <c r="A348" s="2"/>
      <c r="B348" s="2" t="s">
        <v>25</v>
      </c>
      <c r="C348" s="87"/>
      <c r="D348" s="87"/>
      <c r="E348" s="87"/>
      <c r="F348" s="87"/>
      <c r="G348" s="103"/>
      <c r="H348" s="104">
        <v>0</v>
      </c>
      <c r="I348" s="105"/>
      <c r="J348" s="87" t="s">
        <v>26</v>
      </c>
      <c r="K348" s="87"/>
      <c r="L348" s="103"/>
      <c r="M348" s="106"/>
      <c r="N348" s="87"/>
      <c r="O348" s="87"/>
      <c r="P348" s="87"/>
      <c r="Q348" s="87"/>
      <c r="R348" s="105"/>
    </row>
    <row r="349" spans="1:18" s="170" customFormat="1">
      <c r="A349" s="23"/>
      <c r="B349" s="2" t="s">
        <v>14</v>
      </c>
      <c r="C349" s="87"/>
      <c r="D349" s="87"/>
      <c r="E349" s="87"/>
      <c r="F349" s="87"/>
      <c r="G349" s="103"/>
      <c r="H349" s="104">
        <f>SUM(H347:H348)</f>
        <v>0</v>
      </c>
      <c r="I349" s="105"/>
      <c r="J349" s="732" t="s">
        <v>239</v>
      </c>
      <c r="K349" s="733"/>
      <c r="L349" s="733"/>
      <c r="M349" s="733"/>
      <c r="N349" s="733"/>
      <c r="O349" s="733"/>
      <c r="P349" s="733"/>
      <c r="Q349" s="733"/>
      <c r="R349" s="734"/>
    </row>
    <row r="350" spans="1:18" s="170" customFormat="1">
      <c r="A350" s="23"/>
      <c r="B350" s="2" t="s">
        <v>24</v>
      </c>
      <c r="C350" s="87"/>
      <c r="D350" s="87"/>
      <c r="E350" s="87"/>
      <c r="F350" s="87"/>
      <c r="G350" s="103"/>
      <c r="H350" s="104">
        <f>H349*15%</f>
        <v>0</v>
      </c>
      <c r="I350" s="105"/>
      <c r="J350" s="735"/>
      <c r="K350" s="736"/>
      <c r="L350" s="736"/>
      <c r="M350" s="736"/>
      <c r="N350" s="736"/>
      <c r="O350" s="736"/>
      <c r="P350" s="736"/>
      <c r="Q350" s="736"/>
      <c r="R350" s="737"/>
    </row>
    <row r="351" spans="1:18" s="170" customFormat="1">
      <c r="A351" s="23"/>
      <c r="B351" s="2" t="s">
        <v>15</v>
      </c>
      <c r="C351" s="87"/>
      <c r="D351" s="87"/>
      <c r="E351" s="87"/>
      <c r="F351" s="87"/>
      <c r="G351" s="107" t="s">
        <v>16</v>
      </c>
      <c r="H351" s="37">
        <f>H350+H349</f>
        <v>0</v>
      </c>
      <c r="I351" s="108" t="str">
        <f>CONCATENATE("per ",C339, C340)</f>
        <v>per 10sqm</v>
      </c>
      <c r="J351" s="735"/>
      <c r="K351" s="736"/>
      <c r="L351" s="736"/>
      <c r="M351" s="736"/>
      <c r="N351" s="736"/>
      <c r="O351" s="736"/>
      <c r="P351" s="736"/>
      <c r="Q351" s="736"/>
      <c r="R351" s="737"/>
    </row>
    <row r="352" spans="1:18" s="170" customFormat="1">
      <c r="A352" s="23"/>
      <c r="B352" s="2"/>
      <c r="C352" s="87"/>
      <c r="D352" s="87"/>
      <c r="E352" s="87"/>
      <c r="F352" s="87"/>
      <c r="G352" s="107" t="s">
        <v>16</v>
      </c>
      <c r="H352" s="37">
        <f>H351/C339</f>
        <v>0</v>
      </c>
      <c r="I352" s="108" t="str">
        <f>CONCATENATE("per ",C340)</f>
        <v>per sqm</v>
      </c>
      <c r="J352" s="735"/>
      <c r="K352" s="736"/>
      <c r="L352" s="736"/>
      <c r="M352" s="736"/>
      <c r="N352" s="736"/>
      <c r="O352" s="736"/>
      <c r="P352" s="736"/>
      <c r="Q352" s="736"/>
      <c r="R352" s="737"/>
    </row>
    <row r="353" spans="1:18" s="170" customFormat="1">
      <c r="A353" s="23"/>
      <c r="B353" s="2" t="s">
        <v>18</v>
      </c>
      <c r="C353" s="87" t="s">
        <v>19</v>
      </c>
      <c r="D353" s="87"/>
      <c r="E353" s="87"/>
      <c r="F353" s="87"/>
      <c r="G353" s="107" t="s">
        <v>16</v>
      </c>
      <c r="H353" s="37">
        <f>CEILING(H352,0.5)</f>
        <v>0</v>
      </c>
      <c r="I353" s="108" t="str">
        <f>CONCATENATE("per ",C340)</f>
        <v>per sqm</v>
      </c>
      <c r="J353" s="735"/>
      <c r="K353" s="736"/>
      <c r="L353" s="736"/>
      <c r="M353" s="736"/>
      <c r="N353" s="736"/>
      <c r="O353" s="736"/>
      <c r="P353" s="736"/>
      <c r="Q353" s="736"/>
      <c r="R353" s="737"/>
    </row>
    <row r="354" spans="1:18" s="170" customFormat="1">
      <c r="A354" s="23"/>
      <c r="B354" s="2"/>
      <c r="C354" s="87"/>
      <c r="D354" s="87"/>
      <c r="E354" s="87"/>
      <c r="F354" s="87"/>
      <c r="G354" s="109" t="s">
        <v>17</v>
      </c>
      <c r="H354" s="37">
        <f>H353/exr</f>
        <v>0</v>
      </c>
      <c r="I354" s="108" t="str">
        <f>CONCATENATE("per ",C340)</f>
        <v>per sqm</v>
      </c>
      <c r="J354" s="738"/>
      <c r="K354" s="739"/>
      <c r="L354" s="739"/>
      <c r="M354" s="739"/>
      <c r="N354" s="739"/>
      <c r="O354" s="739"/>
      <c r="P354" s="739"/>
      <c r="Q354" s="739"/>
      <c r="R354" s="740"/>
    </row>
    <row r="355" spans="1:18" s="170" customFormat="1">
      <c r="A355" s="39"/>
      <c r="B355" s="40"/>
      <c r="C355" s="41"/>
      <c r="D355" s="41"/>
      <c r="E355" s="41"/>
      <c r="F355" s="41"/>
      <c r="G355" s="149" t="s">
        <v>460</v>
      </c>
      <c r="H355" s="150">
        <f>CEILING(0,0.0025)</f>
        <v>0</v>
      </c>
      <c r="I355" s="42"/>
      <c r="J355" s="43"/>
      <c r="K355" s="43"/>
      <c r="L355" s="43"/>
      <c r="M355" s="43"/>
      <c r="N355" s="43"/>
      <c r="O355" s="43"/>
      <c r="P355" s="43"/>
      <c r="Q355" s="43"/>
      <c r="R355" s="44"/>
    </row>
    <row r="356" spans="1:18" s="170" customFormat="1"/>
    <row r="357" spans="1:18">
      <c r="A357" s="693" t="s">
        <v>0</v>
      </c>
      <c r="B357" s="695" t="s">
        <v>1</v>
      </c>
      <c r="C357" s="695" t="s">
        <v>2</v>
      </c>
      <c r="D357" s="697" t="s">
        <v>3</v>
      </c>
      <c r="E357" s="698"/>
      <c r="F357" s="698"/>
      <c r="G357" s="698"/>
      <c r="H357" s="698"/>
      <c r="I357" s="699" t="s">
        <v>4</v>
      </c>
      <c r="J357" s="700"/>
      <c r="K357" s="700"/>
      <c r="L357" s="700"/>
      <c r="M357" s="700"/>
      <c r="N357" s="698" t="s">
        <v>5</v>
      </c>
      <c r="O357" s="698"/>
      <c r="P357" s="698"/>
      <c r="Q357" s="698"/>
      <c r="R357" s="698"/>
    </row>
    <row r="358" spans="1:18">
      <c r="A358" s="694"/>
      <c r="B358" s="696"/>
      <c r="C358" s="696"/>
      <c r="D358" s="45" t="s">
        <v>6</v>
      </c>
      <c r="E358" s="46" t="s">
        <v>2</v>
      </c>
      <c r="F358" s="46" t="s">
        <v>7</v>
      </c>
      <c r="G358" s="46" t="s">
        <v>8</v>
      </c>
      <c r="H358" s="46" t="s">
        <v>9</v>
      </c>
      <c r="I358" s="46" t="s">
        <v>10</v>
      </c>
      <c r="J358" s="46" t="s">
        <v>2</v>
      </c>
      <c r="K358" s="46" t="s">
        <v>7</v>
      </c>
      <c r="L358" s="46" t="s">
        <v>8</v>
      </c>
      <c r="M358" s="47" t="s">
        <v>9</v>
      </c>
      <c r="N358" s="46" t="s">
        <v>10</v>
      </c>
      <c r="O358" s="46" t="s">
        <v>2</v>
      </c>
      <c r="P358" s="46" t="s">
        <v>7</v>
      </c>
      <c r="Q358" s="46" t="s">
        <v>8</v>
      </c>
      <c r="R358" s="46" t="s">
        <v>9</v>
      </c>
    </row>
    <row r="359" spans="1:18">
      <c r="A359" s="33" t="s">
        <v>23</v>
      </c>
      <c r="B359" s="73" t="s">
        <v>243</v>
      </c>
      <c r="C359" s="31"/>
      <c r="D359" s="31"/>
      <c r="E359" s="31"/>
      <c r="F359" s="31"/>
      <c r="G359" s="31"/>
      <c r="H359" s="31"/>
      <c r="I359" s="31"/>
      <c r="J359" s="31"/>
      <c r="K359" s="31"/>
      <c r="L359" s="31"/>
      <c r="M359" s="31"/>
      <c r="N359" s="31"/>
      <c r="O359" s="31"/>
      <c r="P359" s="31"/>
      <c r="Q359" s="31"/>
      <c r="R359" s="32"/>
    </row>
    <row r="360" spans="1:18">
      <c r="A360" s="34">
        <f>A339+1</f>
        <v>18</v>
      </c>
      <c r="B360" s="713" t="s">
        <v>240</v>
      </c>
      <c r="C360" s="66">
        <v>10</v>
      </c>
      <c r="D360" s="4"/>
      <c r="E360" s="6"/>
      <c r="F360" s="29"/>
      <c r="G360" s="26"/>
      <c r="H360" s="26"/>
      <c r="I360" s="6"/>
      <c r="J360" s="6"/>
      <c r="K360" s="29"/>
      <c r="L360" s="26"/>
      <c r="M360" s="26"/>
      <c r="N360" s="6"/>
      <c r="O360" s="6"/>
      <c r="P360" s="29"/>
      <c r="Q360" s="26"/>
      <c r="R360" s="26"/>
    </row>
    <row r="361" spans="1:18">
      <c r="A361" s="2"/>
      <c r="B361" s="714"/>
      <c r="C361" s="124" t="s">
        <v>127</v>
      </c>
      <c r="D361" s="4" t="s">
        <v>241</v>
      </c>
      <c r="E361" s="6" t="s">
        <v>81</v>
      </c>
      <c r="F361" s="29">
        <v>3</v>
      </c>
      <c r="G361" s="26">
        <f>sr</f>
        <v>1100</v>
      </c>
      <c r="H361" s="26">
        <f>F361*G361</f>
        <v>3300</v>
      </c>
      <c r="I361" s="7" t="s">
        <v>230</v>
      </c>
      <c r="J361" s="8" t="s">
        <v>11</v>
      </c>
      <c r="K361" s="29">
        <f>0.6/6</f>
        <v>9.9999999999999992E-2</v>
      </c>
      <c r="L361" s="28">
        <f>planks</f>
        <v>34635.06</v>
      </c>
      <c r="M361" s="26">
        <f>K361*L361</f>
        <v>3463.5059999999994</v>
      </c>
      <c r="N361" s="8"/>
      <c r="O361" s="6"/>
      <c r="P361" s="29"/>
      <c r="Q361" s="28"/>
      <c r="R361" s="26"/>
    </row>
    <row r="362" spans="1:18">
      <c r="A362" s="2"/>
      <c r="B362" s="714"/>
      <c r="C362" s="6"/>
      <c r="D362" s="4" t="s">
        <v>242</v>
      </c>
      <c r="E362" s="6" t="s">
        <v>81</v>
      </c>
      <c r="F362" s="29">
        <v>3</v>
      </c>
      <c r="G362" s="26">
        <f>ur</f>
        <v>850</v>
      </c>
      <c r="H362" s="26">
        <f>F362*G362</f>
        <v>2550</v>
      </c>
      <c r="I362" s="7" t="s">
        <v>231</v>
      </c>
      <c r="J362" s="8" t="s">
        <v>11</v>
      </c>
      <c r="K362" s="29">
        <f>0.22/8</f>
        <v>2.75E-2</v>
      </c>
      <c r="L362" s="154">
        <f>AVERAGE(timber,planks)</f>
        <v>64135.06</v>
      </c>
      <c r="M362" s="26">
        <f>K362*L362</f>
        <v>1763.71415</v>
      </c>
      <c r="N362" s="8"/>
      <c r="O362" s="6"/>
      <c r="P362" s="29"/>
      <c r="Q362" s="28"/>
      <c r="R362" s="26"/>
    </row>
    <row r="363" spans="1:18">
      <c r="A363" s="2"/>
      <c r="B363" s="714"/>
      <c r="C363" s="6"/>
      <c r="D363" s="4"/>
      <c r="E363" s="6"/>
      <c r="F363" s="29"/>
      <c r="G363" s="26"/>
      <c r="H363" s="26"/>
      <c r="I363" s="7" t="s">
        <v>232</v>
      </c>
      <c r="J363" s="8" t="s">
        <v>28</v>
      </c>
      <c r="K363" s="29">
        <v>4</v>
      </c>
      <c r="L363" s="28">
        <f>nails/1000</f>
        <v>124.14419000000001</v>
      </c>
      <c r="M363" s="26">
        <f>K363*L363</f>
        <v>496.57676000000004</v>
      </c>
      <c r="N363" s="8"/>
      <c r="O363" s="6"/>
      <c r="P363" s="29"/>
      <c r="Q363" s="28"/>
      <c r="R363" s="26"/>
    </row>
    <row r="364" spans="1:18">
      <c r="A364" s="2"/>
      <c r="B364" s="714"/>
      <c r="C364" s="6"/>
      <c r="D364" s="4"/>
      <c r="E364" s="6"/>
      <c r="F364" s="29"/>
      <c r="G364" s="26"/>
      <c r="H364" s="26"/>
      <c r="I364" s="7"/>
      <c r="J364" s="8"/>
      <c r="K364" s="29"/>
      <c r="L364" s="28"/>
      <c r="M364" s="26"/>
      <c r="N364" s="8"/>
      <c r="O364" s="6"/>
      <c r="P364" s="29"/>
      <c r="Q364" s="28"/>
      <c r="R364" s="26"/>
    </row>
    <row r="365" spans="1:18">
      <c r="A365" s="2"/>
      <c r="B365" s="714"/>
      <c r="C365" s="6"/>
      <c r="D365" s="4"/>
      <c r="E365" s="6"/>
      <c r="F365" s="29"/>
      <c r="G365" s="26"/>
      <c r="H365" s="26"/>
      <c r="I365" s="7"/>
      <c r="J365" s="8"/>
      <c r="K365" s="29"/>
      <c r="L365" s="28"/>
      <c r="M365" s="28"/>
      <c r="N365" s="8"/>
      <c r="O365" s="6"/>
      <c r="P365" s="29"/>
      <c r="Q365" s="28"/>
      <c r="R365" s="28"/>
    </row>
    <row r="366" spans="1:18">
      <c r="A366" s="2"/>
      <c r="B366" s="5"/>
      <c r="C366" s="6"/>
      <c r="D366" s="4"/>
      <c r="E366" s="9"/>
      <c r="F366" s="30"/>
      <c r="G366" s="27"/>
      <c r="H366" s="27"/>
      <c r="I366" s="9"/>
      <c r="J366" s="10"/>
      <c r="K366" s="30"/>
      <c r="L366" s="28"/>
      <c r="M366" s="28"/>
      <c r="N366" s="8"/>
      <c r="O366" s="6"/>
      <c r="P366" s="30"/>
      <c r="Q366" s="28"/>
      <c r="R366" s="28"/>
    </row>
    <row r="367" spans="1:18">
      <c r="A367" s="2"/>
      <c r="B367" s="11"/>
      <c r="C367" s="6"/>
      <c r="D367" s="12"/>
      <c r="E367" s="59"/>
      <c r="F367" s="13"/>
      <c r="G367" s="13" t="s">
        <v>20</v>
      </c>
      <c r="H367" s="25">
        <f>SUM(H360:H366)</f>
        <v>5850</v>
      </c>
      <c r="I367" s="703"/>
      <c r="J367" s="703"/>
      <c r="K367" s="14"/>
      <c r="L367" s="13" t="s">
        <v>21</v>
      </c>
      <c r="M367" s="25">
        <f>SUM(M360:M366)</f>
        <v>5723.7969099999991</v>
      </c>
      <c r="N367" s="3"/>
      <c r="O367" s="14"/>
      <c r="P367" s="14"/>
      <c r="Q367" s="13" t="s">
        <v>22</v>
      </c>
      <c r="R367" s="25">
        <f>SUM(R360:R366)</f>
        <v>0</v>
      </c>
    </row>
    <row r="368" spans="1:18">
      <c r="A368" s="2"/>
      <c r="B368" s="16" t="s">
        <v>13</v>
      </c>
      <c r="C368" s="14"/>
      <c r="D368" s="14"/>
      <c r="E368" s="14"/>
      <c r="F368" s="14"/>
      <c r="G368" s="13"/>
      <c r="H368" s="35">
        <f>M367+R367+H367</f>
        <v>11573.796909999999</v>
      </c>
      <c r="I368" s="17"/>
      <c r="J368" s="14"/>
      <c r="K368" s="14"/>
      <c r="L368" s="13"/>
      <c r="M368" s="15"/>
      <c r="N368" s="14"/>
      <c r="O368" s="14"/>
      <c r="P368" s="14"/>
      <c r="Q368" s="14"/>
      <c r="R368" s="17"/>
    </row>
    <row r="369" spans="1:18">
      <c r="A369" s="2"/>
      <c r="B369" s="11" t="s">
        <v>25</v>
      </c>
      <c r="C369" s="4"/>
      <c r="D369" s="4"/>
      <c r="E369" s="4"/>
      <c r="F369" s="4"/>
      <c r="G369" s="18"/>
      <c r="H369" s="36">
        <v>0</v>
      </c>
      <c r="I369" s="20"/>
      <c r="J369" s="4" t="s">
        <v>26</v>
      </c>
      <c r="K369" s="4"/>
      <c r="L369" s="18"/>
      <c r="M369" s="19"/>
      <c r="N369" s="4"/>
      <c r="O369" s="4"/>
      <c r="P369" s="4"/>
      <c r="Q369" s="4"/>
      <c r="R369" s="20"/>
    </row>
    <row r="370" spans="1:18">
      <c r="A370" s="23"/>
      <c r="B370" s="11" t="s">
        <v>14</v>
      </c>
      <c r="C370" s="4"/>
      <c r="D370" s="4"/>
      <c r="E370" s="4"/>
      <c r="F370" s="4"/>
      <c r="G370" s="18"/>
      <c r="H370" s="36">
        <f>SUM(H368:H369)</f>
        <v>11573.796909999999</v>
      </c>
      <c r="I370" s="20"/>
      <c r="J370" s="741"/>
      <c r="K370" s="742"/>
      <c r="L370" s="742"/>
      <c r="M370" s="742"/>
      <c r="N370" s="742"/>
      <c r="O370" s="742"/>
      <c r="P370" s="742"/>
      <c r="Q370" s="742"/>
      <c r="R370" s="743"/>
    </row>
    <row r="371" spans="1:18">
      <c r="A371" s="23"/>
      <c r="B371" s="11" t="s">
        <v>24</v>
      </c>
      <c r="C371" s="4"/>
      <c r="D371" s="4"/>
      <c r="E371" s="4"/>
      <c r="F371" s="4"/>
      <c r="G371" s="18"/>
      <c r="H371" s="36">
        <f>H370*15%</f>
        <v>1736.0695364999999</v>
      </c>
      <c r="I371" s="20"/>
      <c r="J371" s="744"/>
      <c r="K371" s="745"/>
      <c r="L371" s="745"/>
      <c r="M371" s="745"/>
      <c r="N371" s="745"/>
      <c r="O371" s="745"/>
      <c r="P371" s="745"/>
      <c r="Q371" s="745"/>
      <c r="R371" s="746"/>
    </row>
    <row r="372" spans="1:18">
      <c r="A372" s="23"/>
      <c r="B372" s="11" t="s">
        <v>15</v>
      </c>
      <c r="C372" s="4"/>
      <c r="D372" s="4"/>
      <c r="E372" s="4"/>
      <c r="F372" s="4"/>
      <c r="G372" s="21" t="s">
        <v>16</v>
      </c>
      <c r="H372" s="37">
        <f>H371+H370</f>
        <v>13309.866446499998</v>
      </c>
      <c r="I372" s="38" t="str">
        <f>CONCATENATE("per ",C360, C361)</f>
        <v>per 10sqm</v>
      </c>
      <c r="J372" s="744"/>
      <c r="K372" s="745"/>
      <c r="L372" s="745"/>
      <c r="M372" s="745"/>
      <c r="N372" s="745"/>
      <c r="O372" s="745"/>
      <c r="P372" s="745"/>
      <c r="Q372" s="745"/>
      <c r="R372" s="746"/>
    </row>
    <row r="373" spans="1:18">
      <c r="A373" s="23"/>
      <c r="B373" s="11"/>
      <c r="C373" s="4"/>
      <c r="D373" s="4"/>
      <c r="E373" s="4"/>
      <c r="F373" s="4"/>
      <c r="G373" s="21" t="s">
        <v>16</v>
      </c>
      <c r="H373" s="37">
        <f>H372/C360</f>
        <v>1330.9866446499998</v>
      </c>
      <c r="I373" s="38" t="str">
        <f>CONCATENATE("per ",C361)</f>
        <v>per sqm</v>
      </c>
      <c r="J373" s="744"/>
      <c r="K373" s="745"/>
      <c r="L373" s="745"/>
      <c r="M373" s="745"/>
      <c r="N373" s="745"/>
      <c r="O373" s="745"/>
      <c r="P373" s="745"/>
      <c r="Q373" s="745"/>
      <c r="R373" s="746"/>
    </row>
    <row r="374" spans="1:18">
      <c r="A374" s="23"/>
      <c r="B374" s="11" t="s">
        <v>18</v>
      </c>
      <c r="C374" s="4" t="s">
        <v>19</v>
      </c>
      <c r="D374" s="4"/>
      <c r="E374" s="4"/>
      <c r="F374" s="4"/>
      <c r="G374" s="21" t="s">
        <v>16</v>
      </c>
      <c r="H374" s="37">
        <f>CEILING(H373,0.5)</f>
        <v>1331</v>
      </c>
      <c r="I374" s="38" t="str">
        <f>CONCATENATE("per ",C361)</f>
        <v>per sqm</v>
      </c>
      <c r="J374" s="744"/>
      <c r="K374" s="745"/>
      <c r="L374" s="745"/>
      <c r="M374" s="745"/>
      <c r="N374" s="745"/>
      <c r="O374" s="745"/>
      <c r="P374" s="745"/>
      <c r="Q374" s="745"/>
      <c r="R374" s="746"/>
    </row>
    <row r="375" spans="1:18">
      <c r="A375" s="23"/>
      <c r="B375" s="11"/>
      <c r="C375" s="4"/>
      <c r="D375" s="4"/>
      <c r="E375" s="4"/>
      <c r="F375" s="4"/>
      <c r="G375" s="24" t="s">
        <v>17</v>
      </c>
      <c r="H375" s="37">
        <f>H374/exr</f>
        <v>10.238461538461538</v>
      </c>
      <c r="I375" s="38" t="str">
        <f>CONCATENATE("per ",C361)</f>
        <v>per sqm</v>
      </c>
      <c r="J375" s="747"/>
      <c r="K375" s="748"/>
      <c r="L375" s="748"/>
      <c r="M375" s="748"/>
      <c r="N375" s="748"/>
      <c r="O375" s="748"/>
      <c r="P375" s="748"/>
      <c r="Q375" s="748"/>
      <c r="R375" s="749"/>
    </row>
    <row r="376" spans="1:18">
      <c r="A376" s="39"/>
      <c r="B376" s="40"/>
      <c r="C376" s="41"/>
      <c r="D376" s="41"/>
      <c r="E376" s="41"/>
      <c r="F376" s="41"/>
      <c r="G376" s="149" t="s">
        <v>460</v>
      </c>
      <c r="H376" s="150">
        <f>CEILING(SUM(M363)/H368,0.0025)</f>
        <v>4.4999999999999998E-2</v>
      </c>
      <c r="I376" s="42"/>
      <c r="J376" s="43"/>
      <c r="K376" s="43"/>
      <c r="L376" s="43"/>
      <c r="M376" s="43"/>
      <c r="N376" s="43"/>
      <c r="O376" s="43"/>
      <c r="P376" s="43"/>
      <c r="Q376" s="43"/>
      <c r="R376" s="44"/>
    </row>
    <row r="378" spans="1:18">
      <c r="A378" s="693" t="s">
        <v>0</v>
      </c>
      <c r="B378" s="695" t="s">
        <v>1</v>
      </c>
      <c r="C378" s="695" t="s">
        <v>2</v>
      </c>
      <c r="D378" s="697" t="s">
        <v>3</v>
      </c>
      <c r="E378" s="698"/>
      <c r="F378" s="698"/>
      <c r="G378" s="698"/>
      <c r="H378" s="698"/>
      <c r="I378" s="699" t="s">
        <v>4</v>
      </c>
      <c r="J378" s="700"/>
      <c r="K378" s="700"/>
      <c r="L378" s="700"/>
      <c r="M378" s="700"/>
      <c r="N378" s="698" t="s">
        <v>5</v>
      </c>
      <c r="O378" s="698"/>
      <c r="P378" s="698"/>
      <c r="Q378" s="698"/>
      <c r="R378" s="698"/>
    </row>
    <row r="379" spans="1:18">
      <c r="A379" s="694"/>
      <c r="B379" s="696"/>
      <c r="C379" s="696"/>
      <c r="D379" s="45" t="s">
        <v>6</v>
      </c>
      <c r="E379" s="46" t="s">
        <v>2</v>
      </c>
      <c r="F379" s="46" t="s">
        <v>7</v>
      </c>
      <c r="G379" s="46" t="s">
        <v>8</v>
      </c>
      <c r="H379" s="46" t="s">
        <v>9</v>
      </c>
      <c r="I379" s="46" t="s">
        <v>10</v>
      </c>
      <c r="J379" s="46" t="s">
        <v>2</v>
      </c>
      <c r="K379" s="46" t="s">
        <v>7</v>
      </c>
      <c r="L379" s="46" t="s">
        <v>8</v>
      </c>
      <c r="M379" s="47" t="s">
        <v>9</v>
      </c>
      <c r="N379" s="46" t="s">
        <v>10</v>
      </c>
      <c r="O379" s="46" t="s">
        <v>2</v>
      </c>
      <c r="P379" s="46" t="s">
        <v>7</v>
      </c>
      <c r="Q379" s="46" t="s">
        <v>8</v>
      </c>
      <c r="R379" s="46" t="s">
        <v>9</v>
      </c>
    </row>
    <row r="380" spans="1:18">
      <c r="A380" s="33" t="s">
        <v>23</v>
      </c>
      <c r="B380" s="73" t="s">
        <v>245</v>
      </c>
      <c r="C380" s="31"/>
      <c r="D380" s="31"/>
      <c r="E380" s="31"/>
      <c r="F380" s="31"/>
      <c r="G380" s="31"/>
      <c r="H380" s="31"/>
      <c r="I380" s="31"/>
      <c r="J380" s="31"/>
      <c r="K380" s="31"/>
      <c r="L380" s="31"/>
      <c r="M380" s="31"/>
      <c r="N380" s="31"/>
      <c r="O380" s="31"/>
      <c r="P380" s="31"/>
      <c r="Q380" s="31"/>
      <c r="R380" s="32"/>
    </row>
    <row r="381" spans="1:18">
      <c r="A381" s="34">
        <f>A360+1</f>
        <v>19</v>
      </c>
      <c r="B381" s="713" t="s">
        <v>244</v>
      </c>
      <c r="C381" s="66">
        <v>10</v>
      </c>
      <c r="D381" s="4"/>
      <c r="E381" s="6"/>
      <c r="F381" s="29"/>
      <c r="G381" s="26"/>
      <c r="H381" s="26"/>
      <c r="I381" s="6"/>
      <c r="J381" s="6"/>
      <c r="K381" s="29"/>
      <c r="L381" s="26"/>
      <c r="M381" s="26"/>
      <c r="N381" s="6"/>
      <c r="O381" s="6"/>
      <c r="P381" s="29"/>
      <c r="Q381" s="26"/>
      <c r="R381" s="26"/>
    </row>
    <row r="382" spans="1:18">
      <c r="A382" s="2"/>
      <c r="B382" s="714"/>
      <c r="C382" s="124" t="s">
        <v>127</v>
      </c>
      <c r="D382" s="4" t="s">
        <v>241</v>
      </c>
      <c r="E382" s="6" t="s">
        <v>81</v>
      </c>
      <c r="F382" s="29">
        <v>3.5</v>
      </c>
      <c r="G382" s="26">
        <f>sr</f>
        <v>1100</v>
      </c>
      <c r="H382" s="26">
        <f>F382*G382</f>
        <v>3850</v>
      </c>
      <c r="I382" s="7" t="s">
        <v>234</v>
      </c>
      <c r="J382" s="8" t="s">
        <v>127</v>
      </c>
      <c r="K382" s="29">
        <f>11/6</f>
        <v>1.8333333333333333</v>
      </c>
      <c r="L382" s="28">
        <f>plywood</f>
        <v>420.36</v>
      </c>
      <c r="M382" s="26">
        <f>K382*L382</f>
        <v>770.66</v>
      </c>
      <c r="N382" s="8"/>
      <c r="O382" s="6"/>
      <c r="P382" s="29"/>
      <c r="Q382" s="28"/>
      <c r="R382" s="26"/>
    </row>
    <row r="383" spans="1:18">
      <c r="A383" s="2"/>
      <c r="B383" s="714"/>
      <c r="C383" s="6"/>
      <c r="D383" s="4" t="s">
        <v>242</v>
      </c>
      <c r="E383" s="6" t="s">
        <v>81</v>
      </c>
      <c r="F383" s="29">
        <v>3</v>
      </c>
      <c r="G383" s="26">
        <f>ur</f>
        <v>850</v>
      </c>
      <c r="H383" s="26">
        <f>F383*G383</f>
        <v>2550</v>
      </c>
      <c r="I383" s="7" t="s">
        <v>231</v>
      </c>
      <c r="J383" s="8" t="s">
        <v>11</v>
      </c>
      <c r="K383" s="29">
        <f>0.3/6</f>
        <v>4.9999999999999996E-2</v>
      </c>
      <c r="L383" s="154">
        <f>AVERAGE(timber,planks)</f>
        <v>64135.06</v>
      </c>
      <c r="M383" s="26">
        <f>K383*L383</f>
        <v>3206.7529999999997</v>
      </c>
      <c r="N383" s="8"/>
      <c r="O383" s="6"/>
      <c r="P383" s="29"/>
      <c r="Q383" s="28"/>
      <c r="R383" s="26"/>
    </row>
    <row r="384" spans="1:18">
      <c r="A384" s="2"/>
      <c r="B384" s="714"/>
      <c r="C384" s="6"/>
      <c r="D384" s="4"/>
      <c r="E384" s="6"/>
      <c r="F384" s="29"/>
      <c r="G384" s="26"/>
      <c r="H384" s="26"/>
      <c r="I384" s="7" t="s">
        <v>232</v>
      </c>
      <c r="J384" s="8" t="s">
        <v>28</v>
      </c>
      <c r="K384" s="29">
        <v>4</v>
      </c>
      <c r="L384" s="28">
        <f>nails/1000</f>
        <v>124.14419000000001</v>
      </c>
      <c r="M384" s="26">
        <f>K384*L384</f>
        <v>496.57676000000004</v>
      </c>
      <c r="N384" s="8"/>
      <c r="O384" s="6"/>
      <c r="P384" s="29"/>
      <c r="Q384" s="28"/>
      <c r="R384" s="26"/>
    </row>
    <row r="385" spans="1:18">
      <c r="A385" s="2"/>
      <c r="B385" s="714"/>
      <c r="C385" s="6"/>
      <c r="D385" s="4"/>
      <c r="E385" s="6"/>
      <c r="F385" s="29"/>
      <c r="G385" s="26"/>
      <c r="H385" s="26"/>
      <c r="I385" s="7"/>
      <c r="J385" s="8"/>
      <c r="K385" s="29"/>
      <c r="L385" s="28"/>
      <c r="M385" s="26"/>
      <c r="N385" s="8"/>
      <c r="O385" s="6"/>
      <c r="P385" s="29"/>
      <c r="Q385" s="28"/>
      <c r="R385" s="26"/>
    </row>
    <row r="386" spans="1:18">
      <c r="A386" s="2"/>
      <c r="B386" s="714"/>
      <c r="C386" s="6"/>
      <c r="D386" s="4"/>
      <c r="E386" s="6"/>
      <c r="F386" s="29"/>
      <c r="G386" s="26"/>
      <c r="H386" s="26"/>
      <c r="I386" s="7"/>
      <c r="J386" s="8"/>
      <c r="K386" s="29"/>
      <c r="L386" s="28"/>
      <c r="M386" s="28"/>
      <c r="N386" s="8"/>
      <c r="O386" s="6"/>
      <c r="P386" s="29"/>
      <c r="Q386" s="28"/>
      <c r="R386" s="28"/>
    </row>
    <row r="387" spans="1:18">
      <c r="A387" s="2"/>
      <c r="B387" s="5"/>
      <c r="C387" s="6"/>
      <c r="D387" s="4"/>
      <c r="E387" s="9"/>
      <c r="F387" s="30"/>
      <c r="G387" s="27"/>
      <c r="H387" s="27"/>
      <c r="I387" s="9"/>
      <c r="J387" s="10"/>
      <c r="K387" s="30"/>
      <c r="L387" s="28"/>
      <c r="M387" s="28"/>
      <c r="N387" s="8"/>
      <c r="O387" s="6"/>
      <c r="P387" s="30"/>
      <c r="Q387" s="28"/>
      <c r="R387" s="28"/>
    </row>
    <row r="388" spans="1:18">
      <c r="A388" s="2"/>
      <c r="B388" s="11"/>
      <c r="C388" s="6"/>
      <c r="D388" s="12"/>
      <c r="E388" s="59"/>
      <c r="F388" s="13"/>
      <c r="G388" s="13" t="s">
        <v>20</v>
      </c>
      <c r="H388" s="25">
        <f>SUM(H381:H387)</f>
        <v>6400</v>
      </c>
      <c r="I388" s="703"/>
      <c r="J388" s="703"/>
      <c r="K388" s="14"/>
      <c r="L388" s="13" t="s">
        <v>21</v>
      </c>
      <c r="M388" s="25">
        <f>SUM(M381:M387)</f>
        <v>4473.9897599999995</v>
      </c>
      <c r="N388" s="3"/>
      <c r="O388" s="14"/>
      <c r="P388" s="14"/>
      <c r="Q388" s="13" t="s">
        <v>22</v>
      </c>
      <c r="R388" s="25">
        <f>SUM(R381:R387)</f>
        <v>0</v>
      </c>
    </row>
    <row r="389" spans="1:18">
      <c r="A389" s="2"/>
      <c r="B389" s="16" t="s">
        <v>13</v>
      </c>
      <c r="C389" s="14"/>
      <c r="D389" s="14"/>
      <c r="E389" s="14"/>
      <c r="F389" s="14"/>
      <c r="G389" s="13"/>
      <c r="H389" s="35">
        <f>M388+R388+H388</f>
        <v>10873.98976</v>
      </c>
      <c r="I389" s="17"/>
      <c r="J389" s="14"/>
      <c r="K389" s="14"/>
      <c r="L389" s="13"/>
      <c r="M389" s="15"/>
      <c r="N389" s="14"/>
      <c r="O389" s="14"/>
      <c r="P389" s="14"/>
      <c r="Q389" s="14"/>
      <c r="R389" s="17"/>
    </row>
    <row r="390" spans="1:18">
      <c r="A390" s="2"/>
      <c r="B390" s="11" t="s">
        <v>25</v>
      </c>
      <c r="C390" s="4"/>
      <c r="D390" s="4"/>
      <c r="E390" s="4"/>
      <c r="F390" s="4"/>
      <c r="G390" s="18"/>
      <c r="H390" s="36">
        <v>0</v>
      </c>
      <c r="I390" s="20"/>
      <c r="J390" s="4" t="s">
        <v>26</v>
      </c>
      <c r="K390" s="4"/>
      <c r="L390" s="18"/>
      <c r="M390" s="19"/>
      <c r="N390" s="4"/>
      <c r="O390" s="4"/>
      <c r="P390" s="4"/>
      <c r="Q390" s="4"/>
      <c r="R390" s="20"/>
    </row>
    <row r="391" spans="1:18">
      <c r="A391" s="23"/>
      <c r="B391" s="11" t="s">
        <v>14</v>
      </c>
      <c r="C391" s="4"/>
      <c r="D391" s="4"/>
      <c r="E391" s="4"/>
      <c r="F391" s="4"/>
      <c r="G391" s="18"/>
      <c r="H391" s="36">
        <f>SUM(H389:H390)</f>
        <v>10873.98976</v>
      </c>
      <c r="I391" s="20"/>
      <c r="J391" s="741"/>
      <c r="K391" s="742"/>
      <c r="L391" s="742"/>
      <c r="M391" s="742"/>
      <c r="N391" s="742"/>
      <c r="O391" s="742"/>
      <c r="P391" s="742"/>
      <c r="Q391" s="742"/>
      <c r="R391" s="743"/>
    </row>
    <row r="392" spans="1:18">
      <c r="A392" s="23"/>
      <c r="B392" s="11" t="s">
        <v>24</v>
      </c>
      <c r="C392" s="4"/>
      <c r="D392" s="4"/>
      <c r="E392" s="4"/>
      <c r="F392" s="4"/>
      <c r="G392" s="18"/>
      <c r="H392" s="36">
        <f>H391*15%</f>
        <v>1631.0984639999999</v>
      </c>
      <c r="I392" s="20"/>
      <c r="J392" s="744"/>
      <c r="K392" s="745"/>
      <c r="L392" s="745"/>
      <c r="M392" s="745"/>
      <c r="N392" s="745"/>
      <c r="O392" s="745"/>
      <c r="P392" s="745"/>
      <c r="Q392" s="745"/>
      <c r="R392" s="746"/>
    </row>
    <row r="393" spans="1:18">
      <c r="A393" s="23"/>
      <c r="B393" s="11" t="s">
        <v>15</v>
      </c>
      <c r="C393" s="4"/>
      <c r="D393" s="4"/>
      <c r="E393" s="4"/>
      <c r="F393" s="4"/>
      <c r="G393" s="21" t="s">
        <v>16</v>
      </c>
      <c r="H393" s="37">
        <f>H392+H391</f>
        <v>12505.088224000001</v>
      </c>
      <c r="I393" s="38" t="str">
        <f>CONCATENATE("per ",C381, C382)</f>
        <v>per 10sqm</v>
      </c>
      <c r="J393" s="744"/>
      <c r="K393" s="745"/>
      <c r="L393" s="745"/>
      <c r="M393" s="745"/>
      <c r="N393" s="745"/>
      <c r="O393" s="745"/>
      <c r="P393" s="745"/>
      <c r="Q393" s="745"/>
      <c r="R393" s="746"/>
    </row>
    <row r="394" spans="1:18">
      <c r="A394" s="23"/>
      <c r="B394" s="11"/>
      <c r="C394" s="4"/>
      <c r="D394" s="4"/>
      <c r="E394" s="4"/>
      <c r="F394" s="4"/>
      <c r="G394" s="21" t="s">
        <v>16</v>
      </c>
      <c r="H394" s="37">
        <f>H393/C381</f>
        <v>1250.5088224000001</v>
      </c>
      <c r="I394" s="38" t="str">
        <f>CONCATENATE("per ",C382)</f>
        <v>per sqm</v>
      </c>
      <c r="J394" s="744"/>
      <c r="K394" s="745"/>
      <c r="L394" s="745"/>
      <c r="M394" s="745"/>
      <c r="N394" s="745"/>
      <c r="O394" s="745"/>
      <c r="P394" s="745"/>
      <c r="Q394" s="745"/>
      <c r="R394" s="746"/>
    </row>
    <row r="395" spans="1:18">
      <c r="A395" s="23"/>
      <c r="B395" s="11" t="s">
        <v>18</v>
      </c>
      <c r="C395" s="4" t="s">
        <v>19</v>
      </c>
      <c r="D395" s="4"/>
      <c r="E395" s="4"/>
      <c r="F395" s="4"/>
      <c r="G395" s="21" t="s">
        <v>16</v>
      </c>
      <c r="H395" s="37">
        <f>CEILING(H394,0.5)</f>
        <v>1251</v>
      </c>
      <c r="I395" s="38" t="str">
        <f>CONCATENATE("per ",C382)</f>
        <v>per sqm</v>
      </c>
      <c r="J395" s="744"/>
      <c r="K395" s="745"/>
      <c r="L395" s="745"/>
      <c r="M395" s="745"/>
      <c r="N395" s="745"/>
      <c r="O395" s="745"/>
      <c r="P395" s="745"/>
      <c r="Q395" s="745"/>
      <c r="R395" s="746"/>
    </row>
    <row r="396" spans="1:18">
      <c r="A396" s="23"/>
      <c r="B396" s="11"/>
      <c r="C396" s="4"/>
      <c r="D396" s="4"/>
      <c r="E396" s="4"/>
      <c r="F396" s="4"/>
      <c r="G396" s="24" t="s">
        <v>17</v>
      </c>
      <c r="H396" s="37">
        <f>H395/exr</f>
        <v>9.6230769230769226</v>
      </c>
      <c r="I396" s="38" t="str">
        <f>CONCATENATE("per ",C382)</f>
        <v>per sqm</v>
      </c>
      <c r="J396" s="747"/>
      <c r="K396" s="748"/>
      <c r="L396" s="748"/>
      <c r="M396" s="748"/>
      <c r="N396" s="748"/>
      <c r="O396" s="748"/>
      <c r="P396" s="748"/>
      <c r="Q396" s="748"/>
      <c r="R396" s="749"/>
    </row>
    <row r="397" spans="1:18">
      <c r="A397" s="39"/>
      <c r="B397" s="40"/>
      <c r="C397" s="41"/>
      <c r="D397" s="41"/>
      <c r="E397" s="41"/>
      <c r="F397" s="41"/>
      <c r="G397" s="149" t="s">
        <v>460</v>
      </c>
      <c r="H397" s="150">
        <f>CEILING(SUM(M384)/H389,0.0025)</f>
        <v>4.7500000000000001E-2</v>
      </c>
      <c r="I397" s="42"/>
      <c r="J397" s="43"/>
      <c r="K397" s="43"/>
      <c r="L397" s="43"/>
      <c r="M397" s="43"/>
      <c r="N397" s="43"/>
      <c r="O397" s="43"/>
      <c r="P397" s="43"/>
      <c r="Q397" s="43"/>
      <c r="R397" s="44"/>
    </row>
  </sheetData>
  <mergeCells count="171">
    <mergeCell ref="C42:C43"/>
    <mergeCell ref="D42:H42"/>
    <mergeCell ref="I105:M105"/>
    <mergeCell ref="J13:R18"/>
    <mergeCell ref="N21:R21"/>
    <mergeCell ref="B21:B22"/>
    <mergeCell ref="C21:C22"/>
    <mergeCell ref="D21:H21"/>
    <mergeCell ref="I21:M21"/>
    <mergeCell ref="B66:B71"/>
    <mergeCell ref="B87:B92"/>
    <mergeCell ref="I84:M84"/>
    <mergeCell ref="I94:J94"/>
    <mergeCell ref="J76:R81"/>
    <mergeCell ref="I73:J73"/>
    <mergeCell ref="A1:A2"/>
    <mergeCell ref="B1:B2"/>
    <mergeCell ref="C1:C2"/>
    <mergeCell ref="D1:H1"/>
    <mergeCell ref="A63:A64"/>
    <mergeCell ref="B63:B64"/>
    <mergeCell ref="C63:C64"/>
    <mergeCell ref="B45:B50"/>
    <mergeCell ref="I1:M1"/>
    <mergeCell ref="A42:A43"/>
    <mergeCell ref="B24:B29"/>
    <mergeCell ref="A21:A22"/>
    <mergeCell ref="D63:H63"/>
    <mergeCell ref="I63:M63"/>
    <mergeCell ref="J34:R39"/>
    <mergeCell ref="J55:R60"/>
    <mergeCell ref="I42:M42"/>
    <mergeCell ref="N42:R42"/>
    <mergeCell ref="I52:J52"/>
    <mergeCell ref="N1:R1"/>
    <mergeCell ref="I31:J31"/>
    <mergeCell ref="B4:B8"/>
    <mergeCell ref="I10:J10"/>
    <mergeCell ref="B42:B43"/>
    <mergeCell ref="A126:A127"/>
    <mergeCell ref="B126:B127"/>
    <mergeCell ref="C126:C127"/>
    <mergeCell ref="D126:H126"/>
    <mergeCell ref="A84:A85"/>
    <mergeCell ref="B84:B85"/>
    <mergeCell ref="C84:C85"/>
    <mergeCell ref="D84:H84"/>
    <mergeCell ref="B105:B106"/>
    <mergeCell ref="A105:A106"/>
    <mergeCell ref="I126:M126"/>
    <mergeCell ref="N126:R126"/>
    <mergeCell ref="J97:R102"/>
    <mergeCell ref="N84:R84"/>
    <mergeCell ref="N63:R63"/>
    <mergeCell ref="I388:J388"/>
    <mergeCell ref="N105:R105"/>
    <mergeCell ref="B108:B113"/>
    <mergeCell ref="I115:J115"/>
    <mergeCell ref="J118:R123"/>
    <mergeCell ref="N357:R357"/>
    <mergeCell ref="C105:C106"/>
    <mergeCell ref="D105:H105"/>
    <mergeCell ref="I357:M357"/>
    <mergeCell ref="B357:B358"/>
    <mergeCell ref="C357:C358"/>
    <mergeCell ref="D357:H357"/>
    <mergeCell ref="B381:B386"/>
    <mergeCell ref="B360:B365"/>
    <mergeCell ref="J223:R228"/>
    <mergeCell ref="J391:R396"/>
    <mergeCell ref="I367:J367"/>
    <mergeCell ref="J370:R375"/>
    <mergeCell ref="A378:A379"/>
    <mergeCell ref="B378:B379"/>
    <mergeCell ref="C378:C379"/>
    <mergeCell ref="D378:H378"/>
    <mergeCell ref="I378:M378"/>
    <mergeCell ref="B129:B134"/>
    <mergeCell ref="I136:J136"/>
    <mergeCell ref="J139:R144"/>
    <mergeCell ref="B150:B155"/>
    <mergeCell ref="I157:J157"/>
    <mergeCell ref="J160:R165"/>
    <mergeCell ref="N378:R378"/>
    <mergeCell ref="A147:A148"/>
    <mergeCell ref="B147:B148"/>
    <mergeCell ref="C147:C148"/>
    <mergeCell ref="D147:H147"/>
    <mergeCell ref="I147:M147"/>
    <mergeCell ref="N147:R147"/>
    <mergeCell ref="A168:A169"/>
    <mergeCell ref="B168:B169"/>
    <mergeCell ref="C168:C169"/>
    <mergeCell ref="A357:A358"/>
    <mergeCell ref="A189:A190"/>
    <mergeCell ref="B189:B190"/>
    <mergeCell ref="C189:C190"/>
    <mergeCell ref="D189:H189"/>
    <mergeCell ref="I189:M189"/>
    <mergeCell ref="N189:R189"/>
    <mergeCell ref="D168:H168"/>
    <mergeCell ref="I168:M168"/>
    <mergeCell ref="N168:R168"/>
    <mergeCell ref="B171:B176"/>
    <mergeCell ref="I178:J178"/>
    <mergeCell ref="J181:R186"/>
    <mergeCell ref="B192:B197"/>
    <mergeCell ref="I199:J199"/>
    <mergeCell ref="J202:R207"/>
    <mergeCell ref="A210:A211"/>
    <mergeCell ref="B210:B211"/>
    <mergeCell ref="C210:C211"/>
    <mergeCell ref="D210:H210"/>
    <mergeCell ref="I210:M210"/>
    <mergeCell ref="N210:R210"/>
    <mergeCell ref="B213:B218"/>
    <mergeCell ref="I220:J220"/>
    <mergeCell ref="A231:A232"/>
    <mergeCell ref="B231:B232"/>
    <mergeCell ref="C231:C232"/>
    <mergeCell ref="D231:H231"/>
    <mergeCell ref="I231:M231"/>
    <mergeCell ref="N231:R231"/>
    <mergeCell ref="B234:B239"/>
    <mergeCell ref="I241:J241"/>
    <mergeCell ref="J244:R249"/>
    <mergeCell ref="A252:A253"/>
    <mergeCell ref="B252:B253"/>
    <mergeCell ref="C252:C253"/>
    <mergeCell ref="D252:H252"/>
    <mergeCell ref="I252:M252"/>
    <mergeCell ref="N252:R252"/>
    <mergeCell ref="B255:B260"/>
    <mergeCell ref="I262:J262"/>
    <mergeCell ref="J265:R270"/>
    <mergeCell ref="A273:A274"/>
    <mergeCell ref="B273:B274"/>
    <mergeCell ref="C273:C274"/>
    <mergeCell ref="D273:H273"/>
    <mergeCell ref="I273:M273"/>
    <mergeCell ref="N273:R273"/>
    <mergeCell ref="B276:B281"/>
    <mergeCell ref="I283:J283"/>
    <mergeCell ref="J286:R291"/>
    <mergeCell ref="A294:A295"/>
    <mergeCell ref="B294:B295"/>
    <mergeCell ref="C294:C295"/>
    <mergeCell ref="D294:H294"/>
    <mergeCell ref="I294:M294"/>
    <mergeCell ref="N294:R294"/>
    <mergeCell ref="B297:B302"/>
    <mergeCell ref="I304:J304"/>
    <mergeCell ref="J307:R312"/>
    <mergeCell ref="A315:A316"/>
    <mergeCell ref="B315:B316"/>
    <mergeCell ref="C315:C316"/>
    <mergeCell ref="D315:H315"/>
    <mergeCell ref="I315:M315"/>
    <mergeCell ref="N315:R315"/>
    <mergeCell ref="B339:B344"/>
    <mergeCell ref="I346:J346"/>
    <mergeCell ref="J349:R354"/>
    <mergeCell ref="B318:B323"/>
    <mergeCell ref="I325:J325"/>
    <mergeCell ref="J328:R333"/>
    <mergeCell ref="A336:A337"/>
    <mergeCell ref="B336:B337"/>
    <mergeCell ref="C336:C337"/>
    <mergeCell ref="D336:H336"/>
    <mergeCell ref="I336:M336"/>
    <mergeCell ref="N336:R336"/>
  </mergeCells>
  <printOptions horizontalCentered="1"/>
  <pageMargins left="0.7" right="0.7" top="0.75" bottom="0.75" header="0.3" footer="0.3"/>
  <pageSetup paperSize="9" scale="69"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3" manualBreakCount="3">
    <brk id="41" max="16383" man="1"/>
    <brk id="83" max="16383" man="1"/>
    <brk id="377" max="16383" man="1"/>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24"/>
  <sheetViews>
    <sheetView workbookViewId="0">
      <selection sqref="A1:A2"/>
    </sheetView>
  </sheetViews>
  <sheetFormatPr defaultRowHeight="15"/>
  <cols>
    <col min="2" max="2" width="15.42578125" customWidth="1"/>
    <col min="3" max="3" width="7.28515625" customWidth="1"/>
    <col min="4" max="4" width="14.28515625" customWidth="1"/>
    <col min="9" max="9" width="19.28515625" customWidth="1"/>
    <col min="14" max="14" width="16.140625" customWidth="1"/>
  </cols>
  <sheetData>
    <row r="1" spans="1:18" ht="16.5">
      <c r="A1" s="693" t="s">
        <v>0</v>
      </c>
      <c r="B1" s="695" t="s">
        <v>1</v>
      </c>
      <c r="C1" s="695" t="s">
        <v>2</v>
      </c>
      <c r="D1" s="697" t="s">
        <v>3</v>
      </c>
      <c r="E1" s="698"/>
      <c r="F1" s="698"/>
      <c r="G1" s="698"/>
      <c r="H1" s="698"/>
      <c r="I1" s="699" t="s">
        <v>4</v>
      </c>
      <c r="J1" s="700"/>
      <c r="K1" s="700"/>
      <c r="L1" s="700"/>
      <c r="M1" s="700"/>
      <c r="N1" s="698" t="s">
        <v>5</v>
      </c>
      <c r="O1" s="698"/>
      <c r="P1" s="698"/>
      <c r="Q1" s="698"/>
      <c r="R1" s="698"/>
    </row>
    <row r="2" spans="1:18" ht="16.5">
      <c r="A2" s="694"/>
      <c r="B2" s="759"/>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6.5">
      <c r="A3" s="33" t="s">
        <v>23</v>
      </c>
      <c r="B3" s="127"/>
      <c r="C3" s="31"/>
      <c r="D3" s="31"/>
      <c r="E3" s="31"/>
      <c r="F3" s="31"/>
      <c r="G3" s="31"/>
      <c r="H3" s="31"/>
      <c r="I3" s="31"/>
      <c r="J3" s="31"/>
      <c r="K3" s="31"/>
      <c r="L3" s="31"/>
      <c r="M3" s="31"/>
      <c r="N3" s="31"/>
      <c r="O3" s="31"/>
      <c r="P3" s="31"/>
      <c r="Q3" s="31"/>
      <c r="R3" s="32"/>
    </row>
    <row r="4" spans="1:18" ht="16.5">
      <c r="A4" s="34">
        <v>1</v>
      </c>
      <c r="B4" s="713" t="s">
        <v>665</v>
      </c>
      <c r="C4" s="66" t="s">
        <v>138</v>
      </c>
      <c r="D4" s="4"/>
      <c r="E4" s="6"/>
      <c r="F4" s="29"/>
      <c r="G4" s="26"/>
      <c r="H4" s="26"/>
      <c r="I4" s="6"/>
      <c r="J4" s="6"/>
      <c r="K4" s="29"/>
      <c r="L4" s="26"/>
      <c r="M4" s="26"/>
      <c r="N4" s="6"/>
      <c r="O4" s="6"/>
      <c r="P4" s="29"/>
      <c r="Q4" s="26"/>
      <c r="R4" s="26"/>
    </row>
    <row r="5" spans="1:18" ht="16.5">
      <c r="A5" s="2"/>
      <c r="B5" s="714"/>
      <c r="C5" s="124"/>
      <c r="D5" s="4" t="s">
        <v>75</v>
      </c>
      <c r="E5" s="66" t="s">
        <v>81</v>
      </c>
      <c r="F5" s="29">
        <f>(0.5/16)*1.5</f>
        <v>4.6875E-2</v>
      </c>
      <c r="G5" s="26">
        <f>fr</f>
        <v>1100</v>
      </c>
      <c r="H5" s="26">
        <f>F5*G5</f>
        <v>51.5625</v>
      </c>
      <c r="I5" s="7" t="s">
        <v>67</v>
      </c>
      <c r="J5" s="145" t="s">
        <v>250</v>
      </c>
      <c r="K5" s="29">
        <f>1.7*1.5</f>
        <v>2.5499999999999998</v>
      </c>
      <c r="L5" s="28">
        <f>diesel</f>
        <v>177.6</v>
      </c>
      <c r="M5" s="26">
        <f>K5*L5</f>
        <v>452.87999999999994</v>
      </c>
      <c r="N5" s="8" t="s">
        <v>655</v>
      </c>
      <c r="O5" s="66" t="s">
        <v>101</v>
      </c>
      <c r="P5" s="29">
        <f>0.125*1.5</f>
        <v>0.1875</v>
      </c>
      <c r="Q5" s="28">
        <f>compressor</f>
        <v>270.39999999999998</v>
      </c>
      <c r="R5" s="26">
        <f>P5*Q5</f>
        <v>50.699999999999996</v>
      </c>
    </row>
    <row r="6" spans="1:18" ht="16.5">
      <c r="A6" s="2"/>
      <c r="B6" s="714"/>
      <c r="C6" s="6"/>
      <c r="D6" s="4" t="s">
        <v>89</v>
      </c>
      <c r="E6" s="66" t="s">
        <v>81</v>
      </c>
      <c r="F6" s="29">
        <f>(0.75/16)*1.5</f>
        <v>7.03125E-2</v>
      </c>
      <c r="G6" s="26">
        <f>dr</f>
        <v>1100</v>
      </c>
      <c r="H6" s="26">
        <f>F6*G6</f>
        <v>77.34375</v>
      </c>
      <c r="I6" s="7" t="s">
        <v>649</v>
      </c>
      <c r="J6" s="145" t="s">
        <v>12</v>
      </c>
      <c r="K6" s="29"/>
      <c r="L6" s="28"/>
      <c r="M6" s="154">
        <v>20</v>
      </c>
      <c r="N6" s="8" t="s">
        <v>656</v>
      </c>
      <c r="O6" s="66" t="s">
        <v>101</v>
      </c>
      <c r="P6" s="29">
        <f>0.125*1.5</f>
        <v>0.1875</v>
      </c>
      <c r="Q6" s="216">
        <f>jack_hammer</f>
        <v>162.24</v>
      </c>
      <c r="R6" s="26">
        <f>P6*Q6</f>
        <v>30.42</v>
      </c>
    </row>
    <row r="7" spans="1:18" ht="16.5">
      <c r="A7" s="2"/>
      <c r="B7" s="126"/>
      <c r="C7" s="6"/>
      <c r="D7" s="4" t="s">
        <v>462</v>
      </c>
      <c r="E7" s="66" t="s">
        <v>81</v>
      </c>
      <c r="F7" s="29">
        <f>(1.2/16)*1.5</f>
        <v>0.11249999999999999</v>
      </c>
      <c r="G7" s="26">
        <f>drh</f>
        <v>750</v>
      </c>
      <c r="H7" s="26">
        <f>F7*G7</f>
        <v>84.374999999999986</v>
      </c>
      <c r="I7" s="7" t="s">
        <v>494</v>
      </c>
      <c r="J7" s="145" t="s">
        <v>45</v>
      </c>
      <c r="K7" s="29">
        <f>0.06*1.5</f>
        <v>0.09</v>
      </c>
      <c r="L7" s="28">
        <f>Drillbit_32</f>
        <v>3709.37</v>
      </c>
      <c r="M7" s="26">
        <f t="shared" ref="M7:M13" si="0">K7*L7</f>
        <v>333.8433</v>
      </c>
      <c r="N7" s="8" t="s">
        <v>657</v>
      </c>
      <c r="O7" s="66" t="s">
        <v>12</v>
      </c>
      <c r="P7" s="29"/>
      <c r="Q7" s="28"/>
      <c r="R7" s="154">
        <v>50</v>
      </c>
    </row>
    <row r="8" spans="1:18" ht="16.5">
      <c r="A8" s="2"/>
      <c r="B8" s="126"/>
      <c r="C8" s="6"/>
      <c r="D8" s="4"/>
      <c r="E8" s="66"/>
      <c r="F8" s="29"/>
      <c r="G8" s="26"/>
      <c r="H8" s="26"/>
      <c r="I8" s="7" t="s">
        <v>664</v>
      </c>
      <c r="J8" s="145" t="s">
        <v>47</v>
      </c>
      <c r="K8" s="29">
        <f>J19</f>
        <v>1.5</v>
      </c>
      <c r="L8" s="28">
        <f>rockbolt_25</f>
        <v>353.56</v>
      </c>
      <c r="M8" s="26">
        <f t="shared" si="0"/>
        <v>530.34</v>
      </c>
      <c r="N8" s="8" t="s">
        <v>658</v>
      </c>
      <c r="O8" s="66" t="s">
        <v>12</v>
      </c>
      <c r="P8" s="29"/>
      <c r="Q8" s="28"/>
      <c r="R8" s="154">
        <f>10%*R7</f>
        <v>5</v>
      </c>
    </row>
    <row r="9" spans="1:18" ht="16.5">
      <c r="A9" s="2"/>
      <c r="B9" s="126"/>
      <c r="C9" s="6"/>
      <c r="D9" s="4"/>
      <c r="E9" s="66"/>
      <c r="F9" s="29"/>
      <c r="G9" s="26"/>
      <c r="H9" s="26"/>
      <c r="I9" s="7" t="s">
        <v>650</v>
      </c>
      <c r="J9" s="145" t="s">
        <v>45</v>
      </c>
      <c r="K9" s="29">
        <v>1</v>
      </c>
      <c r="L9" s="154">
        <v>40</v>
      </c>
      <c r="M9" s="26">
        <f t="shared" si="0"/>
        <v>40</v>
      </c>
      <c r="N9" s="8" t="s">
        <v>659</v>
      </c>
      <c r="O9" s="66" t="s">
        <v>101</v>
      </c>
      <c r="P9" s="29">
        <f>0.06*1.5</f>
        <v>0.09</v>
      </c>
      <c r="Q9" s="28">
        <f>grout_pump</f>
        <v>540.79999999999995</v>
      </c>
      <c r="R9" s="26">
        <f>P9*Q9</f>
        <v>48.671999999999997</v>
      </c>
    </row>
    <row r="10" spans="1:18" ht="16.5">
      <c r="A10" s="2"/>
      <c r="B10" s="126"/>
      <c r="C10" s="6"/>
      <c r="D10" s="4"/>
      <c r="E10" s="66"/>
      <c r="F10" s="29"/>
      <c r="G10" s="26"/>
      <c r="H10" s="26"/>
      <c r="I10" s="7" t="s">
        <v>651</v>
      </c>
      <c r="J10" s="145" t="s">
        <v>45</v>
      </c>
      <c r="K10" s="29">
        <v>1</v>
      </c>
      <c r="L10" s="28">
        <f>bearing_plate</f>
        <v>1434.19</v>
      </c>
      <c r="M10" s="26">
        <f t="shared" si="0"/>
        <v>1434.19</v>
      </c>
      <c r="N10" s="8"/>
      <c r="O10" s="66"/>
      <c r="P10" s="29"/>
      <c r="Q10" s="28"/>
      <c r="R10" s="26"/>
    </row>
    <row r="11" spans="1:18" ht="16.5">
      <c r="A11" s="2"/>
      <c r="B11" s="126"/>
      <c r="C11" s="6"/>
      <c r="D11" s="4"/>
      <c r="E11" s="66"/>
      <c r="F11" s="29"/>
      <c r="G11" s="26"/>
      <c r="H11" s="26"/>
      <c r="I11" s="7" t="s">
        <v>31</v>
      </c>
      <c r="J11" s="145" t="s">
        <v>28</v>
      </c>
      <c r="K11" s="29">
        <f>((PI()/4*((0.032)^2-(0.025)^2)*J19)*1440)*2</f>
        <v>1.353775106284913</v>
      </c>
      <c r="L11" s="28">
        <f>cement/1000</f>
        <v>24.049689999999998</v>
      </c>
      <c r="M11" s="26">
        <f t="shared" si="0"/>
        <v>32.557871635869205</v>
      </c>
      <c r="N11" s="8"/>
      <c r="O11" s="66"/>
      <c r="P11" s="29"/>
      <c r="Q11" s="28"/>
      <c r="R11" s="28"/>
    </row>
    <row r="12" spans="1:18" ht="16.5">
      <c r="A12" s="2"/>
      <c r="B12" s="126"/>
      <c r="C12" s="6"/>
      <c r="D12" s="4"/>
      <c r="E12" s="66"/>
      <c r="F12" s="29"/>
      <c r="G12" s="26"/>
      <c r="H12" s="26"/>
      <c r="I12" s="7" t="s">
        <v>652</v>
      </c>
      <c r="J12" s="145" t="s">
        <v>28</v>
      </c>
      <c r="K12" s="29">
        <f>0.005%*K11</f>
        <v>6.7688755314245657E-5</v>
      </c>
      <c r="L12" s="154">
        <v>500</v>
      </c>
      <c r="M12" s="26">
        <f t="shared" si="0"/>
        <v>3.384437765712283E-2</v>
      </c>
      <c r="N12" s="8"/>
      <c r="O12" s="66"/>
      <c r="P12" s="29"/>
      <c r="Q12" s="28"/>
      <c r="R12" s="26"/>
    </row>
    <row r="13" spans="1:18" ht="16.5">
      <c r="A13" s="2"/>
      <c r="B13" s="126"/>
      <c r="C13" s="6"/>
      <c r="D13" s="4"/>
      <c r="E13" s="66"/>
      <c r="F13" s="29"/>
      <c r="G13" s="26"/>
      <c r="H13" s="26"/>
      <c r="I13" s="7" t="s">
        <v>653</v>
      </c>
      <c r="J13" s="145" t="s">
        <v>11</v>
      </c>
      <c r="K13" s="29">
        <f>K11/1500</f>
        <v>9.0251673752327532E-4</v>
      </c>
      <c r="L13" s="28">
        <f>sand</f>
        <v>1050</v>
      </c>
      <c r="M13" s="26">
        <f t="shared" si="0"/>
        <v>0.94764257439943911</v>
      </c>
      <c r="N13" s="8"/>
      <c r="O13" s="66"/>
      <c r="P13" s="29"/>
      <c r="Q13" s="28"/>
      <c r="R13" s="26"/>
    </row>
    <row r="14" spans="1:18" ht="16.5">
      <c r="A14" s="2"/>
      <c r="B14" s="126"/>
      <c r="C14" s="6"/>
      <c r="D14" s="4"/>
      <c r="E14" s="66"/>
      <c r="F14" s="29"/>
      <c r="G14" s="26"/>
      <c r="H14" s="26"/>
      <c r="I14" s="7"/>
      <c r="J14" s="145"/>
      <c r="K14" s="29"/>
      <c r="L14" s="28"/>
      <c r="M14" s="26"/>
      <c r="N14" s="8"/>
      <c r="O14" s="66"/>
      <c r="P14" s="29"/>
      <c r="Q14" s="28"/>
      <c r="R14" s="26"/>
    </row>
    <row r="15" spans="1:18" ht="16.5">
      <c r="A15" s="2"/>
      <c r="B15" s="5"/>
      <c r="C15" s="6"/>
      <c r="D15" s="4"/>
      <c r="E15" s="9"/>
      <c r="F15" s="30"/>
      <c r="G15" s="27"/>
      <c r="H15" s="27"/>
      <c r="I15" s="9"/>
      <c r="J15" s="10"/>
      <c r="K15" s="30"/>
      <c r="L15" s="28"/>
      <c r="M15" s="28"/>
      <c r="N15" s="8"/>
      <c r="O15" s="6"/>
      <c r="P15" s="30"/>
      <c r="Q15" s="28"/>
      <c r="R15" s="28"/>
    </row>
    <row r="16" spans="1:18" ht="16.5">
      <c r="A16" s="2"/>
      <c r="B16" s="11"/>
      <c r="C16" s="6"/>
      <c r="D16" s="12"/>
      <c r="E16" s="59"/>
      <c r="F16" s="13"/>
      <c r="G16" s="13" t="s">
        <v>20</v>
      </c>
      <c r="H16" s="25">
        <f>SUM(H4:H15)</f>
        <v>213.28125</v>
      </c>
      <c r="I16" s="703"/>
      <c r="J16" s="703"/>
      <c r="K16" s="14"/>
      <c r="L16" s="13" t="s">
        <v>21</v>
      </c>
      <c r="M16" s="25">
        <f>SUM(M4:M15)</f>
        <v>2844.7926585879259</v>
      </c>
      <c r="N16" s="3"/>
      <c r="O16" s="14"/>
      <c r="P16" s="14"/>
      <c r="Q16" s="13" t="s">
        <v>22</v>
      </c>
      <c r="R16" s="25">
        <f>SUM(R4:R15)</f>
        <v>184.792</v>
      </c>
    </row>
    <row r="17" spans="1:18" ht="16.5">
      <c r="A17" s="2"/>
      <c r="B17" s="16" t="s">
        <v>13</v>
      </c>
      <c r="C17" s="14"/>
      <c r="D17" s="14"/>
      <c r="E17" s="14"/>
      <c r="F17" s="14"/>
      <c r="G17" s="13"/>
      <c r="H17" s="35">
        <f>M16+R16+H16</f>
        <v>3242.8659085879258</v>
      </c>
      <c r="I17" s="17"/>
      <c r="J17" s="14"/>
      <c r="K17" s="14"/>
      <c r="L17" s="13"/>
      <c r="M17" s="15"/>
      <c r="N17" s="14"/>
      <c r="O17" s="14"/>
      <c r="P17" s="14"/>
      <c r="Q17" s="14"/>
      <c r="R17" s="17"/>
    </row>
    <row r="18" spans="1:18" ht="16.5">
      <c r="A18" s="2"/>
      <c r="B18" s="11"/>
      <c r="C18" s="4"/>
      <c r="D18" s="4"/>
      <c r="E18" s="4"/>
      <c r="F18" s="4"/>
      <c r="G18" s="18"/>
      <c r="H18" s="36"/>
      <c r="I18" s="20"/>
      <c r="J18" s="4" t="s">
        <v>26</v>
      </c>
      <c r="K18" s="4"/>
      <c r="L18" s="18"/>
      <c r="M18" s="19"/>
      <c r="N18" s="4"/>
      <c r="O18" s="4"/>
      <c r="P18" s="4"/>
      <c r="Q18" s="4"/>
      <c r="R18" s="20"/>
    </row>
    <row r="19" spans="1:18" ht="16.5">
      <c r="A19" s="23"/>
      <c r="B19" s="11" t="s">
        <v>14</v>
      </c>
      <c r="C19" s="4"/>
      <c r="D19" s="4"/>
      <c r="E19" s="4"/>
      <c r="F19" s="4"/>
      <c r="G19" s="18"/>
      <c r="H19" s="36">
        <f>SUM(H17:H17)</f>
        <v>3242.8659085879258</v>
      </c>
      <c r="I19" s="20"/>
      <c r="J19" s="750">
        <v>1.5</v>
      </c>
      <c r="K19" s="751"/>
      <c r="L19" s="751"/>
      <c r="M19" s="751"/>
      <c r="N19" s="751"/>
      <c r="O19" s="751"/>
      <c r="P19" s="751"/>
      <c r="Q19" s="751"/>
      <c r="R19" s="752"/>
    </row>
    <row r="20" spans="1:18" ht="16.5">
      <c r="A20" s="23"/>
      <c r="B20" s="11" t="s">
        <v>24</v>
      </c>
      <c r="C20" s="4"/>
      <c r="D20" s="4"/>
      <c r="E20" s="4"/>
      <c r="F20" s="4"/>
      <c r="G20" s="18"/>
      <c r="H20" s="36">
        <f>H19*15%</f>
        <v>486.42988628818887</v>
      </c>
      <c r="I20" s="20"/>
      <c r="J20" s="753"/>
      <c r="K20" s="754"/>
      <c r="L20" s="754"/>
      <c r="M20" s="754"/>
      <c r="N20" s="754"/>
      <c r="O20" s="754"/>
      <c r="P20" s="754"/>
      <c r="Q20" s="754"/>
      <c r="R20" s="755"/>
    </row>
    <row r="21" spans="1:18" ht="16.5">
      <c r="A21" s="23"/>
      <c r="B21" s="11" t="s">
        <v>15</v>
      </c>
      <c r="C21" s="4"/>
      <c r="D21" s="4"/>
      <c r="E21" s="4"/>
      <c r="F21" s="4"/>
      <c r="G21" s="21" t="s">
        <v>16</v>
      </c>
      <c r="H21" s="37">
        <f>H20+H19</f>
        <v>3729.2957948761145</v>
      </c>
      <c r="I21" s="38" t="str">
        <f>CONCATENATE("per ",C4, C5)</f>
        <v>per nos.</v>
      </c>
      <c r="J21" s="753"/>
      <c r="K21" s="754"/>
      <c r="L21" s="754"/>
      <c r="M21" s="754"/>
      <c r="N21" s="754"/>
      <c r="O21" s="754"/>
      <c r="P21" s="754"/>
      <c r="Q21" s="754"/>
      <c r="R21" s="755"/>
    </row>
    <row r="22" spans="1:18" ht="16.5">
      <c r="A22" s="23"/>
      <c r="B22" s="11" t="s">
        <v>18</v>
      </c>
      <c r="C22" s="4" t="s">
        <v>19</v>
      </c>
      <c r="D22" s="4"/>
      <c r="E22" s="4"/>
      <c r="F22" s="4"/>
      <c r="G22" s="21" t="s">
        <v>16</v>
      </c>
      <c r="H22" s="37">
        <f>CEILING(H21,0.5)</f>
        <v>3729.5</v>
      </c>
      <c r="I22" s="38" t="str">
        <f>CONCATENATE("per ",C4, C5)</f>
        <v>per nos.</v>
      </c>
      <c r="J22" s="753"/>
      <c r="K22" s="754"/>
      <c r="L22" s="754"/>
      <c r="M22" s="754"/>
      <c r="N22" s="754"/>
      <c r="O22" s="754"/>
      <c r="P22" s="754"/>
      <c r="Q22" s="754"/>
      <c r="R22" s="755"/>
    </row>
    <row r="23" spans="1:18" ht="16.5">
      <c r="A23" s="23"/>
      <c r="B23" s="11"/>
      <c r="C23" s="4"/>
      <c r="D23" s="4"/>
      <c r="E23" s="4"/>
      <c r="F23" s="4"/>
      <c r="G23" s="24" t="s">
        <v>17</v>
      </c>
      <c r="H23" s="37">
        <f>H22/exr</f>
        <v>28.688461538461539</v>
      </c>
      <c r="I23" s="38" t="str">
        <f>CONCATENATE("per ",C4,C5)</f>
        <v>per nos.</v>
      </c>
      <c r="J23" s="756"/>
      <c r="K23" s="757"/>
      <c r="L23" s="757"/>
      <c r="M23" s="757"/>
      <c r="N23" s="757"/>
      <c r="O23" s="757"/>
      <c r="P23" s="757"/>
      <c r="Q23" s="757"/>
      <c r="R23" s="758"/>
    </row>
    <row r="24" spans="1:18" ht="16.5">
      <c r="A24" s="39"/>
      <c r="B24" s="40"/>
      <c r="C24" s="41"/>
      <c r="D24" s="41"/>
      <c r="E24" s="41"/>
      <c r="F24" s="41"/>
      <c r="G24" s="149" t="s">
        <v>460</v>
      </c>
      <c r="H24" s="150">
        <f>CEILING(SUM(M5,M6,M7,M8,M9,M10,M12,R5,R6,R7,R8,R9)/H17,0.0025)</f>
        <v>0.92500000000000004</v>
      </c>
      <c r="I24" s="42"/>
      <c r="J24" s="43"/>
      <c r="K24" s="43"/>
      <c r="L24" s="43"/>
      <c r="M24" s="43"/>
      <c r="N24" s="43"/>
      <c r="O24" s="43"/>
      <c r="P24" s="43"/>
      <c r="Q24" s="43"/>
      <c r="R24" s="44"/>
    </row>
  </sheetData>
  <mergeCells count="9">
    <mergeCell ref="I16:J16"/>
    <mergeCell ref="J19:R23"/>
    <mergeCell ref="A1:A2"/>
    <mergeCell ref="B1:B2"/>
    <mergeCell ref="C1:C2"/>
    <mergeCell ref="D1:H1"/>
    <mergeCell ref="I1:M1"/>
    <mergeCell ref="N1:R1"/>
    <mergeCell ref="B4:B6"/>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24"/>
  <sheetViews>
    <sheetView workbookViewId="0">
      <selection sqref="A1:A2"/>
    </sheetView>
  </sheetViews>
  <sheetFormatPr defaultRowHeight="15"/>
  <cols>
    <col min="2" max="2" width="18.140625" customWidth="1"/>
    <col min="4" max="4" width="12.5703125" customWidth="1"/>
    <col min="5" max="5" width="7.7109375" customWidth="1"/>
  </cols>
  <sheetData>
    <row r="1" spans="1:18" ht="16.5">
      <c r="A1" s="693" t="s">
        <v>0</v>
      </c>
      <c r="B1" s="695" t="s">
        <v>1</v>
      </c>
      <c r="C1" s="695" t="s">
        <v>2</v>
      </c>
      <c r="D1" s="699" t="s">
        <v>3</v>
      </c>
      <c r="E1" s="700"/>
      <c r="F1" s="700"/>
      <c r="G1" s="700"/>
      <c r="H1" s="697"/>
      <c r="I1" s="699" t="s">
        <v>4</v>
      </c>
      <c r="J1" s="700"/>
      <c r="K1" s="700"/>
      <c r="L1" s="700"/>
      <c r="M1" s="697"/>
      <c r="N1" s="699" t="s">
        <v>5</v>
      </c>
      <c r="O1" s="700"/>
      <c r="P1" s="700"/>
      <c r="Q1" s="700"/>
      <c r="R1" s="697"/>
    </row>
    <row r="2" spans="1:18" ht="16.5">
      <c r="A2" s="762"/>
      <c r="B2" s="759"/>
      <c r="C2" s="759"/>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6.5">
      <c r="A3" s="33" t="s">
        <v>23</v>
      </c>
      <c r="B3" s="127"/>
      <c r="C3" s="31"/>
      <c r="D3" s="31"/>
      <c r="E3" s="31"/>
      <c r="F3" s="31"/>
      <c r="G3" s="31"/>
      <c r="H3" s="31"/>
      <c r="I3" s="31"/>
      <c r="J3" s="31"/>
      <c r="K3" s="31"/>
      <c r="L3" s="31"/>
      <c r="M3" s="31"/>
      <c r="N3" s="31"/>
      <c r="O3" s="31"/>
      <c r="P3" s="31"/>
      <c r="Q3" s="31"/>
      <c r="R3" s="32"/>
    </row>
    <row r="4" spans="1:18" ht="16.5">
      <c r="A4" s="34">
        <v>1</v>
      </c>
      <c r="B4" s="713" t="s">
        <v>853</v>
      </c>
      <c r="C4" s="66" t="s">
        <v>47</v>
      </c>
      <c r="D4" s="4"/>
      <c r="E4" s="6"/>
      <c r="F4" s="29"/>
      <c r="G4" s="26"/>
      <c r="H4" s="26"/>
      <c r="I4" s="6"/>
      <c r="J4" s="6"/>
      <c r="K4" s="29"/>
      <c r="L4" s="26"/>
      <c r="M4" s="26"/>
      <c r="N4" s="6"/>
      <c r="O4" s="6"/>
      <c r="P4" s="29"/>
      <c r="Q4" s="26"/>
      <c r="R4" s="26"/>
    </row>
    <row r="5" spans="1:18" ht="16.5">
      <c r="A5" s="2"/>
      <c r="B5" s="714"/>
      <c r="C5" s="124"/>
      <c r="D5" s="4" t="s">
        <v>503</v>
      </c>
      <c r="E5" s="66" t="s">
        <v>81</v>
      </c>
      <c r="F5" s="29">
        <v>3.125E-2</v>
      </c>
      <c r="G5" s="26">
        <f>sr</f>
        <v>1100</v>
      </c>
      <c r="H5" s="26">
        <f>F5*G5</f>
        <v>34.375</v>
      </c>
      <c r="I5" s="7" t="s">
        <v>534</v>
      </c>
      <c r="J5" s="145" t="s">
        <v>47</v>
      </c>
      <c r="K5" s="29">
        <v>1.05</v>
      </c>
      <c r="L5" s="28">
        <f>water_stop</f>
        <v>360.34</v>
      </c>
      <c r="M5" s="26">
        <f>K5*L5</f>
        <v>378.35699999999997</v>
      </c>
      <c r="N5" s="8"/>
      <c r="O5" s="66"/>
      <c r="P5" s="29"/>
      <c r="Q5" s="28"/>
      <c r="R5" s="26"/>
    </row>
    <row r="6" spans="1:18" ht="16.5">
      <c r="A6" s="2"/>
      <c r="B6" s="126"/>
      <c r="C6" s="6"/>
      <c r="D6" s="4" t="s">
        <v>492</v>
      </c>
      <c r="E6" s="66" t="s">
        <v>81</v>
      </c>
      <c r="F6" s="29">
        <v>6.25E-2</v>
      </c>
      <c r="G6" s="26">
        <f>ur</f>
        <v>850</v>
      </c>
      <c r="H6" s="26">
        <f>F6*G6</f>
        <v>53.125</v>
      </c>
      <c r="I6" s="7"/>
      <c r="J6" s="145"/>
      <c r="K6" s="29"/>
      <c r="L6" s="28"/>
      <c r="M6" s="26"/>
      <c r="N6" s="8"/>
      <c r="O6" s="66"/>
      <c r="P6" s="29"/>
      <c r="Q6" s="28"/>
      <c r="R6" s="26"/>
    </row>
    <row r="7" spans="1:18" ht="16.5">
      <c r="A7" s="2"/>
      <c r="B7" s="5"/>
      <c r="C7" s="6"/>
      <c r="D7" s="4"/>
      <c r="E7" s="9"/>
      <c r="F7" s="30"/>
      <c r="G7" s="27"/>
      <c r="H7" s="27"/>
      <c r="I7" s="9"/>
      <c r="J7" s="10"/>
      <c r="K7" s="30"/>
      <c r="L7" s="28"/>
      <c r="M7" s="28"/>
      <c r="N7" s="8"/>
      <c r="O7" s="6"/>
      <c r="P7" s="30"/>
      <c r="Q7" s="28"/>
      <c r="R7" s="28"/>
    </row>
    <row r="8" spans="1:18" ht="16.5">
      <c r="A8" s="2"/>
      <c r="B8" s="11"/>
      <c r="C8" s="6"/>
      <c r="D8" s="12"/>
      <c r="E8" s="59"/>
      <c r="F8" s="13"/>
      <c r="G8" s="13" t="s">
        <v>20</v>
      </c>
      <c r="H8" s="25">
        <f>SUM(H4:H7)</f>
        <v>87.5</v>
      </c>
      <c r="I8" s="760"/>
      <c r="J8" s="761"/>
      <c r="K8" s="14"/>
      <c r="L8" s="13" t="s">
        <v>21</v>
      </c>
      <c r="M8" s="25">
        <f>SUM(M4:M7)</f>
        <v>378.35699999999997</v>
      </c>
      <c r="N8" s="3"/>
      <c r="O8" s="14"/>
      <c r="P8" s="14"/>
      <c r="Q8" s="13" t="s">
        <v>22</v>
      </c>
      <c r="R8" s="25">
        <f>SUM(R4:R7)</f>
        <v>0</v>
      </c>
    </row>
    <row r="9" spans="1:18" ht="16.5">
      <c r="A9" s="2"/>
      <c r="B9" s="16" t="s">
        <v>13</v>
      </c>
      <c r="C9" s="14"/>
      <c r="D9" s="14"/>
      <c r="E9" s="14"/>
      <c r="F9" s="14"/>
      <c r="G9" s="13"/>
      <c r="H9" s="35">
        <f>M8+R8+H8</f>
        <v>465.85699999999997</v>
      </c>
      <c r="I9" s="17"/>
      <c r="J9" s="14"/>
      <c r="K9" s="14"/>
      <c r="L9" s="13"/>
      <c r="M9" s="15"/>
      <c r="N9" s="14"/>
      <c r="O9" s="14"/>
      <c r="P9" s="14"/>
      <c r="Q9" s="14"/>
      <c r="R9" s="17"/>
    </row>
    <row r="10" spans="1:18" ht="16.5">
      <c r="A10" s="2"/>
      <c r="B10" s="11" t="s">
        <v>25</v>
      </c>
      <c r="C10" s="4"/>
      <c r="D10" s="4"/>
      <c r="E10" s="4"/>
      <c r="F10" s="4"/>
      <c r="G10" s="18"/>
      <c r="H10" s="36">
        <v>0</v>
      </c>
      <c r="I10" s="20"/>
      <c r="J10" s="4" t="s">
        <v>26</v>
      </c>
      <c r="K10" s="4"/>
      <c r="L10" s="18"/>
      <c r="M10" s="19"/>
      <c r="N10" s="4"/>
      <c r="O10" s="4"/>
      <c r="P10" s="4"/>
      <c r="Q10" s="4"/>
      <c r="R10" s="20"/>
    </row>
    <row r="11" spans="1:18" ht="16.5">
      <c r="A11" s="23"/>
      <c r="B11" s="11" t="s">
        <v>14</v>
      </c>
      <c r="C11" s="4"/>
      <c r="D11" s="4"/>
      <c r="E11" s="4"/>
      <c r="F11" s="4"/>
      <c r="G11" s="18"/>
      <c r="H11" s="36">
        <f>SUM(H9:H10)</f>
        <v>465.85699999999997</v>
      </c>
      <c r="I11" s="20"/>
      <c r="J11" s="741"/>
      <c r="K11" s="742"/>
      <c r="L11" s="742"/>
      <c r="M11" s="742"/>
      <c r="N11" s="742"/>
      <c r="O11" s="742"/>
      <c r="P11" s="742"/>
      <c r="Q11" s="742"/>
      <c r="R11" s="743"/>
    </row>
    <row r="12" spans="1:18" ht="16.5">
      <c r="A12" s="23"/>
      <c r="B12" s="11" t="s">
        <v>24</v>
      </c>
      <c r="C12" s="4"/>
      <c r="D12" s="4"/>
      <c r="E12" s="4"/>
      <c r="F12" s="4"/>
      <c r="G12" s="18"/>
      <c r="H12" s="36">
        <f>H11*15%</f>
        <v>69.87854999999999</v>
      </c>
      <c r="I12" s="20"/>
      <c r="J12" s="744"/>
      <c r="K12" s="745"/>
      <c r="L12" s="745"/>
      <c r="M12" s="745"/>
      <c r="N12" s="745"/>
      <c r="O12" s="745"/>
      <c r="P12" s="745"/>
      <c r="Q12" s="745"/>
      <c r="R12" s="746"/>
    </row>
    <row r="13" spans="1:18" ht="16.5">
      <c r="A13" s="23"/>
      <c r="B13" s="11" t="s">
        <v>15</v>
      </c>
      <c r="C13" s="4"/>
      <c r="D13" s="4"/>
      <c r="E13" s="4"/>
      <c r="F13" s="4"/>
      <c r="G13" s="21" t="s">
        <v>16</v>
      </c>
      <c r="H13" s="37">
        <f>H12+H11</f>
        <v>535.73554999999999</v>
      </c>
      <c r="I13" s="38" t="str">
        <f>CONCATENATE("per ",C4)</f>
        <v>per m</v>
      </c>
      <c r="J13" s="744"/>
      <c r="K13" s="745"/>
      <c r="L13" s="745"/>
      <c r="M13" s="745"/>
      <c r="N13" s="745"/>
      <c r="O13" s="745"/>
      <c r="P13" s="745"/>
      <c r="Q13" s="745"/>
      <c r="R13" s="746"/>
    </row>
    <row r="14" spans="1:18" ht="16.5">
      <c r="A14" s="23"/>
      <c r="B14" s="11" t="s">
        <v>18</v>
      </c>
      <c r="C14" s="4" t="s">
        <v>19</v>
      </c>
      <c r="D14" s="4"/>
      <c r="E14" s="4"/>
      <c r="F14" s="4"/>
      <c r="G14" s="21" t="s">
        <v>16</v>
      </c>
      <c r="H14" s="37">
        <f>CEILING(H13,0.5)</f>
        <v>536</v>
      </c>
      <c r="I14" s="38" t="str">
        <f>CONCATENATE("per ",C4)</f>
        <v>per m</v>
      </c>
      <c r="J14" s="744"/>
      <c r="K14" s="745"/>
      <c r="L14" s="745"/>
      <c r="M14" s="745"/>
      <c r="N14" s="745"/>
      <c r="O14" s="745"/>
      <c r="P14" s="745"/>
      <c r="Q14" s="745"/>
      <c r="R14" s="746"/>
    </row>
    <row r="15" spans="1:18" ht="16.5">
      <c r="A15" s="23"/>
      <c r="B15" s="11"/>
      <c r="C15" s="4"/>
      <c r="D15" s="4"/>
      <c r="E15" s="4"/>
      <c r="F15" s="4"/>
      <c r="G15" s="24" t="s">
        <v>17</v>
      </c>
      <c r="H15" s="37">
        <f>H14/exr</f>
        <v>4.1230769230769226</v>
      </c>
      <c r="I15" s="38" t="str">
        <f>CONCATENATE("per ",C4)</f>
        <v>per m</v>
      </c>
      <c r="J15" s="747"/>
      <c r="K15" s="748"/>
      <c r="L15" s="748"/>
      <c r="M15" s="748"/>
      <c r="N15" s="748"/>
      <c r="O15" s="748"/>
      <c r="P15" s="748"/>
      <c r="Q15" s="748"/>
      <c r="R15" s="749"/>
    </row>
    <row r="16" spans="1:18" ht="16.5">
      <c r="A16" s="39"/>
      <c r="B16" s="40"/>
      <c r="C16" s="41"/>
      <c r="D16" s="41"/>
      <c r="E16" s="41"/>
      <c r="F16" s="41"/>
      <c r="G16" s="149" t="s">
        <v>460</v>
      </c>
      <c r="H16" s="150">
        <f>CEILING(M8/H9,0.0025)</f>
        <v>0.8125</v>
      </c>
      <c r="I16" s="42"/>
      <c r="J16" s="43"/>
      <c r="K16" s="43"/>
      <c r="L16" s="43"/>
      <c r="M16" s="43"/>
      <c r="N16" s="43"/>
      <c r="O16" s="43"/>
      <c r="P16" s="43"/>
      <c r="Q16" s="43"/>
      <c r="R16" s="44"/>
    </row>
    <row r="19" spans="11:18">
      <c r="K19" s="548"/>
      <c r="L19" s="548"/>
      <c r="M19" s="548"/>
      <c r="N19" s="548"/>
      <c r="O19" s="548"/>
      <c r="P19" s="548"/>
      <c r="Q19" s="548"/>
      <c r="R19" s="548"/>
    </row>
    <row r="20" spans="11:18" ht="15" customHeight="1"/>
    <row r="21" spans="11:18" ht="15" customHeight="1"/>
    <row r="22" spans="11:18" ht="15" customHeight="1"/>
    <row r="23" spans="11:18" ht="15" customHeight="1"/>
    <row r="24" spans="11:18" ht="15" customHeight="1"/>
  </sheetData>
  <mergeCells count="9">
    <mergeCell ref="B4:B5"/>
    <mergeCell ref="I8:J8"/>
    <mergeCell ref="J11:R15"/>
    <mergeCell ref="A1:A2"/>
    <mergeCell ref="B1:B2"/>
    <mergeCell ref="C1:C2"/>
    <mergeCell ref="D1:H1"/>
    <mergeCell ref="I1:M1"/>
    <mergeCell ref="N1:R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435"/>
  <sheetViews>
    <sheetView workbookViewId="0">
      <selection sqref="A1:A2"/>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28515625" style="1" bestFit="1" customWidth="1"/>
    <col min="8" max="8" width="10.7109375" style="1" customWidth="1"/>
    <col min="9" max="9" width="18.42578125" style="1" customWidth="1"/>
    <col min="10" max="10" width="5.28515625" style="1" customWidth="1"/>
    <col min="11" max="11" width="10" style="1" bestFit="1" customWidth="1"/>
    <col min="12" max="12" width="9.42578125" style="1" customWidth="1"/>
    <col min="13" max="13" width="10.7109375" style="1" customWidth="1"/>
    <col min="14" max="14" width="16.42578125" style="1" customWidth="1"/>
    <col min="15" max="15" width="5.28515625" style="1" customWidth="1"/>
    <col min="16" max="17" width="9.28515625" style="1" bestFit="1" customWidth="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c r="A3" s="33" t="s">
        <v>23</v>
      </c>
      <c r="B3" s="73" t="s">
        <v>815</v>
      </c>
      <c r="C3" s="65"/>
      <c r="D3" s="31"/>
      <c r="E3" s="31"/>
      <c r="F3" s="31"/>
      <c r="G3" s="31"/>
      <c r="H3" s="31"/>
      <c r="I3" s="31"/>
      <c r="J3" s="31"/>
      <c r="K3" s="31"/>
      <c r="L3" s="31"/>
      <c r="M3" s="31"/>
      <c r="N3" s="31"/>
      <c r="O3" s="31"/>
      <c r="P3" s="31"/>
      <c r="Q3" s="31"/>
      <c r="R3" s="32"/>
    </row>
    <row r="4" spans="1:18">
      <c r="A4" s="34">
        <v>1</v>
      </c>
      <c r="B4" s="713" t="s">
        <v>816</v>
      </c>
      <c r="C4" s="66" t="s">
        <v>11</v>
      </c>
      <c r="D4" s="4"/>
      <c r="E4" s="6"/>
      <c r="F4" s="29"/>
      <c r="G4" s="26"/>
      <c r="H4" s="26"/>
      <c r="I4" s="6"/>
      <c r="J4" s="6"/>
      <c r="K4" s="29"/>
      <c r="L4" s="26"/>
      <c r="M4" s="26"/>
      <c r="N4" s="6"/>
      <c r="O4" s="6"/>
      <c r="P4" s="29"/>
      <c r="Q4" s="26"/>
      <c r="R4" s="26"/>
    </row>
    <row r="5" spans="1:18">
      <c r="A5" s="2"/>
      <c r="B5" s="714"/>
      <c r="C5" s="66"/>
      <c r="D5" s="4" t="s">
        <v>251</v>
      </c>
      <c r="E5" s="6" t="s">
        <v>81</v>
      </c>
      <c r="F5" s="29">
        <v>0.5</v>
      </c>
      <c r="G5" s="26">
        <f>sr</f>
        <v>1100</v>
      </c>
      <c r="H5" s="26">
        <f>F5*G5</f>
        <v>550</v>
      </c>
      <c r="I5" s="7" t="s">
        <v>252</v>
      </c>
      <c r="J5" s="8" t="s">
        <v>32</v>
      </c>
      <c r="K5" s="29">
        <v>0.22</v>
      </c>
      <c r="L5" s="28">
        <f>cement</f>
        <v>24049.69</v>
      </c>
      <c r="M5" s="26">
        <f t="shared" ref="M5:M11" si="0">K5*L5</f>
        <v>5290.9317999999994</v>
      </c>
      <c r="N5" s="8" t="s">
        <v>256</v>
      </c>
      <c r="O5" s="6" t="s">
        <v>101</v>
      </c>
      <c r="P5" s="29">
        <v>0.6</v>
      </c>
      <c r="Q5" s="28">
        <f>mixer</f>
        <v>216.32</v>
      </c>
      <c r="R5" s="26">
        <f>P5*Q5</f>
        <v>129.792</v>
      </c>
    </row>
    <row r="6" spans="1:18">
      <c r="A6" s="2"/>
      <c r="B6" s="714"/>
      <c r="C6" s="66"/>
      <c r="D6" s="4" t="s">
        <v>97</v>
      </c>
      <c r="E6" s="6" t="s">
        <v>81</v>
      </c>
      <c r="F6" s="29">
        <v>3.5</v>
      </c>
      <c r="G6" s="26">
        <f>ur</f>
        <v>850</v>
      </c>
      <c r="H6" s="26">
        <f>F6*G6</f>
        <v>2975</v>
      </c>
      <c r="I6" s="7" t="s">
        <v>253</v>
      </c>
      <c r="J6" s="8" t="s">
        <v>34</v>
      </c>
      <c r="K6" s="29">
        <v>0.65</v>
      </c>
      <c r="L6" s="28">
        <f>Agg_40</f>
        <v>2450</v>
      </c>
      <c r="M6" s="26">
        <f t="shared" si="0"/>
        <v>1592.5</v>
      </c>
      <c r="N6" s="8" t="s">
        <v>257</v>
      </c>
      <c r="O6" s="6" t="s">
        <v>101</v>
      </c>
      <c r="P6" s="29">
        <v>0.25</v>
      </c>
      <c r="Q6" s="28">
        <f>vibrator_concrete</f>
        <v>108.16</v>
      </c>
      <c r="R6" s="26">
        <f>P6*Q6</f>
        <v>27.04</v>
      </c>
    </row>
    <row r="7" spans="1:18">
      <c r="A7" s="2"/>
      <c r="B7" s="714"/>
      <c r="C7" s="66"/>
      <c r="D7" s="4"/>
      <c r="E7" s="6"/>
      <c r="F7" s="29"/>
      <c r="G7" s="26"/>
      <c r="H7" s="26"/>
      <c r="I7" s="7" t="s">
        <v>258</v>
      </c>
      <c r="J7" s="8" t="s">
        <v>34</v>
      </c>
      <c r="K7" s="29">
        <v>0.25</v>
      </c>
      <c r="L7" s="28">
        <f>Agg_20</f>
        <v>2700</v>
      </c>
      <c r="M7" s="26">
        <f t="shared" si="0"/>
        <v>675</v>
      </c>
      <c r="N7" s="8"/>
      <c r="O7" s="6"/>
      <c r="P7" s="29"/>
      <c r="Q7" s="28"/>
      <c r="R7" s="28"/>
    </row>
    <row r="8" spans="1:18">
      <c r="A8" s="2"/>
      <c r="B8" s="714"/>
      <c r="C8" s="66"/>
      <c r="D8" s="4"/>
      <c r="E8" s="6"/>
      <c r="F8" s="29"/>
      <c r="G8" s="26"/>
      <c r="H8" s="26"/>
      <c r="I8" s="7" t="s">
        <v>254</v>
      </c>
      <c r="J8" s="8" t="s">
        <v>34</v>
      </c>
      <c r="K8" s="29">
        <v>0.48</v>
      </c>
      <c r="L8" s="28">
        <f>sand</f>
        <v>1050</v>
      </c>
      <c r="M8" s="26">
        <f t="shared" si="0"/>
        <v>504</v>
      </c>
      <c r="N8" s="8"/>
      <c r="O8" s="6"/>
      <c r="P8" s="29"/>
      <c r="Q8" s="28"/>
      <c r="R8" s="28"/>
    </row>
    <row r="9" spans="1:18">
      <c r="A9" s="2"/>
      <c r="B9" s="126"/>
      <c r="C9" s="66"/>
      <c r="D9" s="4"/>
      <c r="E9" s="6"/>
      <c r="F9" s="29"/>
      <c r="G9" s="26"/>
      <c r="H9" s="26"/>
      <c r="I9" s="7" t="s">
        <v>70</v>
      </c>
      <c r="J9" s="8" t="s">
        <v>250</v>
      </c>
      <c r="K9" s="29">
        <v>0.1</v>
      </c>
      <c r="L9" s="28">
        <f>petrol</f>
        <v>188.6</v>
      </c>
      <c r="M9" s="26">
        <f t="shared" si="0"/>
        <v>18.86</v>
      </c>
      <c r="N9" s="8"/>
      <c r="O9" s="6"/>
      <c r="P9" s="29"/>
      <c r="Q9" s="28"/>
      <c r="R9" s="28"/>
    </row>
    <row r="10" spans="1:18">
      <c r="A10" s="2"/>
      <c r="B10" s="126"/>
      <c r="C10" s="66"/>
      <c r="D10" s="4"/>
      <c r="E10" s="6"/>
      <c r="F10" s="29"/>
      <c r="G10" s="26"/>
      <c r="H10" s="26"/>
      <c r="I10" s="7" t="s">
        <v>67</v>
      </c>
      <c r="J10" s="8" t="s">
        <v>250</v>
      </c>
      <c r="K10" s="29">
        <v>3</v>
      </c>
      <c r="L10" s="28">
        <f>diesel</f>
        <v>177.6</v>
      </c>
      <c r="M10" s="26">
        <f t="shared" si="0"/>
        <v>532.79999999999995</v>
      </c>
      <c r="N10" s="8"/>
      <c r="O10" s="6"/>
      <c r="P10" s="29"/>
      <c r="Q10" s="28"/>
      <c r="R10" s="28"/>
    </row>
    <row r="11" spans="1:18">
      <c r="A11" s="2"/>
      <c r="B11" s="126"/>
      <c r="C11" s="66"/>
      <c r="D11" s="4"/>
      <c r="E11" s="6"/>
      <c r="F11" s="29"/>
      <c r="G11" s="26"/>
      <c r="H11" s="26"/>
      <c r="I11" s="7" t="s">
        <v>255</v>
      </c>
      <c r="J11" s="8" t="s">
        <v>250</v>
      </c>
      <c r="K11" s="29">
        <v>132</v>
      </c>
      <c r="L11" s="28"/>
      <c r="M11" s="26">
        <f t="shared" si="0"/>
        <v>0</v>
      </c>
      <c r="N11" s="8"/>
      <c r="O11" s="6"/>
      <c r="P11" s="29"/>
      <c r="Q11" s="28"/>
      <c r="R11" s="28"/>
    </row>
    <row r="12" spans="1:18">
      <c r="A12" s="2"/>
      <c r="B12" s="126"/>
      <c r="C12" s="66"/>
      <c r="D12" s="4"/>
      <c r="E12" s="6"/>
      <c r="F12" s="29"/>
      <c r="G12" s="26"/>
      <c r="H12" s="26"/>
      <c r="I12" s="7"/>
      <c r="J12" s="8"/>
      <c r="K12" s="29"/>
      <c r="L12" s="28"/>
      <c r="M12" s="26"/>
      <c r="N12" s="8"/>
      <c r="O12" s="6"/>
      <c r="P12" s="29"/>
      <c r="Q12" s="28"/>
      <c r="R12" s="28"/>
    </row>
    <row r="13" spans="1:18">
      <c r="A13" s="2"/>
      <c r="B13" s="5"/>
      <c r="C13" s="66"/>
      <c r="D13" s="4"/>
      <c r="E13" s="9"/>
      <c r="F13" s="30"/>
      <c r="G13" s="27"/>
      <c r="H13" s="27"/>
      <c r="I13" s="9"/>
      <c r="J13" s="10"/>
      <c r="K13" s="30"/>
      <c r="L13" s="28"/>
      <c r="M13" s="28"/>
      <c r="N13" s="8"/>
      <c r="O13" s="6"/>
      <c r="P13" s="30"/>
      <c r="Q13" s="28"/>
      <c r="R13" s="28"/>
    </row>
    <row r="14" spans="1:18">
      <c r="A14" s="2"/>
      <c r="B14" s="11"/>
      <c r="C14" s="66"/>
      <c r="D14" s="12"/>
      <c r="E14" s="59"/>
      <c r="F14" s="13"/>
      <c r="G14" s="13" t="s">
        <v>20</v>
      </c>
      <c r="H14" s="25">
        <f>SUM(H4:H13)</f>
        <v>3525</v>
      </c>
      <c r="I14" s="703"/>
      <c r="J14" s="703"/>
      <c r="K14" s="14"/>
      <c r="L14" s="13" t="s">
        <v>21</v>
      </c>
      <c r="M14" s="25">
        <f>SUM(M4:M13)</f>
        <v>8614.0917999999983</v>
      </c>
      <c r="N14" s="3"/>
      <c r="O14" s="14"/>
      <c r="P14" s="14"/>
      <c r="Q14" s="13" t="s">
        <v>22</v>
      </c>
      <c r="R14" s="25">
        <f>SUM(R4:R13)</f>
        <v>156.83199999999999</v>
      </c>
    </row>
    <row r="15" spans="1:18">
      <c r="A15" s="2"/>
      <c r="B15" s="16" t="s">
        <v>13</v>
      </c>
      <c r="C15" s="67"/>
      <c r="D15" s="14"/>
      <c r="E15" s="14"/>
      <c r="F15" s="14"/>
      <c r="G15" s="13"/>
      <c r="H15" s="35">
        <f>M14+R14+H14</f>
        <v>12295.923799999999</v>
      </c>
      <c r="I15" s="17"/>
      <c r="J15" s="14"/>
      <c r="K15" s="14"/>
      <c r="L15" s="13"/>
      <c r="M15" s="15"/>
      <c r="N15" s="14"/>
      <c r="O15" s="14"/>
      <c r="P15" s="14"/>
      <c r="Q15" s="14"/>
      <c r="R15" s="17"/>
    </row>
    <row r="16" spans="1:18">
      <c r="A16" s="2"/>
      <c r="B16" s="11" t="s">
        <v>25</v>
      </c>
      <c r="C16" s="68"/>
      <c r="D16" s="4"/>
      <c r="E16" s="4"/>
      <c r="F16" s="4"/>
      <c r="G16" s="18"/>
      <c r="H16" s="36">
        <v>0</v>
      </c>
      <c r="I16" s="20"/>
      <c r="J16" s="4" t="s">
        <v>26</v>
      </c>
      <c r="K16" s="4"/>
      <c r="L16" s="18"/>
      <c r="M16" s="19"/>
      <c r="N16" s="4"/>
      <c r="O16" s="4"/>
      <c r="P16" s="4"/>
      <c r="Q16" s="4"/>
      <c r="R16" s="20"/>
    </row>
    <row r="17" spans="1:18">
      <c r="A17" s="23"/>
      <c r="B17" s="11" t="s">
        <v>14</v>
      </c>
      <c r="C17" s="68"/>
      <c r="D17" s="4"/>
      <c r="E17" s="4"/>
      <c r="F17" s="4"/>
      <c r="G17" s="18"/>
      <c r="H17" s="36">
        <f>SUM(H15:H16)</f>
        <v>12295.923799999999</v>
      </c>
      <c r="I17" s="20"/>
      <c r="J17" s="704"/>
      <c r="K17" s="705"/>
      <c r="L17" s="705"/>
      <c r="M17" s="705"/>
      <c r="N17" s="705"/>
      <c r="O17" s="705"/>
      <c r="P17" s="705"/>
      <c r="Q17" s="705"/>
      <c r="R17" s="706"/>
    </row>
    <row r="18" spans="1:18">
      <c r="A18" s="23"/>
      <c r="B18" s="11" t="s">
        <v>24</v>
      </c>
      <c r="C18" s="68"/>
      <c r="D18" s="4"/>
      <c r="E18" s="4"/>
      <c r="F18" s="4"/>
      <c r="G18" s="18"/>
      <c r="H18" s="36">
        <f>H17*15%</f>
        <v>1844.3885699999996</v>
      </c>
      <c r="I18" s="20"/>
      <c r="J18" s="707"/>
      <c r="K18" s="708"/>
      <c r="L18" s="708"/>
      <c r="M18" s="708"/>
      <c r="N18" s="708"/>
      <c r="O18" s="708"/>
      <c r="P18" s="708"/>
      <c r="Q18" s="708"/>
      <c r="R18" s="709"/>
    </row>
    <row r="19" spans="1:18">
      <c r="A19" s="23"/>
      <c r="B19" s="11" t="s">
        <v>15</v>
      </c>
      <c r="C19" s="68"/>
      <c r="D19" s="4"/>
      <c r="E19" s="4"/>
      <c r="F19" s="4"/>
      <c r="G19" s="21" t="s">
        <v>16</v>
      </c>
      <c r="H19" s="37">
        <f>H18+H17</f>
        <v>14140.312369999998</v>
      </c>
      <c r="I19" s="38" t="str">
        <f>CONCATENATE("per ",C4)</f>
        <v>per cum</v>
      </c>
      <c r="J19" s="707"/>
      <c r="K19" s="708"/>
      <c r="L19" s="708"/>
      <c r="M19" s="708"/>
      <c r="N19" s="708"/>
      <c r="O19" s="708"/>
      <c r="P19" s="708"/>
      <c r="Q19" s="708"/>
      <c r="R19" s="709"/>
    </row>
    <row r="20" spans="1:18">
      <c r="A20" s="23"/>
      <c r="B20" s="11" t="s">
        <v>18</v>
      </c>
      <c r="C20" s="125" t="s">
        <v>19</v>
      </c>
      <c r="D20" s="4"/>
      <c r="E20" s="4"/>
      <c r="F20" s="4"/>
      <c r="G20" s="21" t="s">
        <v>16</v>
      </c>
      <c r="H20" s="37">
        <f>CEILING(H19,0.5)</f>
        <v>14140.5</v>
      </c>
      <c r="I20" s="38" t="str">
        <f>CONCATENATE("per ",C4)</f>
        <v>per cum</v>
      </c>
      <c r="J20" s="707"/>
      <c r="K20" s="708"/>
      <c r="L20" s="708"/>
      <c r="M20" s="708"/>
      <c r="N20" s="708"/>
      <c r="O20" s="708"/>
      <c r="P20" s="708"/>
      <c r="Q20" s="708"/>
      <c r="R20" s="709"/>
    </row>
    <row r="21" spans="1:18">
      <c r="A21" s="23"/>
      <c r="B21" s="11"/>
      <c r="C21" s="68"/>
      <c r="D21" s="4"/>
      <c r="E21" s="4"/>
      <c r="F21" s="4"/>
      <c r="G21" s="24" t="s">
        <v>17</v>
      </c>
      <c r="H21" s="37">
        <f>H20/exr</f>
        <v>108.77307692307693</v>
      </c>
      <c r="I21" s="38" t="str">
        <f>CONCATENATE("per ",C4)</f>
        <v>per cum</v>
      </c>
      <c r="J21" s="710"/>
      <c r="K21" s="711"/>
      <c r="L21" s="711"/>
      <c r="M21" s="711"/>
      <c r="N21" s="711"/>
      <c r="O21" s="711"/>
      <c r="P21" s="711"/>
      <c r="Q21" s="711"/>
      <c r="R21" s="712"/>
    </row>
    <row r="22" spans="1:18">
      <c r="A22" s="39"/>
      <c r="B22" s="40"/>
      <c r="C22" s="69"/>
      <c r="D22" s="41"/>
      <c r="E22" s="41"/>
      <c r="F22" s="41"/>
      <c r="G22" s="149" t="s">
        <v>460</v>
      </c>
      <c r="H22" s="150">
        <f>CEILING(SUM(M10,M9,R5,R6)/H15,0.0025)</f>
        <v>0.06</v>
      </c>
      <c r="I22" s="42"/>
      <c r="J22" s="43"/>
      <c r="K22" s="43"/>
      <c r="L22" s="43"/>
      <c r="M22" s="43"/>
      <c r="N22" s="43"/>
      <c r="O22" s="43"/>
      <c r="P22" s="43"/>
      <c r="Q22" s="43"/>
      <c r="R22" s="44"/>
    </row>
    <row r="24" spans="1:18">
      <c r="A24" s="693" t="s">
        <v>0</v>
      </c>
      <c r="B24" s="695" t="s">
        <v>1</v>
      </c>
      <c r="C24" s="695" t="s">
        <v>2</v>
      </c>
      <c r="D24" s="697" t="s">
        <v>3</v>
      </c>
      <c r="E24" s="698"/>
      <c r="F24" s="698"/>
      <c r="G24" s="698"/>
      <c r="H24" s="698"/>
      <c r="I24" s="699" t="s">
        <v>4</v>
      </c>
      <c r="J24" s="700"/>
      <c r="K24" s="700"/>
      <c r="L24" s="700"/>
      <c r="M24" s="700"/>
      <c r="N24" s="698" t="s">
        <v>5</v>
      </c>
      <c r="O24" s="698"/>
      <c r="P24" s="698"/>
      <c r="Q24" s="698"/>
      <c r="R24" s="698"/>
    </row>
    <row r="25" spans="1:18">
      <c r="A25" s="694"/>
      <c r="B25" s="696"/>
      <c r="C25" s="696"/>
      <c r="D25" s="45" t="s">
        <v>6</v>
      </c>
      <c r="E25" s="46" t="s">
        <v>2</v>
      </c>
      <c r="F25" s="46" t="s">
        <v>7</v>
      </c>
      <c r="G25" s="46" t="s">
        <v>8</v>
      </c>
      <c r="H25" s="46" t="s">
        <v>9</v>
      </c>
      <c r="I25" s="46" t="s">
        <v>10</v>
      </c>
      <c r="J25" s="46" t="s">
        <v>2</v>
      </c>
      <c r="K25" s="46" t="s">
        <v>7</v>
      </c>
      <c r="L25" s="46" t="s">
        <v>8</v>
      </c>
      <c r="M25" s="47" t="s">
        <v>9</v>
      </c>
      <c r="N25" s="46" t="s">
        <v>10</v>
      </c>
      <c r="O25" s="46" t="s">
        <v>2</v>
      </c>
      <c r="P25" s="46" t="s">
        <v>7</v>
      </c>
      <c r="Q25" s="46" t="s">
        <v>8</v>
      </c>
      <c r="R25" s="46" t="s">
        <v>9</v>
      </c>
    </row>
    <row r="26" spans="1:18" ht="15.75" customHeight="1">
      <c r="A26" s="33" t="s">
        <v>23</v>
      </c>
      <c r="B26" s="73" t="s">
        <v>248</v>
      </c>
      <c r="C26" s="65"/>
      <c r="D26" s="31"/>
      <c r="E26" s="31"/>
      <c r="F26" s="31"/>
      <c r="G26" s="31"/>
      <c r="H26" s="31"/>
      <c r="I26" s="31"/>
      <c r="J26" s="31"/>
      <c r="K26" s="31"/>
      <c r="L26" s="31"/>
      <c r="M26" s="31"/>
      <c r="N26" s="31"/>
      <c r="O26" s="31"/>
      <c r="P26" s="31"/>
      <c r="Q26" s="31"/>
      <c r="R26" s="32"/>
    </row>
    <row r="27" spans="1:18" ht="15.75" customHeight="1">
      <c r="A27" s="34">
        <v>1</v>
      </c>
      <c r="B27" s="713" t="s">
        <v>249</v>
      </c>
      <c r="C27" s="66" t="s">
        <v>11</v>
      </c>
      <c r="D27" s="4"/>
      <c r="E27" s="6"/>
      <c r="F27" s="29"/>
      <c r="G27" s="26"/>
      <c r="H27" s="26"/>
      <c r="I27" s="6"/>
      <c r="J27" s="6"/>
      <c r="K27" s="29"/>
      <c r="L27" s="26"/>
      <c r="M27" s="26"/>
      <c r="N27" s="6"/>
      <c r="O27" s="6"/>
      <c r="P27" s="29"/>
      <c r="Q27" s="26"/>
      <c r="R27" s="26"/>
    </row>
    <row r="28" spans="1:18">
      <c r="A28" s="2"/>
      <c r="B28" s="714"/>
      <c r="C28" s="66"/>
      <c r="D28" s="4" t="s">
        <v>251</v>
      </c>
      <c r="E28" s="6" t="s">
        <v>81</v>
      </c>
      <c r="F28" s="29">
        <v>0.5</v>
      </c>
      <c r="G28" s="26">
        <f>sr</f>
        <v>1100</v>
      </c>
      <c r="H28" s="26">
        <f>F28*G28</f>
        <v>550</v>
      </c>
      <c r="I28" s="7" t="s">
        <v>252</v>
      </c>
      <c r="J28" s="8" t="s">
        <v>32</v>
      </c>
      <c r="K28" s="29">
        <v>0.21</v>
      </c>
      <c r="L28" s="28">
        <f>cement</f>
        <v>24049.69</v>
      </c>
      <c r="M28" s="26">
        <f t="shared" ref="M28:M35" si="1">K28*L28</f>
        <v>5050.4348999999993</v>
      </c>
      <c r="N28" s="8" t="s">
        <v>256</v>
      </c>
      <c r="O28" s="6" t="s">
        <v>101</v>
      </c>
      <c r="P28" s="29">
        <v>0.6</v>
      </c>
      <c r="Q28" s="28">
        <f>mixer</f>
        <v>216.32</v>
      </c>
      <c r="R28" s="26">
        <f>P28*Q28</f>
        <v>129.792</v>
      </c>
    </row>
    <row r="29" spans="1:18">
      <c r="A29" s="2"/>
      <c r="B29" s="714"/>
      <c r="C29" s="66"/>
      <c r="D29" s="4" t="s">
        <v>97</v>
      </c>
      <c r="E29" s="6" t="s">
        <v>81</v>
      </c>
      <c r="F29" s="29">
        <v>3</v>
      </c>
      <c r="G29" s="26">
        <f>ur</f>
        <v>850</v>
      </c>
      <c r="H29" s="26">
        <f>F29*G29</f>
        <v>2550</v>
      </c>
      <c r="I29" s="7" t="s">
        <v>253</v>
      </c>
      <c r="J29" s="8" t="s">
        <v>34</v>
      </c>
      <c r="K29" s="29">
        <v>0.53</v>
      </c>
      <c r="L29" s="28">
        <f>Agg_40</f>
        <v>2450</v>
      </c>
      <c r="M29" s="26">
        <f t="shared" si="1"/>
        <v>1298.5</v>
      </c>
      <c r="N29" s="8" t="s">
        <v>257</v>
      </c>
      <c r="O29" s="6" t="s">
        <v>101</v>
      </c>
      <c r="P29" s="29">
        <v>0.25</v>
      </c>
      <c r="Q29" s="28">
        <f>vibrator_concrete</f>
        <v>108.16</v>
      </c>
      <c r="R29" s="26">
        <f>P29*Q29</f>
        <v>27.04</v>
      </c>
    </row>
    <row r="30" spans="1:18">
      <c r="A30" s="2"/>
      <c r="B30" s="714"/>
      <c r="C30" s="66"/>
      <c r="D30" s="4"/>
      <c r="E30" s="6"/>
      <c r="F30" s="29"/>
      <c r="G30" s="26"/>
      <c r="H30" s="26"/>
      <c r="I30" s="7" t="s">
        <v>258</v>
      </c>
      <c r="J30" s="8" t="s">
        <v>34</v>
      </c>
      <c r="K30" s="29">
        <v>0.24</v>
      </c>
      <c r="L30" s="28">
        <f>Agg_20*0.9</f>
        <v>2430</v>
      </c>
      <c r="M30" s="26">
        <f t="shared" si="1"/>
        <v>583.19999999999993</v>
      </c>
      <c r="N30" s="8"/>
      <c r="O30" s="6"/>
      <c r="P30" s="29"/>
      <c r="Q30" s="28"/>
      <c r="R30" s="28"/>
    </row>
    <row r="31" spans="1:18">
      <c r="A31" s="2"/>
      <c r="B31" s="714"/>
      <c r="C31" s="66"/>
      <c r="D31" s="4"/>
      <c r="E31" s="6"/>
      <c r="F31" s="29"/>
      <c r="G31" s="26"/>
      <c r="H31" s="26"/>
      <c r="I31" s="7" t="s">
        <v>259</v>
      </c>
      <c r="J31" s="8" t="s">
        <v>34</v>
      </c>
      <c r="K31" s="29">
        <v>0.11</v>
      </c>
      <c r="L31" s="28">
        <f>Agg_10*0.9</f>
        <v>2655</v>
      </c>
      <c r="M31" s="26">
        <f t="shared" si="1"/>
        <v>292.05</v>
      </c>
      <c r="N31" s="8"/>
      <c r="O31" s="6"/>
      <c r="P31" s="29"/>
      <c r="Q31" s="28"/>
      <c r="R31" s="28"/>
    </row>
    <row r="32" spans="1:18">
      <c r="A32" s="2"/>
      <c r="B32" s="126"/>
      <c r="C32" s="66"/>
      <c r="D32" s="4"/>
      <c r="E32" s="6"/>
      <c r="F32" s="29"/>
      <c r="G32" s="26"/>
      <c r="H32" s="26"/>
      <c r="I32" s="7" t="s">
        <v>254</v>
      </c>
      <c r="J32" s="8" t="s">
        <v>34</v>
      </c>
      <c r="K32" s="29">
        <v>0.46</v>
      </c>
      <c r="L32" s="28">
        <f>sand*0.9</f>
        <v>945</v>
      </c>
      <c r="M32" s="26">
        <f t="shared" si="1"/>
        <v>434.70000000000005</v>
      </c>
      <c r="N32" s="8"/>
      <c r="O32" s="6"/>
      <c r="P32" s="29"/>
      <c r="Q32" s="28"/>
      <c r="R32" s="28"/>
    </row>
    <row r="33" spans="1:18">
      <c r="A33" s="2"/>
      <c r="B33" s="126"/>
      <c r="C33" s="66"/>
      <c r="D33" s="4"/>
      <c r="E33" s="6"/>
      <c r="F33" s="29"/>
      <c r="G33" s="26"/>
      <c r="H33" s="26"/>
      <c r="I33" s="7" t="s">
        <v>70</v>
      </c>
      <c r="J33" s="8" t="s">
        <v>250</v>
      </c>
      <c r="K33" s="29">
        <v>0.1</v>
      </c>
      <c r="L33" s="28">
        <f>petrol</f>
        <v>188.6</v>
      </c>
      <c r="M33" s="26">
        <f t="shared" si="1"/>
        <v>18.86</v>
      </c>
      <c r="N33" s="8"/>
      <c r="O33" s="6"/>
      <c r="P33" s="29"/>
      <c r="Q33" s="28"/>
      <c r="R33" s="28"/>
    </row>
    <row r="34" spans="1:18">
      <c r="A34" s="2"/>
      <c r="B34" s="126"/>
      <c r="C34" s="66"/>
      <c r="D34" s="4"/>
      <c r="E34" s="6"/>
      <c r="F34" s="29"/>
      <c r="G34" s="26"/>
      <c r="H34" s="26"/>
      <c r="I34" s="7" t="s">
        <v>67</v>
      </c>
      <c r="J34" s="8" t="s">
        <v>250</v>
      </c>
      <c r="K34" s="29">
        <v>3</v>
      </c>
      <c r="L34" s="28">
        <f>diesel</f>
        <v>177.6</v>
      </c>
      <c r="M34" s="26">
        <f t="shared" si="1"/>
        <v>532.79999999999995</v>
      </c>
      <c r="N34" s="8"/>
      <c r="O34" s="6"/>
      <c r="P34" s="29"/>
      <c r="Q34" s="28"/>
      <c r="R34" s="28"/>
    </row>
    <row r="35" spans="1:18">
      <c r="A35" s="2"/>
      <c r="B35" s="126"/>
      <c r="C35" s="66"/>
      <c r="D35" s="4"/>
      <c r="E35" s="6"/>
      <c r="F35" s="29"/>
      <c r="G35" s="26"/>
      <c r="H35" s="26"/>
      <c r="I35" s="7" t="s">
        <v>255</v>
      </c>
      <c r="J35" s="8" t="s">
        <v>250</v>
      </c>
      <c r="K35" s="29">
        <v>156</v>
      </c>
      <c r="L35" s="28"/>
      <c r="M35" s="26">
        <f t="shared" si="1"/>
        <v>0</v>
      </c>
      <c r="N35" s="8"/>
      <c r="O35" s="6"/>
      <c r="P35" s="29"/>
      <c r="Q35" s="28"/>
      <c r="R35" s="28"/>
    </row>
    <row r="36" spans="1:18">
      <c r="A36" s="2"/>
      <c r="B36" s="5"/>
      <c r="C36" s="66"/>
      <c r="D36" s="4"/>
      <c r="E36" s="9"/>
      <c r="F36" s="30"/>
      <c r="G36" s="27"/>
      <c r="H36" s="27"/>
      <c r="I36" s="9"/>
      <c r="J36" s="10"/>
      <c r="K36" s="30"/>
      <c r="L36" s="28"/>
      <c r="M36" s="28"/>
      <c r="N36" s="8"/>
      <c r="O36" s="6"/>
      <c r="P36" s="30"/>
      <c r="Q36" s="28"/>
      <c r="R36" s="28"/>
    </row>
    <row r="37" spans="1:18">
      <c r="A37" s="2"/>
      <c r="B37" s="11"/>
      <c r="C37" s="66"/>
      <c r="D37" s="12"/>
      <c r="E37" s="59"/>
      <c r="F37" s="13"/>
      <c r="G37" s="13" t="s">
        <v>20</v>
      </c>
      <c r="H37" s="25">
        <f>SUM(H27:H36)</f>
        <v>3100</v>
      </c>
      <c r="I37" s="703"/>
      <c r="J37" s="703"/>
      <c r="K37" s="14"/>
      <c r="L37" s="13" t="s">
        <v>21</v>
      </c>
      <c r="M37" s="25">
        <f>SUM(M27:M36)</f>
        <v>8210.544899999999</v>
      </c>
      <c r="N37" s="3"/>
      <c r="O37" s="14"/>
      <c r="P37" s="14"/>
      <c r="Q37" s="13" t="s">
        <v>22</v>
      </c>
      <c r="R37" s="25">
        <f>SUM(R27:R36)</f>
        <v>156.83199999999999</v>
      </c>
    </row>
    <row r="38" spans="1:18">
      <c r="A38" s="2"/>
      <c r="B38" s="16" t="s">
        <v>13</v>
      </c>
      <c r="C38" s="67"/>
      <c r="D38" s="14"/>
      <c r="E38" s="14"/>
      <c r="F38" s="14"/>
      <c r="G38" s="13"/>
      <c r="H38" s="35">
        <f>M37+R37+H37</f>
        <v>11467.376899999999</v>
      </c>
      <c r="I38" s="17"/>
      <c r="J38" s="14"/>
      <c r="K38" s="14"/>
      <c r="L38" s="13"/>
      <c r="M38" s="15"/>
      <c r="N38" s="14"/>
      <c r="O38" s="14"/>
      <c r="P38" s="14"/>
      <c r="Q38" s="14"/>
      <c r="R38" s="17"/>
    </row>
    <row r="39" spans="1:18">
      <c r="A39" s="2"/>
      <c r="B39" s="11" t="s">
        <v>25</v>
      </c>
      <c r="C39" s="68"/>
      <c r="D39" s="4"/>
      <c r="E39" s="4"/>
      <c r="F39" s="4"/>
      <c r="G39" s="18"/>
      <c r="H39" s="36">
        <v>0</v>
      </c>
      <c r="I39" s="20"/>
      <c r="J39" s="4" t="s">
        <v>26</v>
      </c>
      <c r="K39" s="4"/>
      <c r="L39" s="18"/>
      <c r="M39" s="19"/>
      <c r="N39" s="4"/>
      <c r="O39" s="4"/>
      <c r="P39" s="4"/>
      <c r="Q39" s="4"/>
      <c r="R39" s="20"/>
    </row>
    <row r="40" spans="1:18">
      <c r="A40" s="23"/>
      <c r="B40" s="11" t="s">
        <v>14</v>
      </c>
      <c r="C40" s="68"/>
      <c r="D40" s="4"/>
      <c r="E40" s="4"/>
      <c r="F40" s="4"/>
      <c r="G40" s="18"/>
      <c r="H40" s="36">
        <f>SUM(H38:H39)</f>
        <v>11467.376899999999</v>
      </c>
      <c r="I40" s="20"/>
      <c r="J40" s="704"/>
      <c r="K40" s="705"/>
      <c r="L40" s="705"/>
      <c r="M40" s="705"/>
      <c r="N40" s="705"/>
      <c r="O40" s="705"/>
      <c r="P40" s="705"/>
      <c r="Q40" s="705"/>
      <c r="R40" s="706"/>
    </row>
    <row r="41" spans="1:18">
      <c r="A41" s="23"/>
      <c r="B41" s="11" t="s">
        <v>24</v>
      </c>
      <c r="C41" s="68"/>
      <c r="D41" s="4"/>
      <c r="E41" s="4"/>
      <c r="F41" s="4"/>
      <c r="G41" s="18"/>
      <c r="H41" s="36">
        <f>H40*15%</f>
        <v>1720.1065349999999</v>
      </c>
      <c r="I41" s="20"/>
      <c r="J41" s="707"/>
      <c r="K41" s="708"/>
      <c r="L41" s="708"/>
      <c r="M41" s="708"/>
      <c r="N41" s="708"/>
      <c r="O41" s="708"/>
      <c r="P41" s="708"/>
      <c r="Q41" s="708"/>
      <c r="R41" s="709"/>
    </row>
    <row r="42" spans="1:18">
      <c r="A42" s="23"/>
      <c r="B42" s="11" t="s">
        <v>15</v>
      </c>
      <c r="C42" s="68"/>
      <c r="D42" s="4"/>
      <c r="E42" s="4"/>
      <c r="F42" s="4"/>
      <c r="G42" s="21" t="s">
        <v>16</v>
      </c>
      <c r="H42" s="37">
        <f>H41+H40</f>
        <v>13187.483434999998</v>
      </c>
      <c r="I42" s="38" t="str">
        <f>CONCATENATE("per ",C27)</f>
        <v>per cum</v>
      </c>
      <c r="J42" s="707"/>
      <c r="K42" s="708"/>
      <c r="L42" s="708"/>
      <c r="M42" s="708"/>
      <c r="N42" s="708"/>
      <c r="O42" s="708"/>
      <c r="P42" s="708"/>
      <c r="Q42" s="708"/>
      <c r="R42" s="709"/>
    </row>
    <row r="43" spans="1:18">
      <c r="A43" s="23"/>
      <c r="B43" s="11" t="s">
        <v>18</v>
      </c>
      <c r="C43" s="125" t="s">
        <v>19</v>
      </c>
      <c r="D43" s="4"/>
      <c r="E43" s="4"/>
      <c r="F43" s="4"/>
      <c r="G43" s="21" t="s">
        <v>16</v>
      </c>
      <c r="H43" s="37">
        <f>CEILING(H42,0.5)</f>
        <v>13187.5</v>
      </c>
      <c r="I43" s="38" t="str">
        <f>CONCATENATE("per ",C27)</f>
        <v>per cum</v>
      </c>
      <c r="J43" s="707"/>
      <c r="K43" s="708"/>
      <c r="L43" s="708"/>
      <c r="M43" s="708"/>
      <c r="N43" s="708"/>
      <c r="O43" s="708"/>
      <c r="P43" s="708"/>
      <c r="Q43" s="708"/>
      <c r="R43" s="709"/>
    </row>
    <row r="44" spans="1:18">
      <c r="A44" s="23"/>
      <c r="B44" s="11"/>
      <c r="C44" s="68"/>
      <c r="D44" s="4"/>
      <c r="E44" s="4"/>
      <c r="F44" s="4"/>
      <c r="G44" s="24" t="s">
        <v>17</v>
      </c>
      <c r="H44" s="37">
        <f>H43/exr</f>
        <v>101.44230769230769</v>
      </c>
      <c r="I44" s="38" t="str">
        <f>CONCATENATE("per ",C27)</f>
        <v>per cum</v>
      </c>
      <c r="J44" s="710"/>
      <c r="K44" s="711"/>
      <c r="L44" s="711"/>
      <c r="M44" s="711"/>
      <c r="N44" s="711"/>
      <c r="O44" s="711"/>
      <c r="P44" s="711"/>
      <c r="Q44" s="711"/>
      <c r="R44" s="712"/>
    </row>
    <row r="45" spans="1:18">
      <c r="A45" s="39"/>
      <c r="B45" s="40"/>
      <c r="C45" s="69"/>
      <c r="D45" s="41"/>
      <c r="E45" s="41"/>
      <c r="F45" s="41"/>
      <c r="G45" s="149" t="s">
        <v>460</v>
      </c>
      <c r="H45" s="150">
        <f>CEILING(SUM(M33,M34,R28,R29)/H38,0.0025)</f>
        <v>6.25E-2</v>
      </c>
      <c r="I45" s="42"/>
      <c r="J45" s="43"/>
      <c r="K45" s="43"/>
      <c r="L45" s="43"/>
      <c r="M45" s="43"/>
      <c r="N45" s="43"/>
      <c r="O45" s="43"/>
      <c r="P45" s="43"/>
      <c r="Q45" s="43"/>
      <c r="R45" s="44"/>
    </row>
    <row r="46" spans="1:18">
      <c r="A46" s="22"/>
      <c r="B46" s="22"/>
      <c r="C46" s="70"/>
      <c r="D46" s="22"/>
      <c r="E46" s="22"/>
      <c r="F46" s="22"/>
      <c r="G46" s="22"/>
      <c r="H46" s="22"/>
      <c r="I46" s="22"/>
      <c r="J46" s="22"/>
      <c r="K46" s="22"/>
      <c r="L46" s="22"/>
      <c r="M46" s="22"/>
      <c r="N46" s="22"/>
      <c r="O46" s="22"/>
      <c r="P46" s="22"/>
      <c r="Q46" s="22"/>
      <c r="R46" s="22"/>
    </row>
    <row r="47" spans="1:18">
      <c r="A47" s="693" t="s">
        <v>0</v>
      </c>
      <c r="B47" s="695" t="s">
        <v>1</v>
      </c>
      <c r="C47" s="695" t="s">
        <v>2</v>
      </c>
      <c r="D47" s="697" t="s">
        <v>3</v>
      </c>
      <c r="E47" s="698"/>
      <c r="F47" s="698"/>
      <c r="G47" s="698"/>
      <c r="H47" s="698"/>
      <c r="I47" s="699" t="s">
        <v>4</v>
      </c>
      <c r="J47" s="700"/>
      <c r="K47" s="700"/>
      <c r="L47" s="700"/>
      <c r="M47" s="700"/>
      <c r="N47" s="698" t="s">
        <v>5</v>
      </c>
      <c r="O47" s="698"/>
      <c r="P47" s="698"/>
      <c r="Q47" s="698"/>
      <c r="R47" s="698"/>
    </row>
    <row r="48" spans="1:18">
      <c r="A48" s="694"/>
      <c r="B48" s="696"/>
      <c r="C48" s="696"/>
      <c r="D48" s="45" t="s">
        <v>6</v>
      </c>
      <c r="E48" s="46" t="s">
        <v>2</v>
      </c>
      <c r="F48" s="46" t="s">
        <v>7</v>
      </c>
      <c r="G48" s="46" t="s">
        <v>8</v>
      </c>
      <c r="H48" s="46" t="s">
        <v>9</v>
      </c>
      <c r="I48" s="46" t="s">
        <v>10</v>
      </c>
      <c r="J48" s="46" t="s">
        <v>2</v>
      </c>
      <c r="K48" s="46" t="s">
        <v>7</v>
      </c>
      <c r="L48" s="46" t="s">
        <v>8</v>
      </c>
      <c r="M48" s="47" t="s">
        <v>9</v>
      </c>
      <c r="N48" s="46" t="s">
        <v>10</v>
      </c>
      <c r="O48" s="46" t="s">
        <v>2</v>
      </c>
      <c r="P48" s="46" t="s">
        <v>7</v>
      </c>
      <c r="Q48" s="46" t="s">
        <v>8</v>
      </c>
      <c r="R48" s="46" t="s">
        <v>9</v>
      </c>
    </row>
    <row r="49" spans="1:18">
      <c r="A49" s="33" t="s">
        <v>23</v>
      </c>
      <c r="B49" s="73" t="s">
        <v>261</v>
      </c>
      <c r="C49" s="65"/>
      <c r="D49" s="31"/>
      <c r="E49" s="31"/>
      <c r="F49" s="31"/>
      <c r="G49" s="31"/>
      <c r="H49" s="31"/>
      <c r="I49" s="31"/>
      <c r="J49" s="31"/>
      <c r="K49" s="31"/>
      <c r="L49" s="31"/>
      <c r="M49" s="31"/>
      <c r="N49" s="31"/>
      <c r="O49" s="31"/>
      <c r="P49" s="31"/>
      <c r="Q49" s="31"/>
      <c r="R49" s="32"/>
    </row>
    <row r="50" spans="1:18">
      <c r="A50" s="34">
        <f>A27+1</f>
        <v>2</v>
      </c>
      <c r="B50" s="713" t="s">
        <v>260</v>
      </c>
      <c r="C50" s="66" t="s">
        <v>11</v>
      </c>
      <c r="D50" s="4"/>
      <c r="E50" s="6"/>
      <c r="F50" s="29"/>
      <c r="G50" s="26"/>
      <c r="H50" s="26"/>
      <c r="I50" s="6"/>
      <c r="J50" s="6"/>
      <c r="K50" s="29"/>
      <c r="L50" s="26"/>
      <c r="M50" s="26"/>
      <c r="N50" s="6"/>
      <c r="O50" s="6"/>
      <c r="P50" s="29"/>
      <c r="Q50" s="26"/>
      <c r="R50" s="26"/>
    </row>
    <row r="51" spans="1:18">
      <c r="A51" s="2"/>
      <c r="B51" s="714"/>
      <c r="C51" s="66"/>
      <c r="D51" s="4" t="s">
        <v>251</v>
      </c>
      <c r="E51" s="6" t="s">
        <v>81</v>
      </c>
      <c r="F51" s="29">
        <v>1</v>
      </c>
      <c r="G51" s="26">
        <f>sr</f>
        <v>1100</v>
      </c>
      <c r="H51" s="26">
        <f>F51*G51</f>
        <v>1100</v>
      </c>
      <c r="I51" s="7" t="s">
        <v>252</v>
      </c>
      <c r="J51" s="8" t="s">
        <v>32</v>
      </c>
      <c r="K51" s="29">
        <v>0.28499999999999998</v>
      </c>
      <c r="L51" s="28">
        <f>cement</f>
        <v>24049.69</v>
      </c>
      <c r="M51" s="26">
        <f t="shared" ref="M51:M56" si="2">K51*L51</f>
        <v>6854.1616499999991</v>
      </c>
      <c r="N51" s="8"/>
      <c r="O51" s="6"/>
      <c r="P51" s="29"/>
      <c r="Q51" s="28"/>
      <c r="R51" s="26"/>
    </row>
    <row r="52" spans="1:18">
      <c r="A52" s="2"/>
      <c r="B52" s="714"/>
      <c r="C52" s="66"/>
      <c r="D52" s="4" t="s">
        <v>97</v>
      </c>
      <c r="E52" s="6" t="s">
        <v>81</v>
      </c>
      <c r="F52" s="29">
        <v>4</v>
      </c>
      <c r="G52" s="26">
        <f>ur</f>
        <v>850</v>
      </c>
      <c r="H52" s="26">
        <f>F52*G52</f>
        <v>3400</v>
      </c>
      <c r="I52" s="7" t="s">
        <v>253</v>
      </c>
      <c r="J52" s="8" t="s">
        <v>34</v>
      </c>
      <c r="K52" s="29">
        <v>0.53</v>
      </c>
      <c r="L52" s="28">
        <f>Agg_40</f>
        <v>2450</v>
      </c>
      <c r="M52" s="26">
        <f t="shared" si="2"/>
        <v>1298.5</v>
      </c>
      <c r="N52" s="8" t="s">
        <v>257</v>
      </c>
      <c r="O52" s="6" t="s">
        <v>101</v>
      </c>
      <c r="P52" s="29">
        <v>0.25</v>
      </c>
      <c r="Q52" s="28">
        <f>vibrator_concrete</f>
        <v>108.16</v>
      </c>
      <c r="R52" s="26">
        <f>P52*Q52</f>
        <v>27.04</v>
      </c>
    </row>
    <row r="53" spans="1:18">
      <c r="A53" s="2"/>
      <c r="B53" s="714"/>
      <c r="C53" s="66"/>
      <c r="D53" s="4"/>
      <c r="E53" s="6"/>
      <c r="F53" s="29"/>
      <c r="G53" s="26"/>
      <c r="H53" s="26"/>
      <c r="I53" s="7" t="s">
        <v>258</v>
      </c>
      <c r="J53" s="8" t="s">
        <v>34</v>
      </c>
      <c r="K53" s="29">
        <v>0.24</v>
      </c>
      <c r="L53" s="28">
        <f>Agg_20</f>
        <v>2700</v>
      </c>
      <c r="M53" s="26">
        <f t="shared" si="2"/>
        <v>648</v>
      </c>
      <c r="N53" s="8"/>
      <c r="O53" s="6"/>
      <c r="P53" s="29"/>
      <c r="Q53" s="28"/>
      <c r="R53" s="28"/>
    </row>
    <row r="54" spans="1:18">
      <c r="A54" s="2"/>
      <c r="B54" s="714"/>
      <c r="C54" s="66"/>
      <c r="D54" s="4"/>
      <c r="E54" s="6"/>
      <c r="F54" s="29"/>
      <c r="G54" s="26"/>
      <c r="H54" s="26"/>
      <c r="I54" s="7" t="s">
        <v>259</v>
      </c>
      <c r="J54" s="8" t="s">
        <v>34</v>
      </c>
      <c r="K54" s="29">
        <v>0.11</v>
      </c>
      <c r="L54" s="28">
        <f>Agg_10</f>
        <v>2950</v>
      </c>
      <c r="M54" s="26">
        <f t="shared" si="2"/>
        <v>324.5</v>
      </c>
      <c r="N54" s="8"/>
      <c r="O54" s="6"/>
      <c r="P54" s="29"/>
      <c r="Q54" s="28"/>
      <c r="R54" s="28"/>
    </row>
    <row r="55" spans="1:18">
      <c r="A55" s="2"/>
      <c r="B55" s="126"/>
      <c r="C55" s="66"/>
      <c r="D55" s="4"/>
      <c r="E55" s="6"/>
      <c r="F55" s="29"/>
      <c r="G55" s="26"/>
      <c r="H55" s="26"/>
      <c r="I55" s="7" t="s">
        <v>254</v>
      </c>
      <c r="J55" s="8" t="s">
        <v>34</v>
      </c>
      <c r="K55" s="29">
        <v>0.46</v>
      </c>
      <c r="L55" s="28">
        <f>sand</f>
        <v>1050</v>
      </c>
      <c r="M55" s="26">
        <f t="shared" si="2"/>
        <v>483</v>
      </c>
      <c r="N55" s="8"/>
      <c r="O55" s="6"/>
      <c r="P55" s="29"/>
      <c r="Q55" s="28"/>
      <c r="R55" s="28"/>
    </row>
    <row r="56" spans="1:18">
      <c r="A56" s="2"/>
      <c r="B56" s="126"/>
      <c r="C56" s="66"/>
      <c r="D56" s="4"/>
      <c r="E56" s="6"/>
      <c r="F56" s="29"/>
      <c r="G56" s="26"/>
      <c r="H56" s="26"/>
      <c r="I56" s="7" t="s">
        <v>255</v>
      </c>
      <c r="J56" s="8" t="s">
        <v>250</v>
      </c>
      <c r="K56" s="29">
        <v>171</v>
      </c>
      <c r="L56" s="28"/>
      <c r="M56" s="26">
        <f t="shared" si="2"/>
        <v>0</v>
      </c>
      <c r="N56" s="8"/>
      <c r="O56" s="6"/>
      <c r="P56" s="29"/>
      <c r="Q56" s="28"/>
      <c r="R56" s="28"/>
    </row>
    <row r="57" spans="1:18">
      <c r="A57" s="2"/>
      <c r="B57" s="126"/>
      <c r="C57" s="66"/>
      <c r="D57" s="4"/>
      <c r="E57" s="6"/>
      <c r="F57" s="29"/>
      <c r="G57" s="26"/>
      <c r="H57" s="26"/>
      <c r="I57" s="7"/>
      <c r="J57" s="8"/>
      <c r="K57" s="29"/>
      <c r="L57" s="28"/>
      <c r="M57" s="26"/>
      <c r="N57" s="8"/>
      <c r="O57" s="6"/>
      <c r="P57" s="29"/>
      <c r="Q57" s="28"/>
      <c r="R57" s="28"/>
    </row>
    <row r="58" spans="1:18">
      <c r="A58" s="2"/>
      <c r="B58" s="126"/>
      <c r="C58" s="66"/>
      <c r="D58" s="4"/>
      <c r="E58" s="6"/>
      <c r="F58" s="29"/>
      <c r="G58" s="26"/>
      <c r="H58" s="26"/>
      <c r="I58" s="7"/>
      <c r="J58" s="8"/>
      <c r="K58" s="29"/>
      <c r="L58" s="28"/>
      <c r="M58" s="26"/>
      <c r="N58" s="8"/>
      <c r="O58" s="6"/>
      <c r="P58" s="29"/>
      <c r="Q58" s="28"/>
      <c r="R58" s="28"/>
    </row>
    <row r="59" spans="1:18">
      <c r="A59" s="2"/>
      <c r="B59" s="5"/>
      <c r="C59" s="66"/>
      <c r="D59" s="4"/>
      <c r="E59" s="9"/>
      <c r="F59" s="30"/>
      <c r="G59" s="27"/>
      <c r="H59" s="27"/>
      <c r="I59" s="9"/>
      <c r="J59" s="10"/>
      <c r="K59" s="30"/>
      <c r="L59" s="28"/>
      <c r="M59" s="28"/>
      <c r="N59" s="8"/>
      <c r="O59" s="6"/>
      <c r="P59" s="30"/>
      <c r="Q59" s="28"/>
      <c r="R59" s="28"/>
    </row>
    <row r="60" spans="1:18">
      <c r="A60" s="2"/>
      <c r="B60" s="11"/>
      <c r="C60" s="66"/>
      <c r="D60" s="12"/>
      <c r="E60" s="59"/>
      <c r="F60" s="13"/>
      <c r="G60" s="13" t="s">
        <v>20</v>
      </c>
      <c r="H60" s="25">
        <f>SUM(H50:H59)</f>
        <v>4500</v>
      </c>
      <c r="I60" s="703"/>
      <c r="J60" s="703"/>
      <c r="K60" s="14"/>
      <c r="L60" s="13" t="s">
        <v>21</v>
      </c>
      <c r="M60" s="25">
        <f>SUM(M50:M59)</f>
        <v>9608.1616499999982</v>
      </c>
      <c r="N60" s="3"/>
      <c r="O60" s="14"/>
      <c r="P60" s="14"/>
      <c r="Q60" s="13" t="s">
        <v>22</v>
      </c>
      <c r="R60" s="25">
        <f>SUM(R50:R59)</f>
        <v>27.04</v>
      </c>
    </row>
    <row r="61" spans="1:18">
      <c r="A61" s="2"/>
      <c r="B61" s="16" t="s">
        <v>13</v>
      </c>
      <c r="C61" s="67"/>
      <c r="D61" s="14"/>
      <c r="E61" s="14"/>
      <c r="F61" s="14"/>
      <c r="G61" s="13"/>
      <c r="H61" s="35">
        <f>M60+R60+H60</f>
        <v>14135.201649999999</v>
      </c>
      <c r="I61" s="17"/>
      <c r="J61" s="14"/>
      <c r="K61" s="14"/>
      <c r="L61" s="13"/>
      <c r="M61" s="15"/>
      <c r="N61" s="14"/>
      <c r="O61" s="14"/>
      <c r="P61" s="14"/>
      <c r="Q61" s="14"/>
      <c r="R61" s="17"/>
    </row>
    <row r="62" spans="1:18">
      <c r="A62" s="2"/>
      <c r="B62" s="11" t="s">
        <v>25</v>
      </c>
      <c r="C62" s="68"/>
      <c r="D62" s="4"/>
      <c r="E62" s="4"/>
      <c r="F62" s="4"/>
      <c r="G62" s="18"/>
      <c r="H62" s="36">
        <v>0</v>
      </c>
      <c r="I62" s="20"/>
      <c r="J62" s="4" t="s">
        <v>26</v>
      </c>
      <c r="K62" s="4"/>
      <c r="L62" s="18"/>
      <c r="M62" s="19"/>
      <c r="N62" s="4"/>
      <c r="O62" s="4"/>
      <c r="P62" s="4"/>
      <c r="Q62" s="4"/>
      <c r="R62" s="20"/>
    </row>
    <row r="63" spans="1:18">
      <c r="A63" s="23"/>
      <c r="B63" s="11" t="s">
        <v>14</v>
      </c>
      <c r="C63" s="68"/>
      <c r="D63" s="4"/>
      <c r="E63" s="4"/>
      <c r="F63" s="4"/>
      <c r="G63" s="18"/>
      <c r="H63" s="36">
        <f>SUM(H61:H62)</f>
        <v>14135.201649999999</v>
      </c>
      <c r="I63" s="20"/>
      <c r="J63" s="704"/>
      <c r="K63" s="705"/>
      <c r="L63" s="705"/>
      <c r="M63" s="705"/>
      <c r="N63" s="705"/>
      <c r="O63" s="705"/>
      <c r="P63" s="705"/>
      <c r="Q63" s="705"/>
      <c r="R63" s="706"/>
    </row>
    <row r="64" spans="1:18">
      <c r="A64" s="23"/>
      <c r="B64" s="11" t="s">
        <v>24</v>
      </c>
      <c r="C64" s="68"/>
      <c r="D64" s="4"/>
      <c r="E64" s="4"/>
      <c r="F64" s="4"/>
      <c r="G64" s="18"/>
      <c r="H64" s="36">
        <f>H63*15%</f>
        <v>2120.2802474999999</v>
      </c>
      <c r="I64" s="20"/>
      <c r="J64" s="707"/>
      <c r="K64" s="708"/>
      <c r="L64" s="708"/>
      <c r="M64" s="708"/>
      <c r="N64" s="708"/>
      <c r="O64" s="708"/>
      <c r="P64" s="708"/>
      <c r="Q64" s="708"/>
      <c r="R64" s="709"/>
    </row>
    <row r="65" spans="1:18">
      <c r="A65" s="23"/>
      <c r="B65" s="11" t="s">
        <v>15</v>
      </c>
      <c r="C65" s="68"/>
      <c r="D65" s="4"/>
      <c r="E65" s="4"/>
      <c r="F65" s="4"/>
      <c r="G65" s="21" t="s">
        <v>16</v>
      </c>
      <c r="H65" s="37">
        <f>H64+H63</f>
        <v>16255.481897499998</v>
      </c>
      <c r="I65" s="38" t="str">
        <f>CONCATENATE("per ",C50)</f>
        <v>per cum</v>
      </c>
      <c r="J65" s="707"/>
      <c r="K65" s="708"/>
      <c r="L65" s="708"/>
      <c r="M65" s="708"/>
      <c r="N65" s="708"/>
      <c r="O65" s="708"/>
      <c r="P65" s="708"/>
      <c r="Q65" s="708"/>
      <c r="R65" s="709"/>
    </row>
    <row r="66" spans="1:18">
      <c r="A66" s="23"/>
      <c r="B66" s="11" t="s">
        <v>18</v>
      </c>
      <c r="C66" s="125" t="s">
        <v>19</v>
      </c>
      <c r="D66" s="4"/>
      <c r="E66" s="4"/>
      <c r="F66" s="4"/>
      <c r="G66" s="21" t="s">
        <v>16</v>
      </c>
      <c r="H66" s="37">
        <f>CEILING(H65,0.5)</f>
        <v>16255.5</v>
      </c>
      <c r="I66" s="38" t="str">
        <f>CONCATENATE("per ",C50)</f>
        <v>per cum</v>
      </c>
      <c r="J66" s="707"/>
      <c r="K66" s="708"/>
      <c r="L66" s="708"/>
      <c r="M66" s="708"/>
      <c r="N66" s="708"/>
      <c r="O66" s="708"/>
      <c r="P66" s="708"/>
      <c r="Q66" s="708"/>
      <c r="R66" s="709"/>
    </row>
    <row r="67" spans="1:18">
      <c r="A67" s="23"/>
      <c r="B67" s="11"/>
      <c r="C67" s="68"/>
      <c r="D67" s="4"/>
      <c r="E67" s="4"/>
      <c r="F67" s="4"/>
      <c r="G67" s="24" t="s">
        <v>17</v>
      </c>
      <c r="H67" s="37">
        <f>H66/exr</f>
        <v>125.04230769230769</v>
      </c>
      <c r="I67" s="38" t="str">
        <f>CONCATENATE("per ",C50)</f>
        <v>per cum</v>
      </c>
      <c r="J67" s="710"/>
      <c r="K67" s="711"/>
      <c r="L67" s="711"/>
      <c r="M67" s="711"/>
      <c r="N67" s="711"/>
      <c r="O67" s="711"/>
      <c r="P67" s="711"/>
      <c r="Q67" s="711"/>
      <c r="R67" s="712"/>
    </row>
    <row r="68" spans="1:18">
      <c r="A68" s="39"/>
      <c r="B68" s="40"/>
      <c r="C68" s="69"/>
      <c r="D68" s="41"/>
      <c r="E68" s="41"/>
      <c r="F68" s="41"/>
      <c r="G68" s="149" t="s">
        <v>460</v>
      </c>
      <c r="H68" s="150">
        <f>CEILING(SUM(R52)/H61,0.0025)</f>
        <v>2.5000000000000001E-3</v>
      </c>
      <c r="I68" s="42"/>
      <c r="J68" s="43"/>
      <c r="K68" s="43"/>
      <c r="L68" s="43"/>
      <c r="M68" s="43"/>
      <c r="N68" s="43"/>
      <c r="O68" s="43"/>
      <c r="P68" s="43"/>
      <c r="Q68" s="43"/>
      <c r="R68" s="44"/>
    </row>
    <row r="70" spans="1:18">
      <c r="A70" s="693" t="s">
        <v>0</v>
      </c>
      <c r="B70" s="695" t="s">
        <v>1</v>
      </c>
      <c r="C70" s="695" t="s">
        <v>2</v>
      </c>
      <c r="D70" s="697" t="s">
        <v>3</v>
      </c>
      <c r="E70" s="698"/>
      <c r="F70" s="698"/>
      <c r="G70" s="698"/>
      <c r="H70" s="698"/>
      <c r="I70" s="699" t="s">
        <v>4</v>
      </c>
      <c r="J70" s="700"/>
      <c r="K70" s="700"/>
      <c r="L70" s="700"/>
      <c r="M70" s="700"/>
      <c r="N70" s="698" t="s">
        <v>5</v>
      </c>
      <c r="O70" s="698"/>
      <c r="P70" s="698"/>
      <c r="Q70" s="698"/>
      <c r="R70" s="698"/>
    </row>
    <row r="71" spans="1:18">
      <c r="A71" s="694"/>
      <c r="B71" s="696"/>
      <c r="C71" s="696"/>
      <c r="D71" s="45" t="s">
        <v>6</v>
      </c>
      <c r="E71" s="46" t="s">
        <v>2</v>
      </c>
      <c r="F71" s="46" t="s">
        <v>7</v>
      </c>
      <c r="G71" s="46" t="s">
        <v>8</v>
      </c>
      <c r="H71" s="46" t="s">
        <v>9</v>
      </c>
      <c r="I71" s="46" t="s">
        <v>10</v>
      </c>
      <c r="J71" s="46" t="s">
        <v>2</v>
      </c>
      <c r="K71" s="46" t="s">
        <v>7</v>
      </c>
      <c r="L71" s="46" t="s">
        <v>8</v>
      </c>
      <c r="M71" s="47" t="s">
        <v>9</v>
      </c>
      <c r="N71" s="46" t="s">
        <v>10</v>
      </c>
      <c r="O71" s="46" t="s">
        <v>2</v>
      </c>
      <c r="P71" s="46" t="s">
        <v>7</v>
      </c>
      <c r="Q71" s="46" t="s">
        <v>8</v>
      </c>
      <c r="R71" s="46" t="s">
        <v>9</v>
      </c>
    </row>
    <row r="72" spans="1:18">
      <c r="A72" s="33" t="s">
        <v>23</v>
      </c>
      <c r="B72" s="73" t="s">
        <v>587</v>
      </c>
      <c r="C72" s="65"/>
      <c r="D72" s="31"/>
      <c r="E72" s="31"/>
      <c r="F72" s="31"/>
      <c r="G72" s="31"/>
      <c r="H72" s="31"/>
      <c r="I72" s="31"/>
      <c r="J72" s="31"/>
      <c r="K72" s="31"/>
      <c r="L72" s="31"/>
      <c r="M72" s="31"/>
      <c r="N72" s="31"/>
      <c r="O72" s="31"/>
      <c r="P72" s="31"/>
      <c r="Q72" s="31"/>
      <c r="R72" s="32"/>
    </row>
    <row r="73" spans="1:18" ht="15.75" customHeight="1">
      <c r="A73" s="34">
        <f>A50+1</f>
        <v>3</v>
      </c>
      <c r="B73" s="765" t="s">
        <v>585</v>
      </c>
      <c r="C73" s="66" t="s">
        <v>11</v>
      </c>
      <c r="D73" s="4"/>
      <c r="E73" s="6"/>
      <c r="F73" s="29"/>
      <c r="G73" s="26"/>
      <c r="H73" s="26"/>
      <c r="I73" s="6"/>
      <c r="J73" s="6"/>
      <c r="K73" s="29"/>
      <c r="L73" s="26"/>
      <c r="M73" s="26"/>
      <c r="N73" s="6"/>
      <c r="O73" s="6"/>
      <c r="P73" s="29"/>
      <c r="Q73" s="26"/>
      <c r="R73" s="26"/>
    </row>
    <row r="74" spans="1:18">
      <c r="A74" s="2"/>
      <c r="B74" s="766"/>
      <c r="C74" s="66"/>
      <c r="D74" s="4" t="s">
        <v>251</v>
      </c>
      <c r="E74" s="6" t="s">
        <v>81</v>
      </c>
      <c r="F74" s="157">
        <v>0.45</v>
      </c>
      <c r="G74" s="26">
        <f>sr</f>
        <v>1100</v>
      </c>
      <c r="H74" s="26">
        <f>F74*G74</f>
        <v>495</v>
      </c>
      <c r="I74" s="7" t="s">
        <v>252</v>
      </c>
      <c r="J74" s="8" t="s">
        <v>32</v>
      </c>
      <c r="K74" s="157">
        <v>0.3</v>
      </c>
      <c r="L74" s="28">
        <f>cement</f>
        <v>24049.69</v>
      </c>
      <c r="M74" s="26">
        <f t="shared" ref="M74:M80" si="3">K74*L74</f>
        <v>7214.9069999999992</v>
      </c>
      <c r="N74" s="8" t="s">
        <v>256</v>
      </c>
      <c r="O74" s="6" t="s">
        <v>101</v>
      </c>
      <c r="P74" s="29">
        <v>0.6</v>
      </c>
      <c r="Q74" s="28">
        <f>mixer</f>
        <v>216.32</v>
      </c>
      <c r="R74" s="26">
        <f>P74*Q74</f>
        <v>129.792</v>
      </c>
    </row>
    <row r="75" spans="1:18">
      <c r="A75" s="2"/>
      <c r="B75" s="766"/>
      <c r="C75" s="66"/>
      <c r="D75" s="4" t="s">
        <v>97</v>
      </c>
      <c r="E75" s="6" t="s">
        <v>81</v>
      </c>
      <c r="F75" s="157">
        <v>2.75</v>
      </c>
      <c r="G75" s="26">
        <f>ur*0.8</f>
        <v>680</v>
      </c>
      <c r="H75" s="26">
        <f>F75*G75</f>
        <v>1870</v>
      </c>
      <c r="I75" s="158" t="s">
        <v>253</v>
      </c>
      <c r="J75" s="8" t="s">
        <v>34</v>
      </c>
      <c r="K75" s="29">
        <v>0.38700000000000001</v>
      </c>
      <c r="L75" s="28">
        <f>Agg_40*0.9</f>
        <v>2205</v>
      </c>
      <c r="M75" s="26">
        <f t="shared" si="3"/>
        <v>853.33500000000004</v>
      </c>
      <c r="N75" s="8" t="s">
        <v>257</v>
      </c>
      <c r="O75" s="6" t="s">
        <v>101</v>
      </c>
      <c r="P75" s="29">
        <v>0.25</v>
      </c>
      <c r="Q75" s="28">
        <f>vibrator_concrete</f>
        <v>108.16</v>
      </c>
      <c r="R75" s="26">
        <f>P75*Q75</f>
        <v>27.04</v>
      </c>
    </row>
    <row r="76" spans="1:18">
      <c r="A76" s="2"/>
      <c r="B76" s="766"/>
      <c r="C76" s="66"/>
      <c r="D76" s="4"/>
      <c r="E76" s="6"/>
      <c r="F76" s="29"/>
      <c r="G76" s="26"/>
      <c r="H76" s="26"/>
      <c r="I76" s="158" t="s">
        <v>258</v>
      </c>
      <c r="J76" s="8" t="s">
        <v>34</v>
      </c>
      <c r="K76" s="29">
        <v>0.2</v>
      </c>
      <c r="L76" s="28">
        <f>Agg_20*0.9</f>
        <v>2430</v>
      </c>
      <c r="M76" s="26">
        <f t="shared" si="3"/>
        <v>486</v>
      </c>
      <c r="N76" s="8"/>
      <c r="O76" s="6"/>
      <c r="P76" s="29"/>
      <c r="Q76" s="28"/>
      <c r="R76" s="28"/>
    </row>
    <row r="77" spans="1:18">
      <c r="A77" s="2"/>
      <c r="B77" s="766"/>
      <c r="C77" s="66"/>
      <c r="D77" s="4"/>
      <c r="E77" s="6"/>
      <c r="F77" s="29"/>
      <c r="G77" s="26"/>
      <c r="H77" s="26"/>
      <c r="I77" s="7" t="s">
        <v>254</v>
      </c>
      <c r="J77" s="8" t="s">
        <v>34</v>
      </c>
      <c r="K77" s="157">
        <v>0.29299999999999998</v>
      </c>
      <c r="L77" s="28">
        <f>sand</f>
        <v>1050</v>
      </c>
      <c r="M77" s="26">
        <f t="shared" si="3"/>
        <v>307.64999999999998</v>
      </c>
      <c r="N77" s="8"/>
      <c r="O77" s="6"/>
      <c r="P77" s="29"/>
      <c r="Q77" s="28"/>
      <c r="R77" s="28"/>
    </row>
    <row r="78" spans="1:18">
      <c r="A78" s="2"/>
      <c r="B78" s="126"/>
      <c r="C78" s="66"/>
      <c r="D78" s="4"/>
      <c r="E78" s="6"/>
      <c r="F78" s="29"/>
      <c r="G78" s="26"/>
      <c r="H78" s="26"/>
      <c r="I78" s="7" t="s">
        <v>70</v>
      </c>
      <c r="J78" s="8" t="s">
        <v>250</v>
      </c>
      <c r="K78" s="29">
        <v>0.1</v>
      </c>
      <c r="L78" s="28">
        <f>petrol</f>
        <v>188.6</v>
      </c>
      <c r="M78" s="26">
        <f t="shared" si="3"/>
        <v>18.86</v>
      </c>
      <c r="N78" s="8"/>
      <c r="O78" s="6"/>
      <c r="P78" s="29"/>
      <c r="Q78" s="28"/>
      <c r="R78" s="28"/>
    </row>
    <row r="79" spans="1:18">
      <c r="A79" s="2"/>
      <c r="B79" s="126"/>
      <c r="C79" s="66"/>
      <c r="D79" s="4"/>
      <c r="E79" s="6"/>
      <c r="F79" s="29"/>
      <c r="G79" s="26"/>
      <c r="H79" s="26"/>
      <c r="I79" s="7" t="s">
        <v>67</v>
      </c>
      <c r="J79" s="8" t="s">
        <v>250</v>
      </c>
      <c r="K79" s="157">
        <v>3</v>
      </c>
      <c r="L79" s="28">
        <f>diesel</f>
        <v>177.6</v>
      </c>
      <c r="M79" s="26">
        <f t="shared" si="3"/>
        <v>532.79999999999995</v>
      </c>
      <c r="N79" s="8"/>
      <c r="O79" s="6"/>
      <c r="P79" s="29"/>
      <c r="Q79" s="28"/>
      <c r="R79" s="28"/>
    </row>
    <row r="80" spans="1:18">
      <c r="A80" s="2"/>
      <c r="B80" s="126"/>
      <c r="C80" s="66"/>
      <c r="D80" s="4"/>
      <c r="E80" s="6"/>
      <c r="F80" s="29"/>
      <c r="G80" s="26"/>
      <c r="H80" s="26"/>
      <c r="I80" s="7" t="s">
        <v>255</v>
      </c>
      <c r="J80" s="8" t="s">
        <v>250</v>
      </c>
      <c r="K80" s="29">
        <v>198</v>
      </c>
      <c r="L80" s="28"/>
      <c r="M80" s="26">
        <f t="shared" si="3"/>
        <v>0</v>
      </c>
      <c r="N80" s="8"/>
      <c r="O80" s="6"/>
      <c r="P80" s="29"/>
      <c r="Q80" s="28"/>
      <c r="R80" s="28"/>
    </row>
    <row r="81" spans="1:18">
      <c r="A81" s="2"/>
      <c r="B81" s="126"/>
      <c r="C81" s="66"/>
      <c r="D81" s="4"/>
      <c r="E81" s="6"/>
      <c r="F81" s="29"/>
      <c r="G81" s="26"/>
      <c r="H81" s="26"/>
      <c r="I81" s="7"/>
      <c r="J81" s="8"/>
      <c r="K81" s="29"/>
      <c r="L81" s="28"/>
      <c r="M81" s="26"/>
      <c r="N81" s="8"/>
      <c r="O81" s="6"/>
      <c r="P81" s="29"/>
      <c r="Q81" s="28"/>
      <c r="R81" s="28"/>
    </row>
    <row r="82" spans="1:18">
      <c r="A82" s="2"/>
      <c r="B82" s="5"/>
      <c r="C82" s="66"/>
      <c r="D82" s="4"/>
      <c r="E82" s="9"/>
      <c r="F82" s="30"/>
      <c r="G82" s="27"/>
      <c r="H82" s="27"/>
      <c r="I82" s="9"/>
      <c r="J82" s="10"/>
      <c r="K82" s="30"/>
      <c r="L82" s="28"/>
      <c r="M82" s="28"/>
      <c r="N82" s="8"/>
      <c r="O82" s="6"/>
      <c r="P82" s="30"/>
      <c r="Q82" s="28"/>
      <c r="R82" s="28"/>
    </row>
    <row r="83" spans="1:18">
      <c r="A83" s="2"/>
      <c r="B83" s="11"/>
      <c r="C83" s="66"/>
      <c r="D83" s="12"/>
      <c r="E83" s="59"/>
      <c r="F83" s="13"/>
      <c r="G83" s="13" t="s">
        <v>20</v>
      </c>
      <c r="H83" s="25">
        <f>SUM(H73:H82)</f>
        <v>2365</v>
      </c>
      <c r="I83" s="703"/>
      <c r="J83" s="703"/>
      <c r="K83" s="14"/>
      <c r="L83" s="13" t="s">
        <v>21</v>
      </c>
      <c r="M83" s="25">
        <f>SUM(M73:M82)</f>
        <v>9413.5519999999979</v>
      </c>
      <c r="N83" s="3"/>
      <c r="O83" s="14"/>
      <c r="P83" s="14"/>
      <c r="Q83" s="13" t="s">
        <v>22</v>
      </c>
      <c r="R83" s="25">
        <f>SUM(R73:R82)</f>
        <v>156.83199999999999</v>
      </c>
    </row>
    <row r="84" spans="1:18">
      <c r="A84" s="2"/>
      <c r="B84" s="16" t="s">
        <v>13</v>
      </c>
      <c r="C84" s="67"/>
      <c r="D84" s="14"/>
      <c r="E84" s="14"/>
      <c r="F84" s="14"/>
      <c r="G84" s="13"/>
      <c r="H84" s="35">
        <f>M83+R83+H83</f>
        <v>11935.383999999998</v>
      </c>
      <c r="I84" s="17"/>
      <c r="J84" s="14"/>
      <c r="K84" s="14"/>
      <c r="L84" s="13"/>
      <c r="M84" s="15"/>
      <c r="N84" s="14"/>
      <c r="O84" s="14"/>
      <c r="P84" s="14"/>
      <c r="Q84" s="14"/>
      <c r="R84" s="17"/>
    </row>
    <row r="85" spans="1:18">
      <c r="A85" s="2"/>
      <c r="B85" s="11" t="s">
        <v>25</v>
      </c>
      <c r="C85" s="68"/>
      <c r="D85" s="4"/>
      <c r="E85" s="4"/>
      <c r="F85" s="4"/>
      <c r="G85" s="18"/>
      <c r="H85" s="36">
        <v>0</v>
      </c>
      <c r="I85" s="20"/>
      <c r="J85" s="4" t="s">
        <v>26</v>
      </c>
      <c r="K85" s="4"/>
      <c r="L85" s="18"/>
      <c r="M85" s="19"/>
      <c r="N85" s="4"/>
      <c r="O85" s="4"/>
      <c r="P85" s="4"/>
      <c r="Q85" s="4"/>
      <c r="R85" s="20"/>
    </row>
    <row r="86" spans="1:18">
      <c r="A86" s="23"/>
      <c r="B86" s="11" t="s">
        <v>14</v>
      </c>
      <c r="C86" s="68"/>
      <c r="D86" s="4"/>
      <c r="E86" s="4"/>
      <c r="F86" s="4"/>
      <c r="G86" s="18"/>
      <c r="H86" s="36">
        <f>SUM(H84:H85)</f>
        <v>11935.383999999998</v>
      </c>
      <c r="I86" s="20"/>
      <c r="J86" s="704"/>
      <c r="K86" s="705"/>
      <c r="L86" s="705"/>
      <c r="M86" s="705"/>
      <c r="N86" s="705"/>
      <c r="O86" s="705"/>
      <c r="P86" s="705"/>
      <c r="Q86" s="705"/>
      <c r="R86" s="706"/>
    </row>
    <row r="87" spans="1:18">
      <c r="A87" s="23"/>
      <c r="B87" s="11" t="s">
        <v>24</v>
      </c>
      <c r="C87" s="68"/>
      <c r="D87" s="4"/>
      <c r="E87" s="4"/>
      <c r="F87" s="4"/>
      <c r="G87" s="18"/>
      <c r="H87" s="36">
        <f>H86*15%</f>
        <v>1790.3075999999996</v>
      </c>
      <c r="I87" s="20"/>
      <c r="J87" s="707"/>
      <c r="K87" s="708"/>
      <c r="L87" s="708"/>
      <c r="M87" s="708"/>
      <c r="N87" s="708"/>
      <c r="O87" s="708"/>
      <c r="P87" s="708"/>
      <c r="Q87" s="708"/>
      <c r="R87" s="709"/>
    </row>
    <row r="88" spans="1:18">
      <c r="A88" s="23"/>
      <c r="B88" s="11" t="s">
        <v>15</v>
      </c>
      <c r="C88" s="68"/>
      <c r="D88" s="4"/>
      <c r="E88" s="4"/>
      <c r="F88" s="4"/>
      <c r="G88" s="21" t="s">
        <v>16</v>
      </c>
      <c r="H88" s="37">
        <f>H87+H86</f>
        <v>13725.691599999998</v>
      </c>
      <c r="I88" s="38" t="str">
        <f>CONCATENATE("per ",C73)</f>
        <v>per cum</v>
      </c>
      <c r="J88" s="707"/>
      <c r="K88" s="708"/>
      <c r="L88" s="708"/>
      <c r="M88" s="708"/>
      <c r="N88" s="708"/>
      <c r="O88" s="708"/>
      <c r="P88" s="708"/>
      <c r="Q88" s="708"/>
      <c r="R88" s="709"/>
    </row>
    <row r="89" spans="1:18">
      <c r="A89" s="23"/>
      <c r="B89" s="11" t="s">
        <v>18</v>
      </c>
      <c r="C89" s="125" t="s">
        <v>19</v>
      </c>
      <c r="D89" s="4"/>
      <c r="E89" s="4"/>
      <c r="F89" s="4"/>
      <c r="G89" s="21" t="s">
        <v>16</v>
      </c>
      <c r="H89" s="37">
        <f>CEILING(H88,0.5)</f>
        <v>13726</v>
      </c>
      <c r="I89" s="38" t="str">
        <f>CONCATENATE("per ",C73)</f>
        <v>per cum</v>
      </c>
      <c r="J89" s="707"/>
      <c r="K89" s="708"/>
      <c r="L89" s="708"/>
      <c r="M89" s="708"/>
      <c r="N89" s="708"/>
      <c r="O89" s="708"/>
      <c r="P89" s="708"/>
      <c r="Q89" s="708"/>
      <c r="R89" s="709"/>
    </row>
    <row r="90" spans="1:18">
      <c r="A90" s="23"/>
      <c r="B90" s="11"/>
      <c r="C90" s="68"/>
      <c r="D90" s="4"/>
      <c r="E90" s="4"/>
      <c r="F90" s="4"/>
      <c r="G90" s="24" t="s">
        <v>17</v>
      </c>
      <c r="H90" s="37">
        <f>H89/exr</f>
        <v>105.58461538461539</v>
      </c>
      <c r="I90" s="38" t="str">
        <f>CONCATENATE("per ",C73)</f>
        <v>per cum</v>
      </c>
      <c r="J90" s="710"/>
      <c r="K90" s="711"/>
      <c r="L90" s="711"/>
      <c r="M90" s="711"/>
      <c r="N90" s="711"/>
      <c r="O90" s="711"/>
      <c r="P90" s="711"/>
      <c r="Q90" s="711"/>
      <c r="R90" s="712"/>
    </row>
    <row r="91" spans="1:18">
      <c r="A91" s="39"/>
      <c r="B91" s="40"/>
      <c r="C91" s="69"/>
      <c r="D91" s="41"/>
      <c r="E91" s="41"/>
      <c r="F91" s="41"/>
      <c r="G91" s="149" t="s">
        <v>460</v>
      </c>
      <c r="H91" s="150">
        <f>CEILING(SUM(M78,M79,R74,R75)/H84,0.0025)</f>
        <v>0.06</v>
      </c>
      <c r="I91" s="42"/>
      <c r="J91" s="43"/>
      <c r="K91" s="43"/>
      <c r="L91" s="43"/>
      <c r="M91" s="43"/>
      <c r="N91" s="43"/>
      <c r="O91" s="43"/>
      <c r="P91" s="43"/>
      <c r="Q91" s="43"/>
      <c r="R91" s="44"/>
    </row>
    <row r="93" spans="1:18">
      <c r="A93" s="693" t="s">
        <v>0</v>
      </c>
      <c r="B93" s="695" t="s">
        <v>1</v>
      </c>
      <c r="C93" s="695" t="s">
        <v>2</v>
      </c>
      <c r="D93" s="697" t="s">
        <v>3</v>
      </c>
      <c r="E93" s="698"/>
      <c r="F93" s="698"/>
      <c r="G93" s="698"/>
      <c r="H93" s="698"/>
      <c r="I93" s="699" t="s">
        <v>4</v>
      </c>
      <c r="J93" s="700"/>
      <c r="K93" s="700"/>
      <c r="L93" s="700"/>
      <c r="M93" s="700"/>
      <c r="N93" s="698" t="s">
        <v>5</v>
      </c>
      <c r="O93" s="698"/>
      <c r="P93" s="698"/>
      <c r="Q93" s="698"/>
      <c r="R93" s="698"/>
    </row>
    <row r="94" spans="1:18">
      <c r="A94" s="694"/>
      <c r="B94" s="696"/>
      <c r="C94" s="696"/>
      <c r="D94" s="45" t="s">
        <v>6</v>
      </c>
      <c r="E94" s="46" t="s">
        <v>2</v>
      </c>
      <c r="F94" s="46" t="s">
        <v>7</v>
      </c>
      <c r="G94" s="46" t="s">
        <v>8</v>
      </c>
      <c r="H94" s="46" t="s">
        <v>9</v>
      </c>
      <c r="I94" s="46" t="s">
        <v>10</v>
      </c>
      <c r="J94" s="46" t="s">
        <v>2</v>
      </c>
      <c r="K94" s="46" t="s">
        <v>7</v>
      </c>
      <c r="L94" s="46" t="s">
        <v>8</v>
      </c>
      <c r="M94" s="47" t="s">
        <v>9</v>
      </c>
      <c r="N94" s="46" t="s">
        <v>10</v>
      </c>
      <c r="O94" s="46" t="s">
        <v>2</v>
      </c>
      <c r="P94" s="46" t="s">
        <v>7</v>
      </c>
      <c r="Q94" s="46" t="s">
        <v>8</v>
      </c>
      <c r="R94" s="46" t="s">
        <v>9</v>
      </c>
    </row>
    <row r="95" spans="1:18">
      <c r="A95" s="33" t="s">
        <v>23</v>
      </c>
      <c r="B95" s="73" t="s">
        <v>588</v>
      </c>
      <c r="C95" s="65"/>
      <c r="D95" s="31"/>
      <c r="E95" s="31"/>
      <c r="F95" s="31"/>
      <c r="G95" s="31"/>
      <c r="H95" s="31"/>
      <c r="I95" s="31"/>
      <c r="J95" s="31"/>
      <c r="K95" s="31"/>
      <c r="L95" s="31"/>
      <c r="M95" s="31"/>
      <c r="N95" s="31"/>
      <c r="O95" s="31"/>
      <c r="P95" s="31"/>
      <c r="Q95" s="31"/>
      <c r="R95" s="32"/>
    </row>
    <row r="96" spans="1:18" ht="15.75" customHeight="1">
      <c r="A96" s="34">
        <f>A73+1</f>
        <v>4</v>
      </c>
      <c r="B96" s="765" t="s">
        <v>586</v>
      </c>
      <c r="C96" s="66" t="s">
        <v>11</v>
      </c>
      <c r="D96" s="4"/>
      <c r="E96" s="6"/>
      <c r="F96" s="29"/>
      <c r="G96" s="26"/>
      <c r="H96" s="26"/>
      <c r="I96" s="6"/>
      <c r="J96" s="6"/>
      <c r="K96" s="29"/>
      <c r="L96" s="26"/>
      <c r="M96" s="26"/>
      <c r="N96" s="6"/>
      <c r="O96" s="6"/>
      <c r="P96" s="29"/>
      <c r="Q96" s="26"/>
      <c r="R96" s="26"/>
    </row>
    <row r="97" spans="1:18">
      <c r="A97" s="2"/>
      <c r="B97" s="766"/>
      <c r="C97" s="66"/>
      <c r="D97" s="4" t="s">
        <v>251</v>
      </c>
      <c r="E97" s="6" t="s">
        <v>81</v>
      </c>
      <c r="F97" s="157">
        <v>1</v>
      </c>
      <c r="G97" s="26">
        <f>sr</f>
        <v>1100</v>
      </c>
      <c r="H97" s="26">
        <f>F97*G97</f>
        <v>1100</v>
      </c>
      <c r="I97" s="7" t="s">
        <v>252</v>
      </c>
      <c r="J97" s="8" t="s">
        <v>32</v>
      </c>
      <c r="K97" s="157">
        <v>0.36499999999999999</v>
      </c>
      <c r="L97" s="28">
        <f>cement</f>
        <v>24049.69</v>
      </c>
      <c r="M97" s="26">
        <f>K97*L97</f>
        <v>8778.136849999999</v>
      </c>
      <c r="N97" s="8"/>
      <c r="O97" s="6"/>
      <c r="P97" s="29"/>
      <c r="Q97" s="28"/>
      <c r="R97" s="26"/>
    </row>
    <row r="98" spans="1:18">
      <c r="A98" s="2"/>
      <c r="B98" s="766"/>
      <c r="C98" s="66"/>
      <c r="D98" s="4" t="s">
        <v>97</v>
      </c>
      <c r="E98" s="6" t="s">
        <v>81</v>
      </c>
      <c r="F98" s="157">
        <v>4</v>
      </c>
      <c r="G98" s="26">
        <f>ur</f>
        <v>850</v>
      </c>
      <c r="H98" s="26">
        <f>F98*G98</f>
        <v>3400</v>
      </c>
      <c r="I98" s="7" t="s">
        <v>258</v>
      </c>
      <c r="J98" s="8" t="s">
        <v>34</v>
      </c>
      <c r="K98" s="29">
        <v>0.57999999999999996</v>
      </c>
      <c r="L98" s="28">
        <f>Agg_20</f>
        <v>2700</v>
      </c>
      <c r="M98" s="26">
        <f>K98*L98</f>
        <v>1566</v>
      </c>
      <c r="N98" s="8" t="s">
        <v>257</v>
      </c>
      <c r="O98" s="6" t="s">
        <v>101</v>
      </c>
      <c r="P98" s="29">
        <v>0.25</v>
      </c>
      <c r="Q98" s="28">
        <f>vibrator_concrete</f>
        <v>108.16</v>
      </c>
      <c r="R98" s="26">
        <f>P98*Q98</f>
        <v>27.04</v>
      </c>
    </row>
    <row r="99" spans="1:18">
      <c r="A99" s="2"/>
      <c r="B99" s="766"/>
      <c r="C99" s="66"/>
      <c r="D99" s="4"/>
      <c r="E99" s="6"/>
      <c r="F99" s="29"/>
      <c r="G99" s="26"/>
      <c r="H99" s="26"/>
      <c r="I99" s="7" t="s">
        <v>259</v>
      </c>
      <c r="J99" s="8" t="s">
        <v>34</v>
      </c>
      <c r="K99" s="29">
        <v>0.3</v>
      </c>
      <c r="L99" s="28">
        <f>Agg_10</f>
        <v>2950</v>
      </c>
      <c r="M99" s="26">
        <f>K99*L99</f>
        <v>885</v>
      </c>
      <c r="N99" s="8"/>
      <c r="O99" s="6"/>
      <c r="P99" s="29"/>
      <c r="Q99" s="28"/>
      <c r="R99" s="28"/>
    </row>
    <row r="100" spans="1:18">
      <c r="A100" s="2"/>
      <c r="B100" s="766"/>
      <c r="C100" s="66"/>
      <c r="D100" s="4"/>
      <c r="E100" s="6"/>
      <c r="F100" s="29"/>
      <c r="G100" s="26"/>
      <c r="H100" s="26"/>
      <c r="I100" s="7" t="s">
        <v>254</v>
      </c>
      <c r="J100" s="8" t="s">
        <v>34</v>
      </c>
      <c r="K100" s="157">
        <v>0.44</v>
      </c>
      <c r="L100" s="28">
        <f>sand</f>
        <v>1050</v>
      </c>
      <c r="M100" s="26">
        <f>K100*L100</f>
        <v>462</v>
      </c>
      <c r="N100" s="8"/>
      <c r="O100" s="6"/>
      <c r="P100" s="29"/>
      <c r="Q100" s="28"/>
      <c r="R100" s="28"/>
    </row>
    <row r="101" spans="1:18">
      <c r="A101" s="2"/>
      <c r="B101" s="126"/>
      <c r="C101" s="66"/>
      <c r="D101" s="4"/>
      <c r="E101" s="6"/>
      <c r="F101" s="29"/>
      <c r="G101" s="26"/>
      <c r="H101" s="26"/>
      <c r="I101" s="7" t="s">
        <v>255</v>
      </c>
      <c r="J101" s="8" t="s">
        <v>250</v>
      </c>
      <c r="K101" s="29">
        <v>219</v>
      </c>
      <c r="L101" s="28"/>
      <c r="M101" s="26">
        <f>K101*L101</f>
        <v>0</v>
      </c>
      <c r="N101" s="8"/>
      <c r="O101" s="6"/>
      <c r="P101" s="29"/>
      <c r="Q101" s="28"/>
      <c r="R101" s="28"/>
    </row>
    <row r="102" spans="1:18">
      <c r="A102" s="2"/>
      <c r="B102" s="126"/>
      <c r="C102" s="66"/>
      <c r="D102" s="4"/>
      <c r="E102" s="6"/>
      <c r="F102" s="29"/>
      <c r="G102" s="26"/>
      <c r="H102" s="26"/>
      <c r="I102" s="7"/>
      <c r="J102" s="8"/>
      <c r="K102" s="29"/>
      <c r="L102" s="28"/>
      <c r="M102" s="26"/>
      <c r="N102" s="8"/>
      <c r="O102" s="6"/>
      <c r="P102" s="29"/>
      <c r="Q102" s="28"/>
      <c r="R102" s="28"/>
    </row>
    <row r="103" spans="1:18">
      <c r="A103" s="2"/>
      <c r="B103" s="126"/>
      <c r="C103" s="66"/>
      <c r="D103" s="4"/>
      <c r="E103" s="6"/>
      <c r="F103" s="29"/>
      <c r="G103" s="26"/>
      <c r="H103" s="26"/>
      <c r="I103" s="7"/>
      <c r="J103" s="8"/>
      <c r="K103" s="29"/>
      <c r="L103" s="28"/>
      <c r="M103" s="26"/>
      <c r="N103" s="8"/>
      <c r="O103" s="6"/>
      <c r="P103" s="29"/>
      <c r="Q103" s="28"/>
      <c r="R103" s="28"/>
    </row>
    <row r="104" spans="1:18">
      <c r="A104" s="2"/>
      <c r="B104" s="126"/>
      <c r="C104" s="66"/>
      <c r="D104" s="4"/>
      <c r="E104" s="6"/>
      <c r="F104" s="29"/>
      <c r="G104" s="26"/>
      <c r="H104" s="26"/>
      <c r="I104" s="7"/>
      <c r="J104" s="8"/>
      <c r="K104" s="29"/>
      <c r="L104" s="28"/>
      <c r="M104" s="26"/>
      <c r="N104" s="8"/>
      <c r="O104" s="6"/>
      <c r="P104" s="29"/>
      <c r="Q104" s="28"/>
      <c r="R104" s="28"/>
    </row>
    <row r="105" spans="1:18">
      <c r="A105" s="2"/>
      <c r="B105" s="5"/>
      <c r="C105" s="66"/>
      <c r="D105" s="4"/>
      <c r="E105" s="9"/>
      <c r="F105" s="30"/>
      <c r="G105" s="27"/>
      <c r="H105" s="27"/>
      <c r="I105" s="9"/>
      <c r="J105" s="10"/>
      <c r="K105" s="30"/>
      <c r="L105" s="28"/>
      <c r="M105" s="28"/>
      <c r="N105" s="8"/>
      <c r="O105" s="6"/>
      <c r="P105" s="30"/>
      <c r="Q105" s="28"/>
      <c r="R105" s="28"/>
    </row>
    <row r="106" spans="1:18">
      <c r="A106" s="2"/>
      <c r="B106" s="11"/>
      <c r="C106" s="66"/>
      <c r="D106" s="12"/>
      <c r="E106" s="59"/>
      <c r="F106" s="13"/>
      <c r="G106" s="13" t="s">
        <v>20</v>
      </c>
      <c r="H106" s="25">
        <f>SUM(H96:H105)</f>
        <v>4500</v>
      </c>
      <c r="I106" s="703"/>
      <c r="J106" s="703"/>
      <c r="K106" s="14"/>
      <c r="L106" s="13" t="s">
        <v>21</v>
      </c>
      <c r="M106" s="25">
        <f>SUM(M96:M105)</f>
        <v>11691.136849999999</v>
      </c>
      <c r="N106" s="3"/>
      <c r="O106" s="14"/>
      <c r="P106" s="14"/>
      <c r="Q106" s="13" t="s">
        <v>22</v>
      </c>
      <c r="R106" s="25">
        <f>SUM(R96:R105)</f>
        <v>27.04</v>
      </c>
    </row>
    <row r="107" spans="1:18">
      <c r="A107" s="2"/>
      <c r="B107" s="16" t="s">
        <v>13</v>
      </c>
      <c r="C107" s="67"/>
      <c r="D107" s="14"/>
      <c r="E107" s="14"/>
      <c r="F107" s="14"/>
      <c r="G107" s="13"/>
      <c r="H107" s="35">
        <f>M106+R106+H106</f>
        <v>16218.17685</v>
      </c>
      <c r="I107" s="17"/>
      <c r="J107" s="14"/>
      <c r="K107" s="14"/>
      <c r="L107" s="13"/>
      <c r="M107" s="15"/>
      <c r="N107" s="14"/>
      <c r="O107" s="14"/>
      <c r="P107" s="14"/>
      <c r="Q107" s="14"/>
      <c r="R107" s="17"/>
    </row>
    <row r="108" spans="1:18">
      <c r="A108" s="2"/>
      <c r="B108" s="11" t="s">
        <v>25</v>
      </c>
      <c r="C108" s="68"/>
      <c r="D108" s="4"/>
      <c r="E108" s="4"/>
      <c r="F108" s="4"/>
      <c r="G108" s="18"/>
      <c r="H108" s="36">
        <v>0</v>
      </c>
      <c r="I108" s="20"/>
      <c r="J108" s="4" t="s">
        <v>26</v>
      </c>
      <c r="K108" s="4"/>
      <c r="L108" s="18"/>
      <c r="M108" s="19"/>
      <c r="N108" s="4"/>
      <c r="O108" s="4"/>
      <c r="P108" s="4"/>
      <c r="Q108" s="4"/>
      <c r="R108" s="20"/>
    </row>
    <row r="109" spans="1:18">
      <c r="A109" s="23"/>
      <c r="B109" s="11" t="s">
        <v>14</v>
      </c>
      <c r="C109" s="68"/>
      <c r="D109" s="4"/>
      <c r="E109" s="4"/>
      <c r="F109" s="4"/>
      <c r="G109" s="18"/>
      <c r="H109" s="36">
        <f>SUM(H107:H108)</f>
        <v>16218.17685</v>
      </c>
      <c r="I109" s="20"/>
      <c r="J109" s="704"/>
      <c r="K109" s="705"/>
      <c r="L109" s="705"/>
      <c r="M109" s="705"/>
      <c r="N109" s="705"/>
      <c r="O109" s="705"/>
      <c r="P109" s="705"/>
      <c r="Q109" s="705"/>
      <c r="R109" s="706"/>
    </row>
    <row r="110" spans="1:18">
      <c r="A110" s="23"/>
      <c r="B110" s="11" t="s">
        <v>24</v>
      </c>
      <c r="C110" s="68"/>
      <c r="D110" s="4"/>
      <c r="E110" s="4"/>
      <c r="F110" s="4"/>
      <c r="G110" s="18"/>
      <c r="H110" s="36">
        <f>H109*15%</f>
        <v>2432.7265275</v>
      </c>
      <c r="I110" s="20"/>
      <c r="J110" s="707"/>
      <c r="K110" s="708"/>
      <c r="L110" s="708"/>
      <c r="M110" s="708"/>
      <c r="N110" s="708"/>
      <c r="O110" s="708"/>
      <c r="P110" s="708"/>
      <c r="Q110" s="708"/>
      <c r="R110" s="709"/>
    </row>
    <row r="111" spans="1:18">
      <c r="A111" s="23"/>
      <c r="B111" s="11" t="s">
        <v>15</v>
      </c>
      <c r="C111" s="68"/>
      <c r="D111" s="4"/>
      <c r="E111" s="4"/>
      <c r="F111" s="4"/>
      <c r="G111" s="21" t="s">
        <v>16</v>
      </c>
      <c r="H111" s="37">
        <f>H110+H109</f>
        <v>18650.903377499999</v>
      </c>
      <c r="I111" s="38" t="str">
        <f>CONCATENATE("per ",C96)</f>
        <v>per cum</v>
      </c>
      <c r="J111" s="707"/>
      <c r="K111" s="708"/>
      <c r="L111" s="708"/>
      <c r="M111" s="708"/>
      <c r="N111" s="708"/>
      <c r="O111" s="708"/>
      <c r="P111" s="708"/>
      <c r="Q111" s="708"/>
      <c r="R111" s="709"/>
    </row>
    <row r="112" spans="1:18">
      <c r="A112" s="23"/>
      <c r="B112" s="11" t="s">
        <v>18</v>
      </c>
      <c r="C112" s="125" t="s">
        <v>19</v>
      </c>
      <c r="D112" s="4"/>
      <c r="E112" s="4"/>
      <c r="F112" s="4"/>
      <c r="G112" s="21" t="s">
        <v>16</v>
      </c>
      <c r="H112" s="37">
        <f>CEILING(H111,0.5)</f>
        <v>18651</v>
      </c>
      <c r="I112" s="38" t="str">
        <f>CONCATENATE("per ",C96)</f>
        <v>per cum</v>
      </c>
      <c r="J112" s="707"/>
      <c r="K112" s="708"/>
      <c r="L112" s="708"/>
      <c r="M112" s="708"/>
      <c r="N112" s="708"/>
      <c r="O112" s="708"/>
      <c r="P112" s="708"/>
      <c r="Q112" s="708"/>
      <c r="R112" s="709"/>
    </row>
    <row r="113" spans="1:18">
      <c r="A113" s="23"/>
      <c r="B113" s="11"/>
      <c r="C113" s="68"/>
      <c r="D113" s="4"/>
      <c r="E113" s="4"/>
      <c r="F113" s="4"/>
      <c r="G113" s="24" t="s">
        <v>17</v>
      </c>
      <c r="H113" s="37">
        <f>H112/exr</f>
        <v>143.46923076923076</v>
      </c>
      <c r="I113" s="38" t="str">
        <f>CONCATENATE("per ",C96)</f>
        <v>per cum</v>
      </c>
      <c r="J113" s="710"/>
      <c r="K113" s="711"/>
      <c r="L113" s="711"/>
      <c r="M113" s="711"/>
      <c r="N113" s="711"/>
      <c r="O113" s="711"/>
      <c r="P113" s="711"/>
      <c r="Q113" s="711"/>
      <c r="R113" s="712"/>
    </row>
    <row r="114" spans="1:18">
      <c r="A114" s="39"/>
      <c r="B114" s="40"/>
      <c r="C114" s="69"/>
      <c r="D114" s="41"/>
      <c r="E114" s="41"/>
      <c r="F114" s="41"/>
      <c r="G114" s="149" t="s">
        <v>460</v>
      </c>
      <c r="H114" s="150">
        <f>CEILING(SUM(R98)/H107,0.0025)</f>
        <v>2.5000000000000001E-3</v>
      </c>
      <c r="I114" s="42"/>
      <c r="J114" s="43"/>
      <c r="K114" s="43"/>
      <c r="L114" s="43"/>
      <c r="M114" s="43"/>
      <c r="N114" s="43"/>
      <c r="O114" s="43"/>
      <c r="P114" s="43"/>
      <c r="Q114" s="43"/>
      <c r="R114" s="44"/>
    </row>
    <row r="116" spans="1:18">
      <c r="A116" s="693" t="s">
        <v>0</v>
      </c>
      <c r="B116" s="695" t="s">
        <v>1</v>
      </c>
      <c r="C116" s="695" t="s">
        <v>2</v>
      </c>
      <c r="D116" s="697" t="s">
        <v>3</v>
      </c>
      <c r="E116" s="698"/>
      <c r="F116" s="698"/>
      <c r="G116" s="698"/>
      <c r="H116" s="698"/>
      <c r="I116" s="699" t="s">
        <v>4</v>
      </c>
      <c r="J116" s="700"/>
      <c r="K116" s="700"/>
      <c r="L116" s="700"/>
      <c r="M116" s="700"/>
      <c r="N116" s="698" t="s">
        <v>5</v>
      </c>
      <c r="O116" s="698"/>
      <c r="P116" s="698"/>
      <c r="Q116" s="698"/>
      <c r="R116" s="698"/>
    </row>
    <row r="117" spans="1:18">
      <c r="A117" s="694"/>
      <c r="B117" s="696"/>
      <c r="C117" s="696"/>
      <c r="D117" s="45" t="s">
        <v>6</v>
      </c>
      <c r="E117" s="46" t="s">
        <v>2</v>
      </c>
      <c r="F117" s="46" t="s">
        <v>7</v>
      </c>
      <c r="G117" s="46" t="s">
        <v>8</v>
      </c>
      <c r="H117" s="46" t="s">
        <v>9</v>
      </c>
      <c r="I117" s="46" t="s">
        <v>10</v>
      </c>
      <c r="J117" s="46" t="s">
        <v>2</v>
      </c>
      <c r="K117" s="46" t="s">
        <v>7</v>
      </c>
      <c r="L117" s="46" t="s">
        <v>8</v>
      </c>
      <c r="M117" s="47" t="s">
        <v>9</v>
      </c>
      <c r="N117" s="46" t="s">
        <v>10</v>
      </c>
      <c r="O117" s="46" t="s">
        <v>2</v>
      </c>
      <c r="P117" s="46" t="s">
        <v>7</v>
      </c>
      <c r="Q117" s="46" t="s">
        <v>8</v>
      </c>
      <c r="R117" s="46" t="s">
        <v>9</v>
      </c>
    </row>
    <row r="118" spans="1:18">
      <c r="A118" s="33" t="s">
        <v>23</v>
      </c>
      <c r="B118" s="73" t="s">
        <v>583</v>
      </c>
      <c r="C118" s="65"/>
      <c r="D118" s="31"/>
      <c r="E118" s="31"/>
      <c r="F118" s="31"/>
      <c r="G118" s="31"/>
      <c r="H118" s="31"/>
      <c r="I118" s="31"/>
      <c r="J118" s="31"/>
      <c r="K118" s="31"/>
      <c r="L118" s="31"/>
      <c r="M118" s="31"/>
      <c r="N118" s="31"/>
      <c r="O118" s="31"/>
      <c r="P118" s="31"/>
      <c r="Q118" s="31"/>
      <c r="R118" s="32"/>
    </row>
    <row r="119" spans="1:18" ht="15.75" customHeight="1">
      <c r="A119" s="34">
        <f>A96+1</f>
        <v>5</v>
      </c>
      <c r="B119" s="763" t="s">
        <v>644</v>
      </c>
      <c r="C119" s="66" t="s">
        <v>11</v>
      </c>
      <c r="D119" s="4"/>
      <c r="E119" s="6"/>
      <c r="F119" s="29"/>
      <c r="G119" s="26"/>
      <c r="H119" s="26"/>
      <c r="I119" s="6"/>
      <c r="J119" s="6"/>
      <c r="K119" s="29"/>
      <c r="L119" s="26"/>
      <c r="M119" s="26"/>
      <c r="N119" s="6"/>
      <c r="O119" s="6"/>
      <c r="P119" s="29"/>
      <c r="Q119" s="26"/>
      <c r="R119" s="26"/>
    </row>
    <row r="120" spans="1:18">
      <c r="A120" s="2"/>
      <c r="B120" s="764"/>
      <c r="C120" s="66"/>
      <c r="D120" s="4" t="s">
        <v>251</v>
      </c>
      <c r="E120" s="6" t="s">
        <v>81</v>
      </c>
      <c r="F120" s="156">
        <v>0.8</v>
      </c>
      <c r="G120" s="26">
        <f>sr</f>
        <v>1100</v>
      </c>
      <c r="H120" s="26">
        <f>F120*G120</f>
        <v>880</v>
      </c>
      <c r="I120" s="7" t="s">
        <v>252</v>
      </c>
      <c r="J120" s="8" t="s">
        <v>32</v>
      </c>
      <c r="K120" s="156">
        <v>0.3</v>
      </c>
      <c r="L120" s="28">
        <f>cement</f>
        <v>24049.69</v>
      </c>
      <c r="M120" s="26">
        <f t="shared" ref="M120:M126" si="4">K120*L120</f>
        <v>7214.9069999999992</v>
      </c>
      <c r="N120" s="8" t="s">
        <v>256</v>
      </c>
      <c r="O120" s="6" t="s">
        <v>101</v>
      </c>
      <c r="P120" s="29">
        <v>0.6</v>
      </c>
      <c r="Q120" s="28">
        <f>mixer</f>
        <v>216.32</v>
      </c>
      <c r="R120" s="26">
        <f>P120*Q120</f>
        <v>129.792</v>
      </c>
    </row>
    <row r="121" spans="1:18">
      <c r="A121" s="2"/>
      <c r="B121" s="764"/>
      <c r="C121" s="66"/>
      <c r="D121" s="4" t="s">
        <v>97</v>
      </c>
      <c r="E121" s="6" t="s">
        <v>81</v>
      </c>
      <c r="F121" s="156">
        <v>5</v>
      </c>
      <c r="G121" s="26">
        <f>ur</f>
        <v>850</v>
      </c>
      <c r="H121" s="26">
        <f>F121*G121</f>
        <v>4250</v>
      </c>
      <c r="I121" s="7" t="s">
        <v>258</v>
      </c>
      <c r="J121" s="8" t="s">
        <v>34</v>
      </c>
      <c r="K121" s="29">
        <v>0.38700000000000001</v>
      </c>
      <c r="L121" s="28">
        <f>Agg_20*0.9</f>
        <v>2430</v>
      </c>
      <c r="M121" s="26">
        <f t="shared" si="4"/>
        <v>940.41000000000008</v>
      </c>
      <c r="N121" s="8" t="s">
        <v>257</v>
      </c>
      <c r="O121" s="6" t="s">
        <v>101</v>
      </c>
      <c r="P121" s="29">
        <v>0.25</v>
      </c>
      <c r="Q121" s="28">
        <f>vibrator_concrete</f>
        <v>108.16</v>
      </c>
      <c r="R121" s="26">
        <f>P121*Q121</f>
        <v>27.04</v>
      </c>
    </row>
    <row r="122" spans="1:18">
      <c r="A122" s="2"/>
      <c r="B122" s="764"/>
      <c r="C122" s="66"/>
      <c r="D122" s="4"/>
      <c r="E122" s="6"/>
      <c r="F122" s="29"/>
      <c r="G122" s="26"/>
      <c r="H122" s="26"/>
      <c r="I122" s="7" t="s">
        <v>259</v>
      </c>
      <c r="J122" s="8" t="s">
        <v>34</v>
      </c>
      <c r="K122" s="29">
        <v>0.2</v>
      </c>
      <c r="L122" s="28">
        <f>Agg_10*0.9</f>
        <v>2655</v>
      </c>
      <c r="M122" s="26">
        <f t="shared" si="4"/>
        <v>531</v>
      </c>
      <c r="N122" s="8"/>
      <c r="O122" s="6"/>
      <c r="P122" s="29"/>
      <c r="Q122" s="28"/>
      <c r="R122" s="28"/>
    </row>
    <row r="123" spans="1:18">
      <c r="A123" s="2"/>
      <c r="B123" s="764"/>
      <c r="C123" s="66"/>
      <c r="D123" s="4"/>
      <c r="E123" s="6"/>
      <c r="F123" s="29"/>
      <c r="G123" s="26"/>
      <c r="H123" s="26"/>
      <c r="I123" s="7" t="s">
        <v>254</v>
      </c>
      <c r="J123" s="8" t="s">
        <v>34</v>
      </c>
      <c r="K123" s="156">
        <v>0.29299999999999998</v>
      </c>
      <c r="L123" s="28">
        <f>sand</f>
        <v>1050</v>
      </c>
      <c r="M123" s="26">
        <f t="shared" si="4"/>
        <v>307.64999999999998</v>
      </c>
      <c r="N123" s="8"/>
      <c r="O123" s="6"/>
      <c r="P123" s="29"/>
      <c r="Q123" s="28"/>
      <c r="R123" s="28"/>
    </row>
    <row r="124" spans="1:18">
      <c r="A124" s="2"/>
      <c r="B124" s="126"/>
      <c r="C124" s="66"/>
      <c r="D124" s="4"/>
      <c r="E124" s="6"/>
      <c r="F124" s="29"/>
      <c r="G124" s="26"/>
      <c r="H124" s="26"/>
      <c r="I124" s="7" t="s">
        <v>70</v>
      </c>
      <c r="J124" s="8" t="s">
        <v>250</v>
      </c>
      <c r="K124" s="29">
        <v>0.1</v>
      </c>
      <c r="L124" s="28">
        <f>petrol</f>
        <v>188.6</v>
      </c>
      <c r="M124" s="26">
        <f t="shared" si="4"/>
        <v>18.86</v>
      </c>
      <c r="N124" s="8"/>
      <c r="O124" s="6"/>
      <c r="P124" s="29"/>
      <c r="Q124" s="28"/>
      <c r="R124" s="28"/>
    </row>
    <row r="125" spans="1:18">
      <c r="A125" s="2"/>
      <c r="B125" s="126"/>
      <c r="C125" s="66"/>
      <c r="D125" s="4"/>
      <c r="E125" s="6"/>
      <c r="F125" s="29"/>
      <c r="G125" s="26"/>
      <c r="H125" s="26"/>
      <c r="I125" s="7" t="s">
        <v>67</v>
      </c>
      <c r="J125" s="8" t="s">
        <v>250</v>
      </c>
      <c r="K125" s="156">
        <v>3</v>
      </c>
      <c r="L125" s="28">
        <f>diesel</f>
        <v>177.6</v>
      </c>
      <c r="M125" s="26">
        <f t="shared" si="4"/>
        <v>532.79999999999995</v>
      </c>
      <c r="N125" s="8"/>
      <c r="O125" s="6"/>
      <c r="P125" s="29"/>
      <c r="Q125" s="28"/>
      <c r="R125" s="28"/>
    </row>
    <row r="126" spans="1:18">
      <c r="A126" s="2"/>
      <c r="B126" s="126"/>
      <c r="C126" s="66"/>
      <c r="D126" s="4"/>
      <c r="E126" s="6"/>
      <c r="F126" s="29"/>
      <c r="G126" s="26"/>
      <c r="H126" s="26"/>
      <c r="I126" s="7" t="s">
        <v>255</v>
      </c>
      <c r="J126" s="8" t="s">
        <v>250</v>
      </c>
      <c r="K126" s="29">
        <v>198</v>
      </c>
      <c r="L126" s="28"/>
      <c r="M126" s="26">
        <f t="shared" si="4"/>
        <v>0</v>
      </c>
      <c r="N126" s="8"/>
      <c r="O126" s="6"/>
      <c r="P126" s="29"/>
      <c r="Q126" s="28"/>
      <c r="R126" s="28"/>
    </row>
    <row r="127" spans="1:18">
      <c r="A127" s="2"/>
      <c r="B127" s="126"/>
      <c r="C127" s="66"/>
      <c r="D127" s="4"/>
      <c r="E127" s="6"/>
      <c r="F127" s="29"/>
      <c r="G127" s="26"/>
      <c r="H127" s="26"/>
      <c r="I127" s="7"/>
      <c r="J127" s="8"/>
      <c r="K127" s="29"/>
      <c r="L127" s="28"/>
      <c r="M127" s="26"/>
      <c r="N127" s="8"/>
      <c r="O127" s="6"/>
      <c r="P127" s="29"/>
      <c r="Q127" s="28"/>
      <c r="R127" s="28"/>
    </row>
    <row r="128" spans="1:18">
      <c r="A128" s="2"/>
      <c r="B128" s="5"/>
      <c r="C128" s="66"/>
      <c r="D128" s="4"/>
      <c r="E128" s="9"/>
      <c r="F128" s="30"/>
      <c r="G128" s="27"/>
      <c r="H128" s="27"/>
      <c r="I128" s="9"/>
      <c r="J128" s="10"/>
      <c r="K128" s="30"/>
      <c r="L128" s="28"/>
      <c r="M128" s="28"/>
      <c r="N128" s="8"/>
      <c r="O128" s="6"/>
      <c r="P128" s="30"/>
      <c r="Q128" s="28"/>
      <c r="R128" s="28"/>
    </row>
    <row r="129" spans="1:18">
      <c r="A129" s="2"/>
      <c r="B129" s="11"/>
      <c r="C129" s="66"/>
      <c r="D129" s="12"/>
      <c r="E129" s="59"/>
      <c r="F129" s="13"/>
      <c r="G129" s="13" t="s">
        <v>20</v>
      </c>
      <c r="H129" s="25">
        <f>SUM(H119:H128)</f>
        <v>5130</v>
      </c>
      <c r="I129" s="703"/>
      <c r="J129" s="703"/>
      <c r="K129" s="14"/>
      <c r="L129" s="13" t="s">
        <v>21</v>
      </c>
      <c r="M129" s="25">
        <f>SUM(M119:M128)</f>
        <v>9545.6269999999986</v>
      </c>
      <c r="N129" s="3"/>
      <c r="O129" s="14"/>
      <c r="P129" s="14"/>
      <c r="Q129" s="13" t="s">
        <v>22</v>
      </c>
      <c r="R129" s="25">
        <f>SUM(R119:R128)</f>
        <v>156.83199999999999</v>
      </c>
    </row>
    <row r="130" spans="1:18">
      <c r="A130" s="2"/>
      <c r="B130" s="16" t="s">
        <v>13</v>
      </c>
      <c r="C130" s="67"/>
      <c r="D130" s="14"/>
      <c r="E130" s="14"/>
      <c r="F130" s="14"/>
      <c r="G130" s="13"/>
      <c r="H130" s="35">
        <f>M129+R129+H129</f>
        <v>14832.458999999999</v>
      </c>
      <c r="I130" s="17"/>
      <c r="J130" s="14"/>
      <c r="K130" s="14"/>
      <c r="L130" s="13"/>
      <c r="M130" s="15"/>
      <c r="N130" s="14"/>
      <c r="O130" s="14"/>
      <c r="P130" s="14"/>
      <c r="Q130" s="14"/>
      <c r="R130" s="17"/>
    </row>
    <row r="131" spans="1:18">
      <c r="A131" s="2"/>
      <c r="B131" s="11" t="s">
        <v>25</v>
      </c>
      <c r="C131" s="68"/>
      <c r="D131" s="4"/>
      <c r="E131" s="4"/>
      <c r="F131" s="4"/>
      <c r="G131" s="18"/>
      <c r="H131" s="36">
        <v>0</v>
      </c>
      <c r="I131" s="20"/>
      <c r="J131" s="4" t="s">
        <v>26</v>
      </c>
      <c r="K131" s="4"/>
      <c r="L131" s="18"/>
      <c r="M131" s="19"/>
      <c r="N131" s="4"/>
      <c r="O131" s="4"/>
      <c r="P131" s="4"/>
      <c r="Q131" s="4"/>
      <c r="R131" s="20"/>
    </row>
    <row r="132" spans="1:18">
      <c r="A132" s="23"/>
      <c r="B132" s="11" t="s">
        <v>14</v>
      </c>
      <c r="C132" s="68"/>
      <c r="D132" s="4"/>
      <c r="E132" s="4"/>
      <c r="F132" s="4"/>
      <c r="G132" s="18"/>
      <c r="H132" s="36">
        <f>SUM(H130:H131)</f>
        <v>14832.458999999999</v>
      </c>
      <c r="I132" s="20"/>
      <c r="J132" s="704"/>
      <c r="K132" s="705"/>
      <c r="L132" s="705"/>
      <c r="M132" s="705"/>
      <c r="N132" s="705"/>
      <c r="O132" s="705"/>
      <c r="P132" s="705"/>
      <c r="Q132" s="705"/>
      <c r="R132" s="706"/>
    </row>
    <row r="133" spans="1:18">
      <c r="A133" s="23"/>
      <c r="B133" s="11" t="s">
        <v>24</v>
      </c>
      <c r="C133" s="68"/>
      <c r="D133" s="4"/>
      <c r="E133" s="4"/>
      <c r="F133" s="4"/>
      <c r="G133" s="18"/>
      <c r="H133" s="36">
        <f>H132*15%</f>
        <v>2224.8688499999998</v>
      </c>
      <c r="I133" s="20"/>
      <c r="J133" s="707"/>
      <c r="K133" s="708"/>
      <c r="L133" s="708"/>
      <c r="M133" s="708"/>
      <c r="N133" s="708"/>
      <c r="O133" s="708"/>
      <c r="P133" s="708"/>
      <c r="Q133" s="708"/>
      <c r="R133" s="709"/>
    </row>
    <row r="134" spans="1:18">
      <c r="A134" s="23"/>
      <c r="B134" s="11" t="s">
        <v>15</v>
      </c>
      <c r="C134" s="68"/>
      <c r="D134" s="4"/>
      <c r="E134" s="4"/>
      <c r="F134" s="4"/>
      <c r="G134" s="21" t="s">
        <v>16</v>
      </c>
      <c r="H134" s="37">
        <f>H133+H132</f>
        <v>17057.327849999998</v>
      </c>
      <c r="I134" s="38" t="str">
        <f>CONCATENATE("per ",C119)</f>
        <v>per cum</v>
      </c>
      <c r="J134" s="707"/>
      <c r="K134" s="708"/>
      <c r="L134" s="708"/>
      <c r="M134" s="708"/>
      <c r="N134" s="708"/>
      <c r="O134" s="708"/>
      <c r="P134" s="708"/>
      <c r="Q134" s="708"/>
      <c r="R134" s="709"/>
    </row>
    <row r="135" spans="1:18">
      <c r="A135" s="23"/>
      <c r="B135" s="11" t="s">
        <v>18</v>
      </c>
      <c r="C135" s="125" t="s">
        <v>19</v>
      </c>
      <c r="D135" s="4"/>
      <c r="E135" s="4"/>
      <c r="F135" s="4"/>
      <c r="G135" s="21" t="s">
        <v>16</v>
      </c>
      <c r="H135" s="37">
        <f>CEILING(H134,0.5)</f>
        <v>17057.5</v>
      </c>
      <c r="I135" s="38" t="str">
        <f>CONCATENATE("per ",C119)</f>
        <v>per cum</v>
      </c>
      <c r="J135" s="707"/>
      <c r="K135" s="708"/>
      <c r="L135" s="708"/>
      <c r="M135" s="708"/>
      <c r="N135" s="708"/>
      <c r="O135" s="708"/>
      <c r="P135" s="708"/>
      <c r="Q135" s="708"/>
      <c r="R135" s="709"/>
    </row>
    <row r="136" spans="1:18">
      <c r="A136" s="23"/>
      <c r="B136" s="11"/>
      <c r="C136" s="68"/>
      <c r="D136" s="4"/>
      <c r="E136" s="4"/>
      <c r="F136" s="4"/>
      <c r="G136" s="24" t="s">
        <v>17</v>
      </c>
      <c r="H136" s="37">
        <f>H135/exr</f>
        <v>131.21153846153845</v>
      </c>
      <c r="I136" s="38" t="str">
        <f>CONCATENATE("per ",C119)</f>
        <v>per cum</v>
      </c>
      <c r="J136" s="710"/>
      <c r="K136" s="711"/>
      <c r="L136" s="711"/>
      <c r="M136" s="711"/>
      <c r="N136" s="711"/>
      <c r="O136" s="711"/>
      <c r="P136" s="711"/>
      <c r="Q136" s="711"/>
      <c r="R136" s="712"/>
    </row>
    <row r="137" spans="1:18">
      <c r="A137" s="39"/>
      <c r="B137" s="40"/>
      <c r="C137" s="69"/>
      <c r="D137" s="41"/>
      <c r="E137" s="41"/>
      <c r="F137" s="41"/>
      <c r="G137" s="149" t="s">
        <v>460</v>
      </c>
      <c r="H137" s="150">
        <f>CEILING(SUM(M124,M125,R120,R121)/H130,0.0025)</f>
        <v>0.05</v>
      </c>
      <c r="I137" s="42"/>
      <c r="J137" s="43"/>
      <c r="K137" s="43"/>
      <c r="L137" s="43"/>
      <c r="M137" s="43"/>
      <c r="N137" s="43"/>
      <c r="O137" s="43"/>
      <c r="P137" s="43"/>
      <c r="Q137" s="43"/>
      <c r="R137" s="44"/>
    </row>
    <row r="139" spans="1:18">
      <c r="A139" s="693" t="s">
        <v>0</v>
      </c>
      <c r="B139" s="695" t="s">
        <v>1</v>
      </c>
      <c r="C139" s="695" t="s">
        <v>2</v>
      </c>
      <c r="D139" s="697" t="s">
        <v>3</v>
      </c>
      <c r="E139" s="698"/>
      <c r="F139" s="698"/>
      <c r="G139" s="698"/>
      <c r="H139" s="698"/>
      <c r="I139" s="699" t="s">
        <v>4</v>
      </c>
      <c r="J139" s="700"/>
      <c r="K139" s="700"/>
      <c r="L139" s="700"/>
      <c r="M139" s="700"/>
      <c r="N139" s="698" t="s">
        <v>5</v>
      </c>
      <c r="O139" s="698"/>
      <c r="P139" s="698"/>
      <c r="Q139" s="698"/>
      <c r="R139" s="698"/>
    </row>
    <row r="140" spans="1:18">
      <c r="A140" s="694"/>
      <c r="B140" s="696"/>
      <c r="C140" s="696"/>
      <c r="D140" s="45" t="s">
        <v>6</v>
      </c>
      <c r="E140" s="46" t="s">
        <v>2</v>
      </c>
      <c r="F140" s="46" t="s">
        <v>7</v>
      </c>
      <c r="G140" s="46" t="s">
        <v>8</v>
      </c>
      <c r="H140" s="46" t="s">
        <v>9</v>
      </c>
      <c r="I140" s="46" t="s">
        <v>10</v>
      </c>
      <c r="J140" s="46" t="s">
        <v>2</v>
      </c>
      <c r="K140" s="46" t="s">
        <v>7</v>
      </c>
      <c r="L140" s="46" t="s">
        <v>8</v>
      </c>
      <c r="M140" s="47" t="s">
        <v>9</v>
      </c>
      <c r="N140" s="46" t="s">
        <v>10</v>
      </c>
      <c r="O140" s="46" t="s">
        <v>2</v>
      </c>
      <c r="P140" s="46" t="s">
        <v>7</v>
      </c>
      <c r="Q140" s="46" t="s">
        <v>8</v>
      </c>
      <c r="R140" s="46" t="s">
        <v>9</v>
      </c>
    </row>
    <row r="141" spans="1:18">
      <c r="A141" s="33" t="s">
        <v>23</v>
      </c>
      <c r="B141" s="73" t="s">
        <v>584</v>
      </c>
      <c r="C141" s="65"/>
      <c r="D141" s="31"/>
      <c r="E141" s="31"/>
      <c r="F141" s="31"/>
      <c r="G141" s="31"/>
      <c r="H141" s="31"/>
      <c r="I141" s="31"/>
      <c r="J141" s="31"/>
      <c r="K141" s="31"/>
      <c r="L141" s="31"/>
      <c r="M141" s="31"/>
      <c r="N141" s="31"/>
      <c r="O141" s="31"/>
      <c r="P141" s="31"/>
      <c r="Q141" s="31"/>
      <c r="R141" s="32"/>
    </row>
    <row r="142" spans="1:18" ht="15.75" customHeight="1">
      <c r="A142" s="34">
        <f>A119+1</f>
        <v>6</v>
      </c>
      <c r="B142" s="763" t="s">
        <v>643</v>
      </c>
      <c r="C142" s="66" t="s">
        <v>11</v>
      </c>
      <c r="D142" s="4"/>
      <c r="E142" s="6"/>
      <c r="F142" s="29"/>
      <c r="G142" s="26"/>
      <c r="H142" s="26"/>
      <c r="I142" s="6"/>
      <c r="J142" s="6"/>
      <c r="K142" s="29"/>
      <c r="L142" s="26"/>
      <c r="M142" s="26"/>
      <c r="N142" s="6"/>
      <c r="O142" s="6"/>
      <c r="P142" s="29"/>
      <c r="Q142" s="26"/>
      <c r="R142" s="26"/>
    </row>
    <row r="143" spans="1:18">
      <c r="A143" s="2"/>
      <c r="B143" s="764"/>
      <c r="C143" s="66"/>
      <c r="D143" s="4" t="s">
        <v>251</v>
      </c>
      <c r="E143" s="6" t="s">
        <v>81</v>
      </c>
      <c r="F143" s="156">
        <v>0.8</v>
      </c>
      <c r="G143" s="26">
        <f>sr</f>
        <v>1100</v>
      </c>
      <c r="H143" s="26">
        <f>F143*G143</f>
        <v>880</v>
      </c>
      <c r="I143" s="7" t="s">
        <v>252</v>
      </c>
      <c r="J143" s="8" t="s">
        <v>32</v>
      </c>
      <c r="K143" s="156">
        <v>0.36499999999999999</v>
      </c>
      <c r="L143" s="28">
        <f>cement</f>
        <v>24049.69</v>
      </c>
      <c r="M143" s="26">
        <f>K143*L143</f>
        <v>8778.136849999999</v>
      </c>
      <c r="N143" s="8"/>
      <c r="O143" s="6"/>
      <c r="P143" s="29"/>
      <c r="Q143" s="28"/>
      <c r="R143" s="26"/>
    </row>
    <row r="144" spans="1:18">
      <c r="A144" s="2"/>
      <c r="B144" s="764"/>
      <c r="C144" s="66"/>
      <c r="D144" s="4" t="s">
        <v>97</v>
      </c>
      <c r="E144" s="6" t="s">
        <v>81</v>
      </c>
      <c r="F144" s="156">
        <v>7</v>
      </c>
      <c r="G144" s="26">
        <f>ur</f>
        <v>850</v>
      </c>
      <c r="H144" s="26">
        <f>F144*G144</f>
        <v>5950</v>
      </c>
      <c r="I144" s="7" t="s">
        <v>258</v>
      </c>
      <c r="J144" s="8" t="s">
        <v>34</v>
      </c>
      <c r="K144" s="29">
        <v>0.57999999999999996</v>
      </c>
      <c r="L144" s="28">
        <f>Agg_20</f>
        <v>2700</v>
      </c>
      <c r="M144" s="26">
        <f>K144*L144</f>
        <v>1566</v>
      </c>
      <c r="N144" s="8" t="s">
        <v>257</v>
      </c>
      <c r="O144" s="6" t="s">
        <v>101</v>
      </c>
      <c r="P144" s="29">
        <v>0.25</v>
      </c>
      <c r="Q144" s="28">
        <f>vibrator_concrete</f>
        <v>108.16</v>
      </c>
      <c r="R144" s="26">
        <f>P144*Q144</f>
        <v>27.04</v>
      </c>
    </row>
    <row r="145" spans="1:18">
      <c r="A145" s="2"/>
      <c r="B145" s="764"/>
      <c r="C145" s="66"/>
      <c r="D145" s="4"/>
      <c r="E145" s="6"/>
      <c r="F145" s="29"/>
      <c r="G145" s="26"/>
      <c r="H145" s="26"/>
      <c r="I145" s="7" t="s">
        <v>259</v>
      </c>
      <c r="J145" s="8" t="s">
        <v>34</v>
      </c>
      <c r="K145" s="29">
        <v>0.3</v>
      </c>
      <c r="L145" s="28">
        <f>Agg_10</f>
        <v>2950</v>
      </c>
      <c r="M145" s="26">
        <f>K145*L145</f>
        <v>885</v>
      </c>
      <c r="N145" s="8"/>
      <c r="O145" s="6"/>
      <c r="P145" s="29"/>
      <c r="Q145" s="28"/>
      <c r="R145" s="28"/>
    </row>
    <row r="146" spans="1:18">
      <c r="A146" s="2"/>
      <c r="B146" s="764"/>
      <c r="C146" s="66"/>
      <c r="D146" s="4"/>
      <c r="E146" s="6"/>
      <c r="F146" s="29"/>
      <c r="G146" s="26"/>
      <c r="H146" s="26"/>
      <c r="I146" s="7" t="s">
        <v>254</v>
      </c>
      <c r="J146" s="8" t="s">
        <v>34</v>
      </c>
      <c r="K146" s="156">
        <v>0.44</v>
      </c>
      <c r="L146" s="28">
        <f>sand</f>
        <v>1050</v>
      </c>
      <c r="M146" s="26">
        <f>K146*L146</f>
        <v>462</v>
      </c>
      <c r="N146" s="8"/>
      <c r="O146" s="6"/>
      <c r="P146" s="29"/>
      <c r="Q146" s="28"/>
      <c r="R146" s="28"/>
    </row>
    <row r="147" spans="1:18">
      <c r="A147" s="2"/>
      <c r="B147" s="126"/>
      <c r="C147" s="66"/>
      <c r="D147" s="4"/>
      <c r="E147" s="6"/>
      <c r="F147" s="29"/>
      <c r="G147" s="26"/>
      <c r="H147" s="26"/>
      <c r="I147" s="7" t="s">
        <v>255</v>
      </c>
      <c r="J147" s="8" t="s">
        <v>250</v>
      </c>
      <c r="K147" s="29">
        <v>219</v>
      </c>
      <c r="L147" s="28"/>
      <c r="M147" s="26">
        <f>K147*L147</f>
        <v>0</v>
      </c>
      <c r="N147" s="8"/>
      <c r="O147" s="6"/>
      <c r="P147" s="29"/>
      <c r="Q147" s="28"/>
      <c r="R147" s="28"/>
    </row>
    <row r="148" spans="1:18">
      <c r="A148" s="2"/>
      <c r="B148" s="126"/>
      <c r="C148" s="66"/>
      <c r="D148" s="4"/>
      <c r="E148" s="6"/>
      <c r="F148" s="29"/>
      <c r="G148" s="26"/>
      <c r="H148" s="26"/>
      <c r="I148" s="7"/>
      <c r="J148" s="8"/>
      <c r="K148" s="29"/>
      <c r="L148" s="28"/>
      <c r="M148" s="26"/>
      <c r="N148" s="8"/>
      <c r="O148" s="6"/>
      <c r="P148" s="29"/>
      <c r="Q148" s="28"/>
      <c r="R148" s="28"/>
    </row>
    <row r="149" spans="1:18">
      <c r="A149" s="2"/>
      <c r="B149" s="126"/>
      <c r="C149" s="66"/>
      <c r="D149" s="4"/>
      <c r="E149" s="6"/>
      <c r="F149" s="29"/>
      <c r="G149" s="26"/>
      <c r="H149" s="26"/>
      <c r="I149" s="7"/>
      <c r="J149" s="8"/>
      <c r="K149" s="29"/>
      <c r="L149" s="28"/>
      <c r="M149" s="26"/>
      <c r="N149" s="8"/>
      <c r="O149" s="6"/>
      <c r="P149" s="29"/>
      <c r="Q149" s="28"/>
      <c r="R149" s="28"/>
    </row>
    <row r="150" spans="1:18">
      <c r="A150" s="2"/>
      <c r="B150" s="126"/>
      <c r="C150" s="66"/>
      <c r="D150" s="4"/>
      <c r="E150" s="6"/>
      <c r="F150" s="29"/>
      <c r="G150" s="26"/>
      <c r="H150" s="26"/>
      <c r="I150" s="7"/>
      <c r="J150" s="8"/>
      <c r="K150" s="29"/>
      <c r="L150" s="28"/>
      <c r="M150" s="26"/>
      <c r="N150" s="8"/>
      <c r="O150" s="6"/>
      <c r="P150" s="29"/>
      <c r="Q150" s="28"/>
      <c r="R150" s="28"/>
    </row>
    <row r="151" spans="1:18">
      <c r="A151" s="2"/>
      <c r="B151" s="5"/>
      <c r="C151" s="66"/>
      <c r="D151" s="4"/>
      <c r="E151" s="9"/>
      <c r="F151" s="30"/>
      <c r="G151" s="27"/>
      <c r="H151" s="27"/>
      <c r="I151" s="9"/>
      <c r="J151" s="10"/>
      <c r="K151" s="30"/>
      <c r="L151" s="28"/>
      <c r="M151" s="28"/>
      <c r="N151" s="8"/>
      <c r="O151" s="6"/>
      <c r="P151" s="30"/>
      <c r="Q151" s="28"/>
      <c r="R151" s="28"/>
    </row>
    <row r="152" spans="1:18">
      <c r="A152" s="2"/>
      <c r="B152" s="11"/>
      <c r="C152" s="66"/>
      <c r="D152" s="12"/>
      <c r="E152" s="59"/>
      <c r="F152" s="13"/>
      <c r="G152" s="13" t="s">
        <v>20</v>
      </c>
      <c r="H152" s="25">
        <f>SUM(H142:H151)</f>
        <v>6830</v>
      </c>
      <c r="I152" s="703"/>
      <c r="J152" s="703"/>
      <c r="K152" s="14"/>
      <c r="L152" s="13" t="s">
        <v>21</v>
      </c>
      <c r="M152" s="25">
        <f>SUM(M142:M151)</f>
        <v>11691.136849999999</v>
      </c>
      <c r="N152" s="3"/>
      <c r="O152" s="14"/>
      <c r="P152" s="14"/>
      <c r="Q152" s="13" t="s">
        <v>22</v>
      </c>
      <c r="R152" s="25">
        <f>SUM(R142:R151)</f>
        <v>27.04</v>
      </c>
    </row>
    <row r="153" spans="1:18">
      <c r="A153" s="2"/>
      <c r="B153" s="16" t="s">
        <v>13</v>
      </c>
      <c r="C153" s="67"/>
      <c r="D153" s="14"/>
      <c r="E153" s="14"/>
      <c r="F153" s="14"/>
      <c r="G153" s="13"/>
      <c r="H153" s="35">
        <f>M152+R152+H152</f>
        <v>18548.17685</v>
      </c>
      <c r="I153" s="17"/>
      <c r="J153" s="14"/>
      <c r="K153" s="14"/>
      <c r="L153" s="13"/>
      <c r="M153" s="15"/>
      <c r="N153" s="14"/>
      <c r="O153" s="14"/>
      <c r="P153" s="14"/>
      <c r="Q153" s="14"/>
      <c r="R153" s="17"/>
    </row>
    <row r="154" spans="1:18">
      <c r="A154" s="2"/>
      <c r="B154" s="11" t="s">
        <v>25</v>
      </c>
      <c r="C154" s="68"/>
      <c r="D154" s="4"/>
      <c r="E154" s="4"/>
      <c r="F154" s="4"/>
      <c r="G154" s="18"/>
      <c r="H154" s="36">
        <v>0</v>
      </c>
      <c r="I154" s="20"/>
      <c r="J154" s="4" t="s">
        <v>26</v>
      </c>
      <c r="K154" s="4"/>
      <c r="L154" s="18"/>
      <c r="M154" s="19"/>
      <c r="N154" s="4"/>
      <c r="O154" s="4"/>
      <c r="P154" s="4"/>
      <c r="Q154" s="4"/>
      <c r="R154" s="20"/>
    </row>
    <row r="155" spans="1:18">
      <c r="A155" s="23"/>
      <c r="B155" s="11" t="s">
        <v>14</v>
      </c>
      <c r="C155" s="68"/>
      <c r="D155" s="4"/>
      <c r="E155" s="4"/>
      <c r="F155" s="4"/>
      <c r="G155" s="18"/>
      <c r="H155" s="36">
        <f>SUM(H153:H154)</f>
        <v>18548.17685</v>
      </c>
      <c r="I155" s="20"/>
      <c r="J155" s="704"/>
      <c r="K155" s="705"/>
      <c r="L155" s="705"/>
      <c r="M155" s="705"/>
      <c r="N155" s="705"/>
      <c r="O155" s="705"/>
      <c r="P155" s="705"/>
      <c r="Q155" s="705"/>
      <c r="R155" s="706"/>
    </row>
    <row r="156" spans="1:18">
      <c r="A156" s="23"/>
      <c r="B156" s="11" t="s">
        <v>24</v>
      </c>
      <c r="C156" s="68"/>
      <c r="D156" s="4"/>
      <c r="E156" s="4"/>
      <c r="F156" s="4"/>
      <c r="G156" s="18"/>
      <c r="H156" s="36">
        <f>H155*15%</f>
        <v>2782.2265275</v>
      </c>
      <c r="I156" s="20"/>
      <c r="J156" s="707"/>
      <c r="K156" s="708"/>
      <c r="L156" s="708"/>
      <c r="M156" s="708"/>
      <c r="N156" s="708"/>
      <c r="O156" s="708"/>
      <c r="P156" s="708"/>
      <c r="Q156" s="708"/>
      <c r="R156" s="709"/>
    </row>
    <row r="157" spans="1:18">
      <c r="A157" s="23"/>
      <c r="B157" s="11" t="s">
        <v>15</v>
      </c>
      <c r="C157" s="68"/>
      <c r="D157" s="4"/>
      <c r="E157" s="4"/>
      <c r="F157" s="4"/>
      <c r="G157" s="21" t="s">
        <v>16</v>
      </c>
      <c r="H157" s="37">
        <f>H156+H155</f>
        <v>21330.403377499999</v>
      </c>
      <c r="I157" s="38" t="str">
        <f>CONCATENATE("per ",C142)</f>
        <v>per cum</v>
      </c>
      <c r="J157" s="707"/>
      <c r="K157" s="708"/>
      <c r="L157" s="708"/>
      <c r="M157" s="708"/>
      <c r="N157" s="708"/>
      <c r="O157" s="708"/>
      <c r="P157" s="708"/>
      <c r="Q157" s="708"/>
      <c r="R157" s="709"/>
    </row>
    <row r="158" spans="1:18">
      <c r="A158" s="23"/>
      <c r="B158" s="11" t="s">
        <v>18</v>
      </c>
      <c r="C158" s="125" t="s">
        <v>19</v>
      </c>
      <c r="D158" s="4"/>
      <c r="E158" s="4"/>
      <c r="F158" s="4"/>
      <c r="G158" s="21" t="s">
        <v>16</v>
      </c>
      <c r="H158" s="37">
        <f>CEILING(H157,0.5)</f>
        <v>21330.5</v>
      </c>
      <c r="I158" s="38" t="str">
        <f>CONCATENATE("per ",C142)</f>
        <v>per cum</v>
      </c>
      <c r="J158" s="707"/>
      <c r="K158" s="708"/>
      <c r="L158" s="708"/>
      <c r="M158" s="708"/>
      <c r="N158" s="708"/>
      <c r="O158" s="708"/>
      <c r="P158" s="708"/>
      <c r="Q158" s="708"/>
      <c r="R158" s="709"/>
    </row>
    <row r="159" spans="1:18">
      <c r="A159" s="23"/>
      <c r="B159" s="11"/>
      <c r="C159" s="68"/>
      <c r="D159" s="4"/>
      <c r="E159" s="4"/>
      <c r="F159" s="4"/>
      <c r="G159" s="24" t="s">
        <v>17</v>
      </c>
      <c r="H159" s="37">
        <f>H158/exr</f>
        <v>164.08076923076922</v>
      </c>
      <c r="I159" s="38" t="str">
        <f>CONCATENATE("per ",C142)</f>
        <v>per cum</v>
      </c>
      <c r="J159" s="710"/>
      <c r="K159" s="711"/>
      <c r="L159" s="711"/>
      <c r="M159" s="711"/>
      <c r="N159" s="711"/>
      <c r="O159" s="711"/>
      <c r="P159" s="711"/>
      <c r="Q159" s="711"/>
      <c r="R159" s="712"/>
    </row>
    <row r="160" spans="1:18">
      <c r="A160" s="39"/>
      <c r="B160" s="40"/>
      <c r="C160" s="69"/>
      <c r="D160" s="41"/>
      <c r="E160" s="41"/>
      <c r="F160" s="41"/>
      <c r="G160" s="149" t="s">
        <v>460</v>
      </c>
      <c r="H160" s="150">
        <f>CEILING(SUM(R144)/H153,0.0025)</f>
        <v>2.5000000000000001E-3</v>
      </c>
      <c r="I160" s="42"/>
      <c r="J160" s="43"/>
      <c r="K160" s="43"/>
      <c r="L160" s="43"/>
      <c r="M160" s="43"/>
      <c r="N160" s="43"/>
      <c r="O160" s="43"/>
      <c r="P160" s="43"/>
      <c r="Q160" s="43"/>
      <c r="R160" s="44"/>
    </row>
    <row r="162" spans="1:18">
      <c r="A162" s="693" t="s">
        <v>0</v>
      </c>
      <c r="B162" s="695" t="s">
        <v>1</v>
      </c>
      <c r="C162" s="695" t="s">
        <v>2</v>
      </c>
      <c r="D162" s="697" t="s">
        <v>3</v>
      </c>
      <c r="E162" s="698"/>
      <c r="F162" s="698"/>
      <c r="G162" s="698"/>
      <c r="H162" s="698"/>
      <c r="I162" s="699" t="s">
        <v>4</v>
      </c>
      <c r="J162" s="700"/>
      <c r="K162" s="700"/>
      <c r="L162" s="700"/>
      <c r="M162" s="700"/>
      <c r="N162" s="698" t="s">
        <v>5</v>
      </c>
      <c r="O162" s="698"/>
      <c r="P162" s="698"/>
      <c r="Q162" s="698"/>
      <c r="R162" s="698"/>
    </row>
    <row r="163" spans="1:18">
      <c r="A163" s="694"/>
      <c r="B163" s="696"/>
      <c r="C163" s="696"/>
      <c r="D163" s="45" t="s">
        <v>6</v>
      </c>
      <c r="E163" s="46" t="s">
        <v>2</v>
      </c>
      <c r="F163" s="46" t="s">
        <v>7</v>
      </c>
      <c r="G163" s="46" t="s">
        <v>8</v>
      </c>
      <c r="H163" s="46" t="s">
        <v>9</v>
      </c>
      <c r="I163" s="46" t="s">
        <v>10</v>
      </c>
      <c r="J163" s="46" t="s">
        <v>2</v>
      </c>
      <c r="K163" s="46" t="s">
        <v>7</v>
      </c>
      <c r="L163" s="46" t="s">
        <v>8</v>
      </c>
      <c r="M163" s="47" t="s">
        <v>9</v>
      </c>
      <c r="N163" s="46" t="s">
        <v>10</v>
      </c>
      <c r="O163" s="46" t="s">
        <v>2</v>
      </c>
      <c r="P163" s="46" t="s">
        <v>7</v>
      </c>
      <c r="Q163" s="46" t="s">
        <v>8</v>
      </c>
      <c r="R163" s="46" t="s">
        <v>9</v>
      </c>
    </row>
    <row r="164" spans="1:18">
      <c r="A164" s="33" t="s">
        <v>23</v>
      </c>
      <c r="B164" s="73" t="s">
        <v>264</v>
      </c>
      <c r="C164" s="65"/>
      <c r="D164" s="31"/>
      <c r="E164" s="31"/>
      <c r="F164" s="31"/>
      <c r="G164" s="31"/>
      <c r="H164" s="31"/>
      <c r="I164" s="31"/>
      <c r="J164" s="31"/>
      <c r="K164" s="31"/>
      <c r="L164" s="31"/>
      <c r="M164" s="31"/>
      <c r="N164" s="31"/>
      <c r="O164" s="31"/>
      <c r="P164" s="31"/>
      <c r="Q164" s="31"/>
      <c r="R164" s="32"/>
    </row>
    <row r="165" spans="1:18">
      <c r="A165" s="34">
        <f>A142+1</f>
        <v>7</v>
      </c>
      <c r="B165" s="713" t="s">
        <v>262</v>
      </c>
      <c r="C165" s="66" t="s">
        <v>11</v>
      </c>
      <c r="D165" s="4"/>
      <c r="E165" s="6"/>
      <c r="F165" s="29"/>
      <c r="G165" s="26"/>
      <c r="H165" s="26"/>
      <c r="I165" s="6"/>
      <c r="J165" s="6"/>
      <c r="K165" s="29"/>
      <c r="L165" s="26"/>
      <c r="M165" s="26"/>
      <c r="N165" s="6"/>
      <c r="O165" s="6"/>
      <c r="P165" s="29"/>
      <c r="Q165" s="26"/>
      <c r="R165" s="26"/>
    </row>
    <row r="166" spans="1:18">
      <c r="A166" s="2"/>
      <c r="B166" s="714"/>
      <c r="C166" s="66"/>
      <c r="D166" s="4" t="s">
        <v>251</v>
      </c>
      <c r="E166" s="6" t="s">
        <v>81</v>
      </c>
      <c r="F166" s="29">
        <v>0.5</v>
      </c>
      <c r="G166" s="26">
        <f>sr</f>
        <v>1100</v>
      </c>
      <c r="H166" s="26">
        <f>F166*G166</f>
        <v>550</v>
      </c>
      <c r="I166" s="7" t="s">
        <v>252</v>
      </c>
      <c r="J166" s="8" t="s">
        <v>32</v>
      </c>
      <c r="K166" s="29">
        <v>0.34</v>
      </c>
      <c r="L166" s="28">
        <f>cement</f>
        <v>24049.69</v>
      </c>
      <c r="M166" s="26">
        <f t="shared" ref="M166:M172" si="5">K166*L166</f>
        <v>8176.8946000000005</v>
      </c>
      <c r="N166" s="8" t="s">
        <v>256</v>
      </c>
      <c r="O166" s="6" t="s">
        <v>101</v>
      </c>
      <c r="P166" s="29">
        <v>0.6</v>
      </c>
      <c r="Q166" s="28">
        <f>mixer</f>
        <v>216.32</v>
      </c>
      <c r="R166" s="26">
        <f>P166*Q166</f>
        <v>129.792</v>
      </c>
    </row>
    <row r="167" spans="1:18">
      <c r="A167" s="2"/>
      <c r="B167" s="714"/>
      <c r="C167" s="66"/>
      <c r="D167" s="4" t="s">
        <v>97</v>
      </c>
      <c r="E167" s="6" t="s">
        <v>81</v>
      </c>
      <c r="F167" s="29">
        <v>3.5</v>
      </c>
      <c r="G167" s="26">
        <f>ur</f>
        <v>850</v>
      </c>
      <c r="H167" s="26">
        <f>F167*G167</f>
        <v>2975</v>
      </c>
      <c r="I167" s="7" t="s">
        <v>253</v>
      </c>
      <c r="J167" s="8" t="s">
        <v>34</v>
      </c>
      <c r="K167" s="29">
        <v>0.435</v>
      </c>
      <c r="L167" s="28">
        <f>Agg_40</f>
        <v>2450</v>
      </c>
      <c r="M167" s="26">
        <f t="shared" si="5"/>
        <v>1065.75</v>
      </c>
      <c r="N167" s="8" t="s">
        <v>257</v>
      </c>
      <c r="O167" s="6" t="s">
        <v>101</v>
      </c>
      <c r="P167" s="29">
        <v>0.25</v>
      </c>
      <c r="Q167" s="28">
        <f>vibrator_concrete</f>
        <v>108.16</v>
      </c>
      <c r="R167" s="26">
        <f>P167*Q167</f>
        <v>27.04</v>
      </c>
    </row>
    <row r="168" spans="1:18">
      <c r="A168" s="2"/>
      <c r="B168" s="714"/>
      <c r="C168" s="66"/>
      <c r="D168" s="4"/>
      <c r="E168" s="6"/>
      <c r="F168" s="29"/>
      <c r="G168" s="26"/>
      <c r="H168" s="26"/>
      <c r="I168" s="7" t="s">
        <v>258</v>
      </c>
      <c r="J168" s="8" t="s">
        <v>34</v>
      </c>
      <c r="K168" s="29">
        <v>0.22500000000000001</v>
      </c>
      <c r="L168" s="28">
        <f>Agg_20</f>
        <v>2700</v>
      </c>
      <c r="M168" s="26">
        <f t="shared" si="5"/>
        <v>607.5</v>
      </c>
      <c r="N168" s="8"/>
      <c r="O168" s="6"/>
      <c r="P168" s="29"/>
      <c r="Q168" s="28"/>
      <c r="R168" s="28"/>
    </row>
    <row r="169" spans="1:18">
      <c r="A169" s="2"/>
      <c r="B169" s="714"/>
      <c r="C169" s="66"/>
      <c r="D169" s="4"/>
      <c r="E169" s="6"/>
      <c r="F169" s="29"/>
      <c r="G169" s="26"/>
      <c r="H169" s="26"/>
      <c r="I169" s="7" t="s">
        <v>254</v>
      </c>
      <c r="J169" s="8" t="s">
        <v>34</v>
      </c>
      <c r="K169" s="29">
        <v>0.33800000000000002</v>
      </c>
      <c r="L169" s="28">
        <f>sand</f>
        <v>1050</v>
      </c>
      <c r="M169" s="26">
        <f t="shared" si="5"/>
        <v>354.90000000000003</v>
      </c>
      <c r="N169" s="8"/>
      <c r="O169" s="6"/>
      <c r="P169" s="29"/>
      <c r="Q169" s="28"/>
      <c r="R169" s="28"/>
    </row>
    <row r="170" spans="1:18">
      <c r="A170" s="2"/>
      <c r="B170" s="126"/>
      <c r="C170" s="66"/>
      <c r="D170" s="4"/>
      <c r="E170" s="6"/>
      <c r="F170" s="29"/>
      <c r="G170" s="26"/>
      <c r="H170" s="26"/>
      <c r="I170" s="7" t="s">
        <v>70</v>
      </c>
      <c r="J170" s="8" t="s">
        <v>250</v>
      </c>
      <c r="K170" s="29">
        <v>0.1</v>
      </c>
      <c r="L170" s="28">
        <f>petrol</f>
        <v>188.6</v>
      </c>
      <c r="M170" s="26">
        <f t="shared" si="5"/>
        <v>18.86</v>
      </c>
      <c r="N170" s="8"/>
      <c r="O170" s="6"/>
      <c r="P170" s="29"/>
      <c r="Q170" s="28"/>
      <c r="R170" s="28"/>
    </row>
    <row r="171" spans="1:18">
      <c r="A171" s="2"/>
      <c r="B171" s="126"/>
      <c r="C171" s="66"/>
      <c r="D171" s="4"/>
      <c r="E171" s="6"/>
      <c r="F171" s="29"/>
      <c r="G171" s="26"/>
      <c r="H171" s="26"/>
      <c r="I171" s="7" t="s">
        <v>67</v>
      </c>
      <c r="J171" s="8" t="s">
        <v>250</v>
      </c>
      <c r="K171" s="29">
        <v>3</v>
      </c>
      <c r="L171" s="28">
        <f>diesel</f>
        <v>177.6</v>
      </c>
      <c r="M171" s="26">
        <f t="shared" si="5"/>
        <v>532.79999999999995</v>
      </c>
      <c r="N171" s="8"/>
      <c r="O171" s="6"/>
      <c r="P171" s="29"/>
      <c r="Q171" s="28"/>
      <c r="R171" s="28"/>
    </row>
    <row r="172" spans="1:18">
      <c r="A172" s="2"/>
      <c r="B172" s="126"/>
      <c r="C172" s="66"/>
      <c r="D172" s="4"/>
      <c r="E172" s="6"/>
      <c r="F172" s="29"/>
      <c r="G172" s="26"/>
      <c r="H172" s="26"/>
      <c r="I172" s="7" t="s">
        <v>255</v>
      </c>
      <c r="J172" s="8" t="s">
        <v>250</v>
      </c>
      <c r="K172" s="29">
        <v>225</v>
      </c>
      <c r="L172" s="28"/>
      <c r="M172" s="26">
        <f t="shared" si="5"/>
        <v>0</v>
      </c>
      <c r="N172" s="8"/>
      <c r="O172" s="6"/>
      <c r="P172" s="29"/>
      <c r="Q172" s="28"/>
      <c r="R172" s="28"/>
    </row>
    <row r="173" spans="1:18">
      <c r="A173" s="2"/>
      <c r="B173" s="126"/>
      <c r="C173" s="66"/>
      <c r="D173" s="4"/>
      <c r="E173" s="6"/>
      <c r="F173" s="29"/>
      <c r="G173" s="26"/>
      <c r="H173" s="26"/>
      <c r="I173" s="7"/>
      <c r="J173" s="8"/>
      <c r="K173" s="29"/>
      <c r="L173" s="28"/>
      <c r="M173" s="26"/>
      <c r="N173" s="8"/>
      <c r="O173" s="6"/>
      <c r="P173" s="29"/>
      <c r="Q173" s="28"/>
      <c r="R173" s="28"/>
    </row>
    <row r="174" spans="1:18">
      <c r="A174" s="2"/>
      <c r="B174" s="5"/>
      <c r="C174" s="66"/>
      <c r="D174" s="4"/>
      <c r="E174" s="9"/>
      <c r="F174" s="30"/>
      <c r="G174" s="27"/>
      <c r="H174" s="27"/>
      <c r="I174" s="9"/>
      <c r="J174" s="10"/>
      <c r="K174" s="30"/>
      <c r="L174" s="28"/>
      <c r="M174" s="28"/>
      <c r="N174" s="8"/>
      <c r="O174" s="6"/>
      <c r="P174" s="30"/>
      <c r="Q174" s="28"/>
      <c r="R174" s="28"/>
    </row>
    <row r="175" spans="1:18">
      <c r="A175" s="2"/>
      <c r="B175" s="11"/>
      <c r="C175" s="66"/>
      <c r="D175" s="12"/>
      <c r="E175" s="59"/>
      <c r="F175" s="13"/>
      <c r="G175" s="13" t="s">
        <v>20</v>
      </c>
      <c r="H175" s="25">
        <f>SUM(H165:H174)</f>
        <v>3525</v>
      </c>
      <c r="I175" s="703"/>
      <c r="J175" s="703"/>
      <c r="K175" s="14"/>
      <c r="L175" s="13" t="s">
        <v>21</v>
      </c>
      <c r="M175" s="25">
        <f>SUM(M165:M174)</f>
        <v>10756.704599999999</v>
      </c>
      <c r="N175" s="3"/>
      <c r="O175" s="14"/>
      <c r="P175" s="14"/>
      <c r="Q175" s="13" t="s">
        <v>22</v>
      </c>
      <c r="R175" s="25">
        <f>SUM(R165:R174)</f>
        <v>156.83199999999999</v>
      </c>
    </row>
    <row r="176" spans="1:18">
      <c r="A176" s="2"/>
      <c r="B176" s="16" t="s">
        <v>13</v>
      </c>
      <c r="C176" s="67"/>
      <c r="D176" s="14"/>
      <c r="E176" s="14"/>
      <c r="F176" s="14"/>
      <c r="G176" s="13"/>
      <c r="H176" s="35">
        <f>M175+R175+H175</f>
        <v>14438.536599999999</v>
      </c>
      <c r="I176" s="17"/>
      <c r="J176" s="14"/>
      <c r="K176" s="14"/>
      <c r="L176" s="13"/>
      <c r="M176" s="15"/>
      <c r="N176" s="14"/>
      <c r="O176" s="14"/>
      <c r="P176" s="14"/>
      <c r="Q176" s="14"/>
      <c r="R176" s="17"/>
    </row>
    <row r="177" spans="1:18">
      <c r="A177" s="2"/>
      <c r="B177" s="11" t="s">
        <v>25</v>
      </c>
      <c r="C177" s="68"/>
      <c r="D177" s="4"/>
      <c r="E177" s="4"/>
      <c r="F177" s="4"/>
      <c r="G177" s="18"/>
      <c r="H177" s="36">
        <v>0</v>
      </c>
      <c r="I177" s="20"/>
      <c r="J177" s="4" t="s">
        <v>26</v>
      </c>
      <c r="K177" s="4"/>
      <c r="L177" s="18"/>
      <c r="M177" s="19"/>
      <c r="N177" s="4"/>
      <c r="O177" s="4"/>
      <c r="P177" s="4"/>
      <c r="Q177" s="4"/>
      <c r="R177" s="20"/>
    </row>
    <row r="178" spans="1:18">
      <c r="A178" s="23"/>
      <c r="B178" s="11" t="s">
        <v>14</v>
      </c>
      <c r="C178" s="68"/>
      <c r="D178" s="4"/>
      <c r="E178" s="4"/>
      <c r="F178" s="4"/>
      <c r="G178" s="18"/>
      <c r="H178" s="36">
        <f>SUM(H176:H177)</f>
        <v>14438.536599999999</v>
      </c>
      <c r="I178" s="20"/>
      <c r="J178" s="704"/>
      <c r="K178" s="705"/>
      <c r="L178" s="705"/>
      <c r="M178" s="705"/>
      <c r="N178" s="705"/>
      <c r="O178" s="705"/>
      <c r="P178" s="705"/>
      <c r="Q178" s="705"/>
      <c r="R178" s="706"/>
    </row>
    <row r="179" spans="1:18">
      <c r="A179" s="23"/>
      <c r="B179" s="11" t="s">
        <v>24</v>
      </c>
      <c r="C179" s="68"/>
      <c r="D179" s="4"/>
      <c r="E179" s="4"/>
      <c r="F179" s="4"/>
      <c r="G179" s="18"/>
      <c r="H179" s="36">
        <f>H178*15%</f>
        <v>2165.7804899999996</v>
      </c>
      <c r="I179" s="20"/>
      <c r="J179" s="707"/>
      <c r="K179" s="708"/>
      <c r="L179" s="708"/>
      <c r="M179" s="708"/>
      <c r="N179" s="708"/>
      <c r="O179" s="708"/>
      <c r="P179" s="708"/>
      <c r="Q179" s="708"/>
      <c r="R179" s="709"/>
    </row>
    <row r="180" spans="1:18">
      <c r="A180" s="23"/>
      <c r="B180" s="11" t="s">
        <v>15</v>
      </c>
      <c r="C180" s="68"/>
      <c r="D180" s="4"/>
      <c r="E180" s="4"/>
      <c r="F180" s="4"/>
      <c r="G180" s="21" t="s">
        <v>16</v>
      </c>
      <c r="H180" s="37">
        <f>H179+H178</f>
        <v>16604.31709</v>
      </c>
      <c r="I180" s="38" t="str">
        <f>CONCATENATE("per ",C165)</f>
        <v>per cum</v>
      </c>
      <c r="J180" s="707"/>
      <c r="K180" s="708"/>
      <c r="L180" s="708"/>
      <c r="M180" s="708"/>
      <c r="N180" s="708"/>
      <c r="O180" s="708"/>
      <c r="P180" s="708"/>
      <c r="Q180" s="708"/>
      <c r="R180" s="709"/>
    </row>
    <row r="181" spans="1:18">
      <c r="A181" s="23"/>
      <c r="B181" s="11" t="s">
        <v>18</v>
      </c>
      <c r="C181" s="125" t="s">
        <v>19</v>
      </c>
      <c r="D181" s="4"/>
      <c r="E181" s="4"/>
      <c r="F181" s="4"/>
      <c r="G181" s="21" t="s">
        <v>16</v>
      </c>
      <c r="H181" s="37">
        <f>CEILING(H180,0.5)</f>
        <v>16604.5</v>
      </c>
      <c r="I181" s="38" t="str">
        <f>CONCATENATE("per ",C165)</f>
        <v>per cum</v>
      </c>
      <c r="J181" s="707"/>
      <c r="K181" s="708"/>
      <c r="L181" s="708"/>
      <c r="M181" s="708"/>
      <c r="N181" s="708"/>
      <c r="O181" s="708"/>
      <c r="P181" s="708"/>
      <c r="Q181" s="708"/>
      <c r="R181" s="709"/>
    </row>
    <row r="182" spans="1:18">
      <c r="A182" s="23"/>
      <c r="B182" s="11"/>
      <c r="C182" s="68"/>
      <c r="D182" s="4"/>
      <c r="E182" s="4"/>
      <c r="F182" s="4"/>
      <c r="G182" s="24" t="s">
        <v>17</v>
      </c>
      <c r="H182" s="37">
        <f>H181/exr</f>
        <v>127.72692307692307</v>
      </c>
      <c r="I182" s="38" t="str">
        <f>CONCATENATE("per ",C165)</f>
        <v>per cum</v>
      </c>
      <c r="J182" s="710"/>
      <c r="K182" s="711"/>
      <c r="L182" s="711"/>
      <c r="M182" s="711"/>
      <c r="N182" s="711"/>
      <c r="O182" s="711"/>
      <c r="P182" s="711"/>
      <c r="Q182" s="711"/>
      <c r="R182" s="712"/>
    </row>
    <row r="183" spans="1:18">
      <c r="A183" s="39"/>
      <c r="B183" s="40"/>
      <c r="C183" s="69"/>
      <c r="D183" s="41"/>
      <c r="E183" s="41"/>
      <c r="F183" s="41"/>
      <c r="G183" s="149" t="s">
        <v>460</v>
      </c>
      <c r="H183" s="150">
        <f>CEILING(SUM(M170,M171,R166,R167)/H176,0.0025)</f>
        <v>0.05</v>
      </c>
      <c r="I183" s="42"/>
      <c r="J183" s="43"/>
      <c r="K183" s="43"/>
      <c r="L183" s="43"/>
      <c r="M183" s="43"/>
      <c r="N183" s="43"/>
      <c r="O183" s="43"/>
      <c r="P183" s="43"/>
      <c r="Q183" s="43"/>
      <c r="R183" s="44"/>
    </row>
    <row r="184" spans="1:18">
      <c r="A184" s="22"/>
      <c r="B184" s="22"/>
      <c r="C184" s="70"/>
      <c r="D184" s="22"/>
      <c r="E184" s="22"/>
      <c r="F184" s="22"/>
      <c r="G184" s="22"/>
      <c r="H184" s="22"/>
      <c r="I184" s="22"/>
      <c r="J184" s="22"/>
      <c r="K184" s="22"/>
      <c r="L184" s="22"/>
      <c r="M184" s="22"/>
      <c r="N184" s="22"/>
      <c r="O184" s="22"/>
      <c r="P184" s="22"/>
      <c r="Q184" s="22"/>
      <c r="R184" s="22"/>
    </row>
    <row r="185" spans="1:18">
      <c r="A185" s="693" t="s">
        <v>0</v>
      </c>
      <c r="B185" s="695" t="s">
        <v>1</v>
      </c>
      <c r="C185" s="695" t="s">
        <v>2</v>
      </c>
      <c r="D185" s="697" t="s">
        <v>3</v>
      </c>
      <c r="E185" s="698"/>
      <c r="F185" s="698"/>
      <c r="G185" s="698"/>
      <c r="H185" s="698"/>
      <c r="I185" s="699" t="s">
        <v>4</v>
      </c>
      <c r="J185" s="700"/>
      <c r="K185" s="700"/>
      <c r="L185" s="700"/>
      <c r="M185" s="700"/>
      <c r="N185" s="698" t="s">
        <v>5</v>
      </c>
      <c r="O185" s="698"/>
      <c r="P185" s="698"/>
      <c r="Q185" s="698"/>
      <c r="R185" s="698"/>
    </row>
    <row r="186" spans="1:18">
      <c r="A186" s="694"/>
      <c r="B186" s="696"/>
      <c r="C186" s="696"/>
      <c r="D186" s="45" t="s">
        <v>6</v>
      </c>
      <c r="E186" s="46" t="s">
        <v>2</v>
      </c>
      <c r="F186" s="46" t="s">
        <v>7</v>
      </c>
      <c r="G186" s="46" t="s">
        <v>8</v>
      </c>
      <c r="H186" s="46" t="s">
        <v>9</v>
      </c>
      <c r="I186" s="46" t="s">
        <v>10</v>
      </c>
      <c r="J186" s="46" t="s">
        <v>2</v>
      </c>
      <c r="K186" s="46" t="s">
        <v>7</v>
      </c>
      <c r="L186" s="46" t="s">
        <v>8</v>
      </c>
      <c r="M186" s="47" t="s">
        <v>9</v>
      </c>
      <c r="N186" s="46" t="s">
        <v>10</v>
      </c>
      <c r="O186" s="46" t="s">
        <v>2</v>
      </c>
      <c r="P186" s="46" t="s">
        <v>7</v>
      </c>
      <c r="Q186" s="46" t="s">
        <v>8</v>
      </c>
      <c r="R186" s="46" t="s">
        <v>9</v>
      </c>
    </row>
    <row r="187" spans="1:18">
      <c r="A187" s="33" t="s">
        <v>23</v>
      </c>
      <c r="B187" s="73" t="s">
        <v>265</v>
      </c>
      <c r="C187" s="65"/>
      <c r="D187" s="31"/>
      <c r="E187" s="31"/>
      <c r="F187" s="31"/>
      <c r="G187" s="31"/>
      <c r="H187" s="31"/>
      <c r="I187" s="31"/>
      <c r="J187" s="31"/>
      <c r="K187" s="31"/>
      <c r="L187" s="31"/>
      <c r="M187" s="31"/>
      <c r="N187" s="31"/>
      <c r="O187" s="31"/>
      <c r="P187" s="31"/>
      <c r="Q187" s="31"/>
      <c r="R187" s="32"/>
    </row>
    <row r="188" spans="1:18">
      <c r="A188" s="34">
        <f>A165+1</f>
        <v>8</v>
      </c>
      <c r="B188" s="713" t="s">
        <v>263</v>
      </c>
      <c r="C188" s="66" t="s">
        <v>11</v>
      </c>
      <c r="D188" s="4"/>
      <c r="E188" s="6"/>
      <c r="F188" s="29"/>
      <c r="G188" s="26"/>
      <c r="H188" s="26"/>
      <c r="I188" s="6"/>
      <c r="J188" s="6"/>
      <c r="K188" s="29"/>
      <c r="L188" s="26"/>
      <c r="M188" s="26"/>
      <c r="N188" s="6"/>
      <c r="O188" s="6"/>
      <c r="P188" s="29"/>
      <c r="Q188" s="26"/>
      <c r="R188" s="26"/>
    </row>
    <row r="189" spans="1:18">
      <c r="A189" s="2"/>
      <c r="B189" s="714"/>
      <c r="C189" s="66"/>
      <c r="D189" s="4" t="s">
        <v>251</v>
      </c>
      <c r="E189" s="6" t="s">
        <v>81</v>
      </c>
      <c r="F189" s="29">
        <v>1</v>
      </c>
      <c r="G189" s="26">
        <f>sr</f>
        <v>1100</v>
      </c>
      <c r="H189" s="26">
        <f>F189*G189</f>
        <v>1100</v>
      </c>
      <c r="I189" s="7" t="s">
        <v>252</v>
      </c>
      <c r="J189" s="8" t="s">
        <v>32</v>
      </c>
      <c r="K189" s="29">
        <v>0.41499999999999998</v>
      </c>
      <c r="L189" s="28">
        <f>cement</f>
        <v>24049.69</v>
      </c>
      <c r="M189" s="26">
        <f>K189*L189</f>
        <v>9980.6213499999994</v>
      </c>
      <c r="N189" s="8"/>
      <c r="O189" s="6"/>
      <c r="P189" s="29"/>
      <c r="Q189" s="28"/>
      <c r="R189" s="26"/>
    </row>
    <row r="190" spans="1:18">
      <c r="A190" s="2"/>
      <c r="B190" s="714"/>
      <c r="C190" s="66"/>
      <c r="D190" s="4" t="s">
        <v>97</v>
      </c>
      <c r="E190" s="6" t="s">
        <v>81</v>
      </c>
      <c r="F190" s="29">
        <v>4</v>
      </c>
      <c r="G190" s="26">
        <f>ur</f>
        <v>850</v>
      </c>
      <c r="H190" s="26">
        <f>F190*G190</f>
        <v>3400</v>
      </c>
      <c r="I190" s="7" t="s">
        <v>258</v>
      </c>
      <c r="J190" s="8" t="s">
        <v>34</v>
      </c>
      <c r="K190" s="29">
        <v>0.57999999999999996</v>
      </c>
      <c r="L190" s="28">
        <f>Agg_20</f>
        <v>2700</v>
      </c>
      <c r="M190" s="26">
        <f>K190*L190</f>
        <v>1566</v>
      </c>
      <c r="N190" s="8" t="s">
        <v>257</v>
      </c>
      <c r="O190" s="6" t="s">
        <v>101</v>
      </c>
      <c r="P190" s="29">
        <v>0.25</v>
      </c>
      <c r="Q190" s="28">
        <f>vibrator_concrete</f>
        <v>108.16</v>
      </c>
      <c r="R190" s="26">
        <f>P190*Q190</f>
        <v>27.04</v>
      </c>
    </row>
    <row r="191" spans="1:18">
      <c r="A191" s="2"/>
      <c r="B191" s="714"/>
      <c r="C191" s="66"/>
      <c r="D191" s="4"/>
      <c r="E191" s="6"/>
      <c r="F191" s="29"/>
      <c r="G191" s="26"/>
      <c r="H191" s="26"/>
      <c r="I191" s="7" t="s">
        <v>259</v>
      </c>
      <c r="J191" s="8" t="s">
        <v>34</v>
      </c>
      <c r="K191" s="29">
        <v>0.3</v>
      </c>
      <c r="L191" s="28">
        <f>Agg_10</f>
        <v>2950</v>
      </c>
      <c r="M191" s="26">
        <f>K191*L191</f>
        <v>885</v>
      </c>
      <c r="N191" s="8"/>
      <c r="O191" s="6"/>
      <c r="P191" s="29"/>
      <c r="Q191" s="28"/>
      <c r="R191" s="28"/>
    </row>
    <row r="192" spans="1:18">
      <c r="A192" s="2"/>
      <c r="B192" s="714"/>
      <c r="C192" s="66"/>
      <c r="D192" s="4"/>
      <c r="E192" s="6"/>
      <c r="F192" s="29"/>
      <c r="G192" s="26"/>
      <c r="H192" s="26"/>
      <c r="I192" s="7" t="s">
        <v>254</v>
      </c>
      <c r="J192" s="8" t="s">
        <v>34</v>
      </c>
      <c r="K192" s="29">
        <v>0.44</v>
      </c>
      <c r="L192" s="28">
        <f>sand</f>
        <v>1050</v>
      </c>
      <c r="M192" s="26">
        <f>K192*L192</f>
        <v>462</v>
      </c>
      <c r="N192" s="8"/>
      <c r="O192" s="6"/>
      <c r="P192" s="29"/>
      <c r="Q192" s="28"/>
      <c r="R192" s="28"/>
    </row>
    <row r="193" spans="1:18">
      <c r="A193" s="2"/>
      <c r="B193" s="126"/>
      <c r="C193" s="66"/>
      <c r="D193" s="4"/>
      <c r="E193" s="6"/>
      <c r="F193" s="29"/>
      <c r="G193" s="26"/>
      <c r="H193" s="26"/>
      <c r="I193" s="7" t="s">
        <v>255</v>
      </c>
      <c r="J193" s="8" t="s">
        <v>250</v>
      </c>
      <c r="K193" s="29">
        <v>249</v>
      </c>
      <c r="L193" s="28"/>
      <c r="M193" s="26">
        <f>K193*L193</f>
        <v>0</v>
      </c>
      <c r="N193" s="8"/>
      <c r="O193" s="6"/>
      <c r="P193" s="29"/>
      <c r="Q193" s="28"/>
      <c r="R193" s="28"/>
    </row>
    <row r="194" spans="1:18">
      <c r="A194" s="2"/>
      <c r="B194" s="126"/>
      <c r="C194" s="66"/>
      <c r="D194" s="4"/>
      <c r="E194" s="6"/>
      <c r="F194" s="29"/>
      <c r="G194" s="26"/>
      <c r="H194" s="26"/>
      <c r="I194" s="7"/>
      <c r="J194" s="8"/>
      <c r="K194" s="29"/>
      <c r="L194" s="28"/>
      <c r="M194" s="26"/>
      <c r="N194" s="8"/>
      <c r="O194" s="6"/>
      <c r="P194" s="29"/>
      <c r="Q194" s="28"/>
      <c r="R194" s="28"/>
    </row>
    <row r="195" spans="1:18">
      <c r="A195" s="2"/>
      <c r="B195" s="126"/>
      <c r="C195" s="66"/>
      <c r="D195" s="4"/>
      <c r="E195" s="6"/>
      <c r="F195" s="29"/>
      <c r="G195" s="26"/>
      <c r="H195" s="26"/>
      <c r="I195" s="7"/>
      <c r="J195" s="8"/>
      <c r="K195" s="29"/>
      <c r="L195" s="28"/>
      <c r="M195" s="26"/>
      <c r="N195" s="8"/>
      <c r="O195" s="6"/>
      <c r="P195" s="29"/>
      <c r="Q195" s="28"/>
      <c r="R195" s="28"/>
    </row>
    <row r="196" spans="1:18">
      <c r="A196" s="2"/>
      <c r="B196" s="126"/>
      <c r="C196" s="66"/>
      <c r="D196" s="4"/>
      <c r="E196" s="6"/>
      <c r="F196" s="29"/>
      <c r="G196" s="26"/>
      <c r="H196" s="26"/>
      <c r="I196" s="7"/>
      <c r="J196" s="8"/>
      <c r="K196" s="29"/>
      <c r="L196" s="28"/>
      <c r="M196" s="26"/>
      <c r="N196" s="8"/>
      <c r="O196" s="6"/>
      <c r="P196" s="29"/>
      <c r="Q196" s="28"/>
      <c r="R196" s="28"/>
    </row>
    <row r="197" spans="1:18">
      <c r="A197" s="2"/>
      <c r="B197" s="5"/>
      <c r="C197" s="66"/>
      <c r="D197" s="4"/>
      <c r="E197" s="9"/>
      <c r="F197" s="30"/>
      <c r="G197" s="27"/>
      <c r="H197" s="27"/>
      <c r="I197" s="9"/>
      <c r="J197" s="10"/>
      <c r="K197" s="30"/>
      <c r="L197" s="28"/>
      <c r="M197" s="28"/>
      <c r="N197" s="8"/>
      <c r="O197" s="6"/>
      <c r="P197" s="30"/>
      <c r="Q197" s="28"/>
      <c r="R197" s="28"/>
    </row>
    <row r="198" spans="1:18">
      <c r="A198" s="2"/>
      <c r="B198" s="11"/>
      <c r="C198" s="66"/>
      <c r="D198" s="12"/>
      <c r="E198" s="59"/>
      <c r="F198" s="13"/>
      <c r="G198" s="13" t="s">
        <v>20</v>
      </c>
      <c r="H198" s="25">
        <f>SUM(H188:H197)</f>
        <v>4500</v>
      </c>
      <c r="I198" s="703"/>
      <c r="J198" s="703"/>
      <c r="K198" s="14"/>
      <c r="L198" s="13" t="s">
        <v>21</v>
      </c>
      <c r="M198" s="25">
        <f>SUM(M188:M197)</f>
        <v>12893.621349999999</v>
      </c>
      <c r="N198" s="3"/>
      <c r="O198" s="14"/>
      <c r="P198" s="14"/>
      <c r="Q198" s="13" t="s">
        <v>22</v>
      </c>
      <c r="R198" s="25">
        <f>SUM(R188:R197)</f>
        <v>27.04</v>
      </c>
    </row>
    <row r="199" spans="1:18">
      <c r="A199" s="2"/>
      <c r="B199" s="16" t="s">
        <v>13</v>
      </c>
      <c r="C199" s="67"/>
      <c r="D199" s="14"/>
      <c r="E199" s="14"/>
      <c r="F199" s="14"/>
      <c r="G199" s="13"/>
      <c r="H199" s="35">
        <f>M198+R198+H198</f>
        <v>17420.661350000002</v>
      </c>
      <c r="I199" s="17"/>
      <c r="J199" s="14"/>
      <c r="K199" s="14"/>
      <c r="L199" s="13"/>
      <c r="M199" s="15"/>
      <c r="N199" s="14"/>
      <c r="O199" s="14"/>
      <c r="P199" s="14"/>
      <c r="Q199" s="14"/>
      <c r="R199" s="17"/>
    </row>
    <row r="200" spans="1:18">
      <c r="A200" s="2"/>
      <c r="B200" s="11" t="s">
        <v>25</v>
      </c>
      <c r="C200" s="68"/>
      <c r="D200" s="4"/>
      <c r="E200" s="4"/>
      <c r="F200" s="4"/>
      <c r="G200" s="18"/>
      <c r="H200" s="36">
        <v>0</v>
      </c>
      <c r="I200" s="20"/>
      <c r="J200" s="4" t="s">
        <v>26</v>
      </c>
      <c r="K200" s="4"/>
      <c r="L200" s="18"/>
      <c r="M200" s="19"/>
      <c r="N200" s="4"/>
      <c r="O200" s="4"/>
      <c r="P200" s="4"/>
      <c r="Q200" s="4"/>
      <c r="R200" s="20"/>
    </row>
    <row r="201" spans="1:18">
      <c r="A201" s="23"/>
      <c r="B201" s="11" t="s">
        <v>14</v>
      </c>
      <c r="C201" s="68"/>
      <c r="D201" s="4"/>
      <c r="E201" s="4"/>
      <c r="F201" s="4"/>
      <c r="G201" s="18"/>
      <c r="H201" s="36">
        <f>SUM(H199:H200)</f>
        <v>17420.661350000002</v>
      </c>
      <c r="I201" s="20"/>
      <c r="J201" s="704"/>
      <c r="K201" s="705"/>
      <c r="L201" s="705"/>
      <c r="M201" s="705"/>
      <c r="N201" s="705"/>
      <c r="O201" s="705"/>
      <c r="P201" s="705"/>
      <c r="Q201" s="705"/>
      <c r="R201" s="706"/>
    </row>
    <row r="202" spans="1:18">
      <c r="A202" s="23"/>
      <c r="B202" s="11" t="s">
        <v>24</v>
      </c>
      <c r="C202" s="68"/>
      <c r="D202" s="4"/>
      <c r="E202" s="4"/>
      <c r="F202" s="4"/>
      <c r="G202" s="18"/>
      <c r="H202" s="36">
        <f>H201*15%</f>
        <v>2613.0992025</v>
      </c>
      <c r="I202" s="20"/>
      <c r="J202" s="707"/>
      <c r="K202" s="708"/>
      <c r="L202" s="708"/>
      <c r="M202" s="708"/>
      <c r="N202" s="708"/>
      <c r="O202" s="708"/>
      <c r="P202" s="708"/>
      <c r="Q202" s="708"/>
      <c r="R202" s="709"/>
    </row>
    <row r="203" spans="1:18">
      <c r="A203" s="23"/>
      <c r="B203" s="11" t="s">
        <v>15</v>
      </c>
      <c r="C203" s="68"/>
      <c r="D203" s="4"/>
      <c r="E203" s="4"/>
      <c r="F203" s="4"/>
      <c r="G203" s="21" t="s">
        <v>16</v>
      </c>
      <c r="H203" s="37">
        <f>H202+H201</f>
        <v>20033.760552500004</v>
      </c>
      <c r="I203" s="38" t="str">
        <f>CONCATENATE("per ",C188)</f>
        <v>per cum</v>
      </c>
      <c r="J203" s="707"/>
      <c r="K203" s="708"/>
      <c r="L203" s="708"/>
      <c r="M203" s="708"/>
      <c r="N203" s="708"/>
      <c r="O203" s="708"/>
      <c r="P203" s="708"/>
      <c r="Q203" s="708"/>
      <c r="R203" s="709"/>
    </row>
    <row r="204" spans="1:18">
      <c r="A204" s="23"/>
      <c r="B204" s="11" t="s">
        <v>18</v>
      </c>
      <c r="C204" s="125" t="s">
        <v>19</v>
      </c>
      <c r="D204" s="4"/>
      <c r="E204" s="4"/>
      <c r="F204" s="4"/>
      <c r="G204" s="21" t="s">
        <v>16</v>
      </c>
      <c r="H204" s="37">
        <f>CEILING(H203,0.5)</f>
        <v>20034</v>
      </c>
      <c r="I204" s="38" t="str">
        <f>CONCATENATE("per ",C188)</f>
        <v>per cum</v>
      </c>
      <c r="J204" s="707"/>
      <c r="K204" s="708"/>
      <c r="L204" s="708"/>
      <c r="M204" s="708"/>
      <c r="N204" s="708"/>
      <c r="O204" s="708"/>
      <c r="P204" s="708"/>
      <c r="Q204" s="708"/>
      <c r="R204" s="709"/>
    </row>
    <row r="205" spans="1:18">
      <c r="A205" s="23"/>
      <c r="B205" s="11"/>
      <c r="C205" s="68"/>
      <c r="D205" s="4"/>
      <c r="E205" s="4"/>
      <c r="F205" s="4"/>
      <c r="G205" s="24" t="s">
        <v>17</v>
      </c>
      <c r="H205" s="37">
        <f>H204/exr</f>
        <v>154.1076923076923</v>
      </c>
      <c r="I205" s="38" t="str">
        <f>CONCATENATE("per ",C188)</f>
        <v>per cum</v>
      </c>
      <c r="J205" s="710"/>
      <c r="K205" s="711"/>
      <c r="L205" s="711"/>
      <c r="M205" s="711"/>
      <c r="N205" s="711"/>
      <c r="O205" s="711"/>
      <c r="P205" s="711"/>
      <c r="Q205" s="711"/>
      <c r="R205" s="712"/>
    </row>
    <row r="206" spans="1:18">
      <c r="A206" s="39"/>
      <c r="B206" s="40"/>
      <c r="C206" s="69"/>
      <c r="D206" s="41"/>
      <c r="E206" s="41"/>
      <c r="F206" s="41"/>
      <c r="G206" s="149" t="s">
        <v>460</v>
      </c>
      <c r="H206" s="150">
        <f>CEILING(SUM(R190)/H199,0.0025)</f>
        <v>2.5000000000000001E-3</v>
      </c>
      <c r="I206" s="42"/>
      <c r="J206" s="43"/>
      <c r="K206" s="43"/>
      <c r="L206" s="43"/>
      <c r="M206" s="43"/>
      <c r="N206" s="43"/>
      <c r="O206" s="43"/>
      <c r="P206" s="43"/>
      <c r="Q206" s="43"/>
      <c r="R206" s="44"/>
    </row>
    <row r="208" spans="1:18">
      <c r="A208" s="693" t="s">
        <v>0</v>
      </c>
      <c r="B208" s="695" t="s">
        <v>1</v>
      </c>
      <c r="C208" s="695" t="s">
        <v>2</v>
      </c>
      <c r="D208" s="697" t="s">
        <v>3</v>
      </c>
      <c r="E208" s="698"/>
      <c r="F208" s="698"/>
      <c r="G208" s="698"/>
      <c r="H208" s="698"/>
      <c r="I208" s="699" t="s">
        <v>4</v>
      </c>
      <c r="J208" s="700"/>
      <c r="K208" s="700"/>
      <c r="L208" s="700"/>
      <c r="M208" s="700"/>
      <c r="N208" s="698" t="s">
        <v>5</v>
      </c>
      <c r="O208" s="698"/>
      <c r="P208" s="698"/>
      <c r="Q208" s="698"/>
      <c r="R208" s="698"/>
    </row>
    <row r="209" spans="1:18">
      <c r="A209" s="694"/>
      <c r="B209" s="696"/>
      <c r="C209" s="696"/>
      <c r="D209" s="45" t="s">
        <v>6</v>
      </c>
      <c r="E209" s="46" t="s">
        <v>2</v>
      </c>
      <c r="F209" s="46" t="s">
        <v>7</v>
      </c>
      <c r="G209" s="46" t="s">
        <v>8</v>
      </c>
      <c r="H209" s="46" t="s">
        <v>9</v>
      </c>
      <c r="I209" s="46" t="s">
        <v>10</v>
      </c>
      <c r="J209" s="46" t="s">
        <v>2</v>
      </c>
      <c r="K209" s="46" t="s">
        <v>7</v>
      </c>
      <c r="L209" s="46" t="s">
        <v>8</v>
      </c>
      <c r="M209" s="47" t="s">
        <v>9</v>
      </c>
      <c r="N209" s="46" t="s">
        <v>10</v>
      </c>
      <c r="O209" s="46" t="s">
        <v>2</v>
      </c>
      <c r="P209" s="46" t="s">
        <v>7</v>
      </c>
      <c r="Q209" s="46" t="s">
        <v>8</v>
      </c>
      <c r="R209" s="46" t="s">
        <v>9</v>
      </c>
    </row>
    <row r="210" spans="1:18">
      <c r="A210" s="33" t="s">
        <v>23</v>
      </c>
      <c r="B210" s="73" t="s">
        <v>267</v>
      </c>
      <c r="C210" s="65"/>
      <c r="D210" s="31"/>
      <c r="E210" s="31"/>
      <c r="F210" s="31"/>
      <c r="G210" s="31"/>
      <c r="H210" s="31"/>
      <c r="I210" s="31"/>
      <c r="J210" s="31"/>
      <c r="K210" s="31"/>
      <c r="L210" s="31"/>
      <c r="M210" s="31"/>
      <c r="N210" s="31"/>
      <c r="O210" s="31"/>
      <c r="P210" s="31"/>
      <c r="Q210" s="31"/>
      <c r="R210" s="32"/>
    </row>
    <row r="211" spans="1:18">
      <c r="A211" s="34">
        <f>A188+1</f>
        <v>9</v>
      </c>
      <c r="B211" s="713" t="s">
        <v>266</v>
      </c>
      <c r="C211" s="66" t="s">
        <v>11</v>
      </c>
      <c r="D211" s="4"/>
      <c r="E211" s="6"/>
      <c r="F211" s="29"/>
      <c r="G211" s="26"/>
      <c r="H211" s="26"/>
      <c r="I211" s="6"/>
      <c r="J211" s="6"/>
      <c r="K211" s="29"/>
      <c r="L211" s="26"/>
      <c r="M211" s="26"/>
      <c r="N211" s="6"/>
      <c r="O211" s="6"/>
      <c r="P211" s="29"/>
      <c r="Q211" s="26"/>
      <c r="R211" s="26"/>
    </row>
    <row r="212" spans="1:18">
      <c r="A212" s="2"/>
      <c r="B212" s="714"/>
      <c r="C212" s="66"/>
      <c r="D212" s="4" t="s">
        <v>251</v>
      </c>
      <c r="E212" s="6" t="s">
        <v>81</v>
      </c>
      <c r="F212" s="29">
        <v>0.8</v>
      </c>
      <c r="G212" s="26">
        <f>sr</f>
        <v>1100</v>
      </c>
      <c r="H212" s="26">
        <f>F212*G212</f>
        <v>880</v>
      </c>
      <c r="I212" s="7" t="s">
        <v>252</v>
      </c>
      <c r="J212" s="8" t="s">
        <v>32</v>
      </c>
      <c r="K212" s="29">
        <v>0.34</v>
      </c>
      <c r="L212" s="28">
        <f>cement</f>
        <v>24049.69</v>
      </c>
      <c r="M212" s="26">
        <f t="shared" ref="M212:M218" si="6">K212*L212</f>
        <v>8176.8946000000005</v>
      </c>
      <c r="N212" s="8" t="s">
        <v>256</v>
      </c>
      <c r="O212" s="6" t="s">
        <v>101</v>
      </c>
      <c r="P212" s="29">
        <v>0.6</v>
      </c>
      <c r="Q212" s="28">
        <f>mixer</f>
        <v>216.32</v>
      </c>
      <c r="R212" s="26">
        <f>P212*Q212</f>
        <v>129.792</v>
      </c>
    </row>
    <row r="213" spans="1:18">
      <c r="A213" s="2"/>
      <c r="B213" s="714"/>
      <c r="C213" s="66"/>
      <c r="D213" s="4" t="s">
        <v>97</v>
      </c>
      <c r="E213" s="6" t="s">
        <v>81</v>
      </c>
      <c r="F213" s="29">
        <v>6.5</v>
      </c>
      <c r="G213" s="26">
        <f>ur</f>
        <v>850</v>
      </c>
      <c r="H213" s="26">
        <f>F213*G213</f>
        <v>5525</v>
      </c>
      <c r="I213" s="7" t="s">
        <v>258</v>
      </c>
      <c r="J213" s="8" t="s">
        <v>34</v>
      </c>
      <c r="K213" s="29">
        <v>0.435</v>
      </c>
      <c r="L213" s="28">
        <f>Agg_20</f>
        <v>2700</v>
      </c>
      <c r="M213" s="26">
        <f t="shared" si="6"/>
        <v>1174.5</v>
      </c>
      <c r="N213" s="8" t="s">
        <v>257</v>
      </c>
      <c r="O213" s="6" t="s">
        <v>101</v>
      </c>
      <c r="P213" s="29">
        <v>0.25</v>
      </c>
      <c r="Q213" s="28">
        <f>vibrator_concrete</f>
        <v>108.16</v>
      </c>
      <c r="R213" s="26">
        <f>P213*Q213</f>
        <v>27.04</v>
      </c>
    </row>
    <row r="214" spans="1:18">
      <c r="A214" s="2"/>
      <c r="B214" s="714"/>
      <c r="C214" s="66"/>
      <c r="D214" s="4"/>
      <c r="E214" s="6"/>
      <c r="F214" s="29"/>
      <c r="G214" s="26"/>
      <c r="H214" s="26"/>
      <c r="I214" s="7" t="s">
        <v>259</v>
      </c>
      <c r="J214" s="8" t="s">
        <v>34</v>
      </c>
      <c r="K214" s="29">
        <v>0.22500000000000001</v>
      </c>
      <c r="L214" s="28">
        <f>Agg_10</f>
        <v>2950</v>
      </c>
      <c r="M214" s="26">
        <f t="shared" si="6"/>
        <v>663.75</v>
      </c>
      <c r="N214" s="8"/>
      <c r="O214" s="6"/>
      <c r="P214" s="29"/>
      <c r="Q214" s="28"/>
      <c r="R214" s="28"/>
    </row>
    <row r="215" spans="1:18">
      <c r="A215" s="2"/>
      <c r="B215" s="714"/>
      <c r="C215" s="66"/>
      <c r="D215" s="4"/>
      <c r="E215" s="6"/>
      <c r="F215" s="29"/>
      <c r="G215" s="26"/>
      <c r="H215" s="26"/>
      <c r="I215" s="7" t="s">
        <v>254</v>
      </c>
      <c r="J215" s="8" t="s">
        <v>34</v>
      </c>
      <c r="K215" s="29">
        <v>0.33750000000000002</v>
      </c>
      <c r="L215" s="28">
        <f>sand</f>
        <v>1050</v>
      </c>
      <c r="M215" s="26">
        <f t="shared" si="6"/>
        <v>354.375</v>
      </c>
      <c r="N215" s="8"/>
      <c r="O215" s="6"/>
      <c r="P215" s="29"/>
      <c r="Q215" s="28"/>
      <c r="R215" s="28"/>
    </row>
    <row r="216" spans="1:18">
      <c r="A216" s="2"/>
      <c r="B216" s="126"/>
      <c r="C216" s="66"/>
      <c r="D216" s="4"/>
      <c r="E216" s="6"/>
      <c r="F216" s="29"/>
      <c r="G216" s="26"/>
      <c r="H216" s="26"/>
      <c r="I216" s="7" t="s">
        <v>70</v>
      </c>
      <c r="J216" s="8" t="s">
        <v>250</v>
      </c>
      <c r="K216" s="29">
        <v>0.1</v>
      </c>
      <c r="L216" s="28">
        <f>petrol</f>
        <v>188.6</v>
      </c>
      <c r="M216" s="26">
        <f t="shared" si="6"/>
        <v>18.86</v>
      </c>
      <c r="N216" s="8"/>
      <c r="O216" s="6"/>
      <c r="P216" s="29"/>
      <c r="Q216" s="28"/>
      <c r="R216" s="28"/>
    </row>
    <row r="217" spans="1:18">
      <c r="A217" s="2"/>
      <c r="B217" s="126"/>
      <c r="C217" s="66"/>
      <c r="D217" s="4"/>
      <c r="E217" s="6"/>
      <c r="F217" s="29"/>
      <c r="G217" s="26"/>
      <c r="H217" s="26"/>
      <c r="I217" s="7" t="s">
        <v>67</v>
      </c>
      <c r="J217" s="8" t="s">
        <v>250</v>
      </c>
      <c r="K217" s="29">
        <v>3.2</v>
      </c>
      <c r="L217" s="28">
        <f>diesel</f>
        <v>177.6</v>
      </c>
      <c r="M217" s="26">
        <f t="shared" si="6"/>
        <v>568.32000000000005</v>
      </c>
      <c r="N217" s="8"/>
      <c r="O217" s="6"/>
      <c r="P217" s="29"/>
      <c r="Q217" s="28"/>
      <c r="R217" s="28"/>
    </row>
    <row r="218" spans="1:18">
      <c r="A218" s="2"/>
      <c r="B218" s="126"/>
      <c r="C218" s="66"/>
      <c r="D218" s="4"/>
      <c r="E218" s="6"/>
      <c r="F218" s="29"/>
      <c r="G218" s="26"/>
      <c r="H218" s="26"/>
      <c r="I218" s="7" t="s">
        <v>255</v>
      </c>
      <c r="J218" s="8" t="s">
        <v>250</v>
      </c>
      <c r="K218" s="29">
        <v>225</v>
      </c>
      <c r="L218" s="28"/>
      <c r="M218" s="26">
        <f t="shared" si="6"/>
        <v>0</v>
      </c>
      <c r="N218" s="8"/>
      <c r="O218" s="6"/>
      <c r="P218" s="29"/>
      <c r="Q218" s="28"/>
      <c r="R218" s="28"/>
    </row>
    <row r="219" spans="1:18">
      <c r="A219" s="2"/>
      <c r="B219" s="126"/>
      <c r="C219" s="66"/>
      <c r="D219" s="4"/>
      <c r="E219" s="6"/>
      <c r="F219" s="29"/>
      <c r="G219" s="26"/>
      <c r="H219" s="26"/>
      <c r="I219" s="7"/>
      <c r="J219" s="8"/>
      <c r="K219" s="29"/>
      <c r="L219" s="28"/>
      <c r="M219" s="26"/>
      <c r="N219" s="8"/>
      <c r="O219" s="6"/>
      <c r="P219" s="29"/>
      <c r="Q219" s="28"/>
      <c r="R219" s="28"/>
    </row>
    <row r="220" spans="1:18">
      <c r="A220" s="2"/>
      <c r="B220" s="5"/>
      <c r="C220" s="66"/>
      <c r="D220" s="4"/>
      <c r="E220" s="9"/>
      <c r="F220" s="30"/>
      <c r="G220" s="27"/>
      <c r="H220" s="27"/>
      <c r="I220" s="9"/>
      <c r="J220" s="10"/>
      <c r="K220" s="30"/>
      <c r="L220" s="28"/>
      <c r="M220" s="28"/>
      <c r="N220" s="8"/>
      <c r="O220" s="6"/>
      <c r="P220" s="30"/>
      <c r="Q220" s="28"/>
      <c r="R220" s="28"/>
    </row>
    <row r="221" spans="1:18">
      <c r="A221" s="2"/>
      <c r="B221" s="11"/>
      <c r="C221" s="66"/>
      <c r="D221" s="12"/>
      <c r="E221" s="59"/>
      <c r="F221" s="13"/>
      <c r="G221" s="13" t="s">
        <v>20</v>
      </c>
      <c r="H221" s="25">
        <f>SUM(H211:H220)</f>
        <v>6405</v>
      </c>
      <c r="I221" s="703"/>
      <c r="J221" s="703"/>
      <c r="K221" s="14"/>
      <c r="L221" s="13" t="s">
        <v>21</v>
      </c>
      <c r="M221" s="25">
        <f>SUM(M211:M220)</f>
        <v>10956.6996</v>
      </c>
      <c r="N221" s="3"/>
      <c r="O221" s="14"/>
      <c r="P221" s="14"/>
      <c r="Q221" s="13" t="s">
        <v>22</v>
      </c>
      <c r="R221" s="25">
        <f>SUM(R211:R220)</f>
        <v>156.83199999999999</v>
      </c>
    </row>
    <row r="222" spans="1:18">
      <c r="A222" s="2"/>
      <c r="B222" s="16" t="s">
        <v>13</v>
      </c>
      <c r="C222" s="67"/>
      <c r="D222" s="14"/>
      <c r="E222" s="14"/>
      <c r="F222" s="14"/>
      <c r="G222" s="13"/>
      <c r="H222" s="35">
        <f>M221+R221+H221</f>
        <v>17518.531600000002</v>
      </c>
      <c r="I222" s="17"/>
      <c r="J222" s="14"/>
      <c r="K222" s="14"/>
      <c r="L222" s="13"/>
      <c r="M222" s="15"/>
      <c r="N222" s="14"/>
      <c r="O222" s="14"/>
      <c r="P222" s="14"/>
      <c r="Q222" s="14"/>
      <c r="R222" s="17"/>
    </row>
    <row r="223" spans="1:18">
      <c r="A223" s="2"/>
      <c r="B223" s="11" t="s">
        <v>25</v>
      </c>
      <c r="C223" s="68"/>
      <c r="D223" s="4"/>
      <c r="E223" s="4"/>
      <c r="F223" s="4"/>
      <c r="G223" s="18"/>
      <c r="H223" s="36">
        <v>0</v>
      </c>
      <c r="I223" s="20"/>
      <c r="J223" s="4" t="s">
        <v>26</v>
      </c>
      <c r="K223" s="4"/>
      <c r="L223" s="18"/>
      <c r="M223" s="19"/>
      <c r="N223" s="4"/>
      <c r="O223" s="4"/>
      <c r="P223" s="4"/>
      <c r="Q223" s="4"/>
      <c r="R223" s="20"/>
    </row>
    <row r="224" spans="1:18">
      <c r="A224" s="23"/>
      <c r="B224" s="11" t="s">
        <v>14</v>
      </c>
      <c r="C224" s="68"/>
      <c r="D224" s="4"/>
      <c r="E224" s="4"/>
      <c r="F224" s="4"/>
      <c r="G224" s="18"/>
      <c r="H224" s="36">
        <f>SUM(H222:H223)</f>
        <v>17518.531600000002</v>
      </c>
      <c r="I224" s="20"/>
      <c r="J224" s="704"/>
      <c r="K224" s="705"/>
      <c r="L224" s="705"/>
      <c r="M224" s="705"/>
      <c r="N224" s="705"/>
      <c r="O224" s="705"/>
      <c r="P224" s="705"/>
      <c r="Q224" s="705"/>
      <c r="R224" s="706"/>
    </row>
    <row r="225" spans="1:18">
      <c r="A225" s="23"/>
      <c r="B225" s="11" t="s">
        <v>24</v>
      </c>
      <c r="C225" s="68"/>
      <c r="D225" s="4"/>
      <c r="E225" s="4"/>
      <c r="F225" s="4"/>
      <c r="G225" s="18"/>
      <c r="H225" s="36">
        <f>H224*15%</f>
        <v>2627.7797400000004</v>
      </c>
      <c r="I225" s="20"/>
      <c r="J225" s="707"/>
      <c r="K225" s="708"/>
      <c r="L225" s="708"/>
      <c r="M225" s="708"/>
      <c r="N225" s="708"/>
      <c r="O225" s="708"/>
      <c r="P225" s="708"/>
      <c r="Q225" s="708"/>
      <c r="R225" s="709"/>
    </row>
    <row r="226" spans="1:18">
      <c r="A226" s="23"/>
      <c r="B226" s="11" t="s">
        <v>15</v>
      </c>
      <c r="C226" s="68"/>
      <c r="D226" s="4"/>
      <c r="E226" s="4"/>
      <c r="F226" s="4"/>
      <c r="G226" s="21" t="s">
        <v>16</v>
      </c>
      <c r="H226" s="37">
        <f>H225+H224</f>
        <v>20146.311340000004</v>
      </c>
      <c r="I226" s="38" t="str">
        <f>CONCATENATE("per ",C211)</f>
        <v>per cum</v>
      </c>
      <c r="J226" s="707"/>
      <c r="K226" s="708"/>
      <c r="L226" s="708"/>
      <c r="M226" s="708"/>
      <c r="N226" s="708"/>
      <c r="O226" s="708"/>
      <c r="P226" s="708"/>
      <c r="Q226" s="708"/>
      <c r="R226" s="709"/>
    </row>
    <row r="227" spans="1:18">
      <c r="A227" s="23"/>
      <c r="B227" s="11" t="s">
        <v>18</v>
      </c>
      <c r="C227" s="125" t="s">
        <v>19</v>
      </c>
      <c r="D227" s="4"/>
      <c r="E227" s="4"/>
      <c r="F227" s="4"/>
      <c r="G227" s="21" t="s">
        <v>16</v>
      </c>
      <c r="H227" s="37">
        <f>CEILING(H226,0.5)</f>
        <v>20146.5</v>
      </c>
      <c r="I227" s="38" t="str">
        <f>CONCATENATE("per ",C211)</f>
        <v>per cum</v>
      </c>
      <c r="J227" s="707"/>
      <c r="K227" s="708"/>
      <c r="L227" s="708"/>
      <c r="M227" s="708"/>
      <c r="N227" s="708"/>
      <c r="O227" s="708"/>
      <c r="P227" s="708"/>
      <c r="Q227" s="708"/>
      <c r="R227" s="709"/>
    </row>
    <row r="228" spans="1:18">
      <c r="A228" s="23"/>
      <c r="B228" s="11"/>
      <c r="C228" s="68"/>
      <c r="D228" s="4"/>
      <c r="E228" s="4"/>
      <c r="F228" s="4"/>
      <c r="G228" s="24" t="s">
        <v>17</v>
      </c>
      <c r="H228" s="37">
        <f>H227/exr</f>
        <v>154.97307692307692</v>
      </c>
      <c r="I228" s="38" t="str">
        <f>CONCATENATE("per ",C211)</f>
        <v>per cum</v>
      </c>
      <c r="J228" s="710"/>
      <c r="K228" s="711"/>
      <c r="L228" s="711"/>
      <c r="M228" s="711"/>
      <c r="N228" s="711"/>
      <c r="O228" s="711"/>
      <c r="P228" s="711"/>
      <c r="Q228" s="711"/>
      <c r="R228" s="712"/>
    </row>
    <row r="229" spans="1:18">
      <c r="A229" s="39"/>
      <c r="B229" s="40"/>
      <c r="C229" s="69"/>
      <c r="D229" s="41"/>
      <c r="E229" s="41"/>
      <c r="F229" s="41"/>
      <c r="G229" s="149" t="s">
        <v>460</v>
      </c>
      <c r="H229" s="150">
        <f>CEILING(SUM(M216,M217,R212,R213)/H222,0.0025)</f>
        <v>4.2500000000000003E-2</v>
      </c>
      <c r="I229" s="42"/>
      <c r="J229" s="43"/>
      <c r="K229" s="43"/>
      <c r="L229" s="43"/>
      <c r="M229" s="43"/>
      <c r="N229" s="43"/>
      <c r="O229" s="43"/>
      <c r="P229" s="43"/>
      <c r="Q229" s="43"/>
      <c r="R229" s="44"/>
    </row>
    <row r="231" spans="1:18">
      <c r="A231" s="693" t="s">
        <v>0</v>
      </c>
      <c r="B231" s="695" t="s">
        <v>1</v>
      </c>
      <c r="C231" s="695" t="s">
        <v>2</v>
      </c>
      <c r="D231" s="697" t="s">
        <v>3</v>
      </c>
      <c r="E231" s="698"/>
      <c r="F231" s="698"/>
      <c r="G231" s="698"/>
      <c r="H231" s="698"/>
      <c r="I231" s="699" t="s">
        <v>4</v>
      </c>
      <c r="J231" s="700"/>
      <c r="K231" s="700"/>
      <c r="L231" s="700"/>
      <c r="M231" s="700"/>
      <c r="N231" s="698" t="s">
        <v>5</v>
      </c>
      <c r="O231" s="698"/>
      <c r="P231" s="698"/>
      <c r="Q231" s="698"/>
      <c r="R231" s="698"/>
    </row>
    <row r="232" spans="1:18">
      <c r="A232" s="694"/>
      <c r="B232" s="696"/>
      <c r="C232" s="696"/>
      <c r="D232" s="45" t="s">
        <v>6</v>
      </c>
      <c r="E232" s="46" t="s">
        <v>2</v>
      </c>
      <c r="F232" s="46" t="s">
        <v>7</v>
      </c>
      <c r="G232" s="46" t="s">
        <v>8</v>
      </c>
      <c r="H232" s="46" t="s">
        <v>9</v>
      </c>
      <c r="I232" s="46" t="s">
        <v>10</v>
      </c>
      <c r="J232" s="46" t="s">
        <v>2</v>
      </c>
      <c r="K232" s="46" t="s">
        <v>7</v>
      </c>
      <c r="L232" s="46" t="s">
        <v>8</v>
      </c>
      <c r="M232" s="47" t="s">
        <v>9</v>
      </c>
      <c r="N232" s="46" t="s">
        <v>10</v>
      </c>
      <c r="O232" s="46" t="s">
        <v>2</v>
      </c>
      <c r="P232" s="46" t="s">
        <v>7</v>
      </c>
      <c r="Q232" s="46" t="s">
        <v>8</v>
      </c>
      <c r="R232" s="46" t="s">
        <v>9</v>
      </c>
    </row>
    <row r="233" spans="1:18">
      <c r="A233" s="33" t="s">
        <v>23</v>
      </c>
      <c r="B233" s="73" t="s">
        <v>269</v>
      </c>
      <c r="C233" s="65"/>
      <c r="D233" s="31"/>
      <c r="E233" s="31"/>
      <c r="F233" s="31"/>
      <c r="G233" s="31"/>
      <c r="H233" s="31"/>
      <c r="I233" s="31"/>
      <c r="J233" s="31"/>
      <c r="K233" s="31"/>
      <c r="L233" s="31"/>
      <c r="M233" s="31"/>
      <c r="N233" s="31"/>
      <c r="O233" s="31"/>
      <c r="P233" s="31"/>
      <c r="Q233" s="31"/>
      <c r="R233" s="32"/>
    </row>
    <row r="234" spans="1:18">
      <c r="A234" s="34">
        <f>A211+1</f>
        <v>10</v>
      </c>
      <c r="B234" s="713" t="s">
        <v>268</v>
      </c>
      <c r="C234" s="66" t="s">
        <v>11</v>
      </c>
      <c r="D234" s="4"/>
      <c r="E234" s="6"/>
      <c r="F234" s="29"/>
      <c r="G234" s="26"/>
      <c r="H234" s="26"/>
      <c r="I234" s="6"/>
      <c r="J234" s="6"/>
      <c r="K234" s="29"/>
      <c r="L234" s="26"/>
      <c r="M234" s="26"/>
      <c r="N234" s="6"/>
      <c r="O234" s="6"/>
      <c r="P234" s="29"/>
      <c r="Q234" s="26"/>
      <c r="R234" s="26"/>
    </row>
    <row r="235" spans="1:18">
      <c r="A235" s="2"/>
      <c r="B235" s="714"/>
      <c r="C235" s="66"/>
      <c r="D235" s="4" t="s">
        <v>251</v>
      </c>
      <c r="E235" s="6" t="s">
        <v>81</v>
      </c>
      <c r="F235" s="29">
        <v>0.9</v>
      </c>
      <c r="G235" s="26">
        <f>sr</f>
        <v>1100</v>
      </c>
      <c r="H235" s="26">
        <f>F235*G235</f>
        <v>990</v>
      </c>
      <c r="I235" s="7" t="s">
        <v>252</v>
      </c>
      <c r="J235" s="8" t="s">
        <v>32</v>
      </c>
      <c r="K235" s="29">
        <v>0.41499999999999998</v>
      </c>
      <c r="L235" s="28">
        <f>cement</f>
        <v>24049.69</v>
      </c>
      <c r="M235" s="26">
        <f>K235*L235</f>
        <v>9980.6213499999994</v>
      </c>
      <c r="N235" s="8"/>
      <c r="O235" s="6"/>
      <c r="P235" s="29"/>
      <c r="Q235" s="28"/>
      <c r="R235" s="26"/>
    </row>
    <row r="236" spans="1:18">
      <c r="A236" s="2"/>
      <c r="B236" s="714"/>
      <c r="C236" s="66"/>
      <c r="D236" s="4" t="s">
        <v>97</v>
      </c>
      <c r="E236" s="6" t="s">
        <v>81</v>
      </c>
      <c r="F236" s="29">
        <v>9</v>
      </c>
      <c r="G236" s="26">
        <f>ur</f>
        <v>850</v>
      </c>
      <c r="H236" s="26">
        <f>F236*G236</f>
        <v>7650</v>
      </c>
      <c r="I236" s="7" t="s">
        <v>258</v>
      </c>
      <c r="J236" s="8" t="s">
        <v>34</v>
      </c>
      <c r="K236" s="29">
        <v>0.57999999999999996</v>
      </c>
      <c r="L236" s="28">
        <f>Agg_20</f>
        <v>2700</v>
      </c>
      <c r="M236" s="26">
        <f>K236*L236</f>
        <v>1566</v>
      </c>
      <c r="N236" s="8" t="s">
        <v>257</v>
      </c>
      <c r="O236" s="6" t="s">
        <v>101</v>
      </c>
      <c r="P236" s="29">
        <v>0.25</v>
      </c>
      <c r="Q236" s="28">
        <f>vibrator_concrete</f>
        <v>108.16</v>
      </c>
      <c r="R236" s="26">
        <f>P236*Q236</f>
        <v>27.04</v>
      </c>
    </row>
    <row r="237" spans="1:18">
      <c r="A237" s="2"/>
      <c r="B237" s="714"/>
      <c r="C237" s="66"/>
      <c r="D237" s="4"/>
      <c r="E237" s="6"/>
      <c r="F237" s="29"/>
      <c r="G237" s="26"/>
      <c r="H237" s="26"/>
      <c r="I237" s="7" t="s">
        <v>259</v>
      </c>
      <c r="J237" s="8" t="s">
        <v>34</v>
      </c>
      <c r="K237" s="29">
        <v>0.3</v>
      </c>
      <c r="L237" s="28">
        <f>Agg_10</f>
        <v>2950</v>
      </c>
      <c r="M237" s="26">
        <f>K237*L237</f>
        <v>885</v>
      </c>
      <c r="N237" s="8"/>
      <c r="O237" s="6"/>
      <c r="P237" s="29"/>
      <c r="Q237" s="28"/>
      <c r="R237" s="28"/>
    </row>
    <row r="238" spans="1:18">
      <c r="A238" s="2"/>
      <c r="B238" s="714"/>
      <c r="C238" s="66"/>
      <c r="D238" s="4"/>
      <c r="E238" s="6"/>
      <c r="F238" s="29"/>
      <c r="G238" s="26"/>
      <c r="H238" s="26"/>
      <c r="I238" s="7" t="s">
        <v>254</v>
      </c>
      <c r="J238" s="8" t="s">
        <v>34</v>
      </c>
      <c r="K238" s="29">
        <v>0.45</v>
      </c>
      <c r="L238" s="28">
        <f>sand</f>
        <v>1050</v>
      </c>
      <c r="M238" s="26">
        <f>K238*L238</f>
        <v>472.5</v>
      </c>
      <c r="N238" s="8"/>
      <c r="O238" s="6"/>
      <c r="P238" s="29"/>
      <c r="Q238" s="28"/>
      <c r="R238" s="28"/>
    </row>
    <row r="239" spans="1:18">
      <c r="A239" s="2"/>
      <c r="B239" s="126"/>
      <c r="C239" s="66"/>
      <c r="D239" s="4"/>
      <c r="E239" s="6"/>
      <c r="F239" s="29"/>
      <c r="G239" s="26"/>
      <c r="H239" s="26"/>
      <c r="I239" s="7" t="s">
        <v>255</v>
      </c>
      <c r="J239" s="8" t="s">
        <v>250</v>
      </c>
      <c r="K239" s="29">
        <v>249</v>
      </c>
      <c r="L239" s="28"/>
      <c r="M239" s="26">
        <f>K239*L239</f>
        <v>0</v>
      </c>
      <c r="N239" s="8"/>
      <c r="O239" s="6"/>
      <c r="P239" s="29"/>
      <c r="Q239" s="28"/>
      <c r="R239" s="28"/>
    </row>
    <row r="240" spans="1:18">
      <c r="A240" s="2"/>
      <c r="B240" s="126"/>
      <c r="C240" s="66"/>
      <c r="D240" s="4"/>
      <c r="E240" s="6"/>
      <c r="F240" s="29"/>
      <c r="G240" s="26"/>
      <c r="H240" s="26"/>
      <c r="I240" s="7"/>
      <c r="J240" s="8"/>
      <c r="K240" s="29"/>
      <c r="L240" s="28"/>
      <c r="M240" s="26"/>
      <c r="N240" s="8"/>
      <c r="O240" s="6"/>
      <c r="P240" s="29"/>
      <c r="Q240" s="28"/>
      <c r="R240" s="28"/>
    </row>
    <row r="241" spans="1:18">
      <c r="A241" s="2"/>
      <c r="B241" s="126"/>
      <c r="C241" s="66"/>
      <c r="D241" s="4"/>
      <c r="E241" s="6"/>
      <c r="F241" s="29"/>
      <c r="G241" s="26"/>
      <c r="H241" s="26"/>
      <c r="I241" s="7"/>
      <c r="J241" s="8"/>
      <c r="K241" s="29"/>
      <c r="L241" s="28"/>
      <c r="M241" s="26"/>
      <c r="N241" s="8"/>
      <c r="O241" s="6"/>
      <c r="P241" s="29"/>
      <c r="Q241" s="28"/>
      <c r="R241" s="28"/>
    </row>
    <row r="242" spans="1:18">
      <c r="A242" s="2"/>
      <c r="B242" s="126"/>
      <c r="C242" s="66"/>
      <c r="D242" s="4"/>
      <c r="E242" s="6"/>
      <c r="F242" s="29"/>
      <c r="G242" s="26"/>
      <c r="H242" s="26"/>
      <c r="I242" s="7"/>
      <c r="J242" s="8"/>
      <c r="K242" s="29"/>
      <c r="L242" s="28"/>
      <c r="M242" s="26"/>
      <c r="N242" s="8"/>
      <c r="O242" s="6"/>
      <c r="P242" s="29"/>
      <c r="Q242" s="28"/>
      <c r="R242" s="28"/>
    </row>
    <row r="243" spans="1:18">
      <c r="A243" s="2"/>
      <c r="B243" s="5"/>
      <c r="C243" s="66"/>
      <c r="D243" s="4"/>
      <c r="E243" s="9"/>
      <c r="F243" s="30"/>
      <c r="G243" s="27"/>
      <c r="H243" s="27"/>
      <c r="I243" s="9"/>
      <c r="J243" s="10"/>
      <c r="K243" s="30"/>
      <c r="L243" s="28"/>
      <c r="M243" s="28"/>
      <c r="N243" s="8"/>
      <c r="O243" s="6"/>
      <c r="P243" s="30"/>
      <c r="Q243" s="28"/>
      <c r="R243" s="28"/>
    </row>
    <row r="244" spans="1:18">
      <c r="A244" s="2"/>
      <c r="B244" s="11"/>
      <c r="C244" s="66"/>
      <c r="D244" s="12"/>
      <c r="E244" s="59"/>
      <c r="F244" s="13"/>
      <c r="G244" s="13" t="s">
        <v>20</v>
      </c>
      <c r="H244" s="25">
        <f>SUM(H234:H243)</f>
        <v>8640</v>
      </c>
      <c r="I244" s="703"/>
      <c r="J244" s="703"/>
      <c r="K244" s="14"/>
      <c r="L244" s="13" t="s">
        <v>21</v>
      </c>
      <c r="M244" s="25">
        <f>SUM(M234:M243)</f>
        <v>12904.121349999999</v>
      </c>
      <c r="N244" s="3"/>
      <c r="O244" s="14"/>
      <c r="P244" s="14"/>
      <c r="Q244" s="13" t="s">
        <v>22</v>
      </c>
      <c r="R244" s="25">
        <f>SUM(R234:R243)</f>
        <v>27.04</v>
      </c>
    </row>
    <row r="245" spans="1:18">
      <c r="A245" s="2"/>
      <c r="B245" s="16" t="s">
        <v>13</v>
      </c>
      <c r="C245" s="67"/>
      <c r="D245" s="14"/>
      <c r="E245" s="14"/>
      <c r="F245" s="14"/>
      <c r="G245" s="13"/>
      <c r="H245" s="35">
        <f>M244+R244+H244</f>
        <v>21571.161350000002</v>
      </c>
      <c r="I245" s="17"/>
      <c r="J245" s="14"/>
      <c r="K245" s="14"/>
      <c r="L245" s="13"/>
      <c r="M245" s="15"/>
      <c r="N245" s="14"/>
      <c r="O245" s="14"/>
      <c r="P245" s="14"/>
      <c r="Q245" s="14"/>
      <c r="R245" s="17"/>
    </row>
    <row r="246" spans="1:18">
      <c r="A246" s="2"/>
      <c r="B246" s="11" t="s">
        <v>25</v>
      </c>
      <c r="C246" s="68"/>
      <c r="D246" s="4"/>
      <c r="E246" s="4"/>
      <c r="F246" s="4"/>
      <c r="G246" s="18"/>
      <c r="H246" s="36" t="s">
        <v>891</v>
      </c>
      <c r="I246" s="20"/>
      <c r="J246" s="4" t="s">
        <v>26</v>
      </c>
      <c r="K246" s="4"/>
      <c r="L246" s="18"/>
      <c r="M246" s="19"/>
      <c r="N246" s="4"/>
      <c r="O246" s="4"/>
      <c r="P246" s="4"/>
      <c r="Q246" s="4"/>
      <c r="R246" s="20"/>
    </row>
    <row r="247" spans="1:18">
      <c r="A247" s="23"/>
      <c r="B247" s="11" t="s">
        <v>14</v>
      </c>
      <c r="C247" s="68"/>
      <c r="D247" s="4"/>
      <c r="E247" s="4"/>
      <c r="F247" s="4"/>
      <c r="G247" s="18"/>
      <c r="H247" s="36">
        <f>SUM(H245:H246)</f>
        <v>21571.161350000002</v>
      </c>
      <c r="I247" s="20"/>
      <c r="J247" s="704"/>
      <c r="K247" s="705"/>
      <c r="L247" s="705"/>
      <c r="M247" s="705"/>
      <c r="N247" s="705"/>
      <c r="O247" s="705"/>
      <c r="P247" s="705"/>
      <c r="Q247" s="705"/>
      <c r="R247" s="706"/>
    </row>
    <row r="248" spans="1:18">
      <c r="A248" s="23"/>
      <c r="B248" s="11" t="s">
        <v>24</v>
      </c>
      <c r="C248" s="68"/>
      <c r="D248" s="4"/>
      <c r="E248" s="4"/>
      <c r="F248" s="4"/>
      <c r="G248" s="18"/>
      <c r="H248" s="36">
        <f>H247*15%</f>
        <v>3235.6742025000003</v>
      </c>
      <c r="I248" s="20"/>
      <c r="J248" s="707"/>
      <c r="K248" s="708"/>
      <c r="L248" s="708"/>
      <c r="M248" s="708"/>
      <c r="N248" s="708"/>
      <c r="O248" s="708"/>
      <c r="P248" s="708"/>
      <c r="Q248" s="708"/>
      <c r="R248" s="709"/>
    </row>
    <row r="249" spans="1:18">
      <c r="A249" s="23"/>
      <c r="B249" s="11" t="s">
        <v>15</v>
      </c>
      <c r="C249" s="68"/>
      <c r="D249" s="4"/>
      <c r="E249" s="4"/>
      <c r="F249" s="4"/>
      <c r="G249" s="21" t="s">
        <v>16</v>
      </c>
      <c r="H249" s="37">
        <f>H248+H247</f>
        <v>24806.835552500001</v>
      </c>
      <c r="I249" s="38" t="str">
        <f>CONCATENATE("per ",C234)</f>
        <v>per cum</v>
      </c>
      <c r="J249" s="707"/>
      <c r="K249" s="708"/>
      <c r="L249" s="708"/>
      <c r="M249" s="708"/>
      <c r="N249" s="708"/>
      <c r="O249" s="708"/>
      <c r="P249" s="708"/>
      <c r="Q249" s="708"/>
      <c r="R249" s="709"/>
    </row>
    <row r="250" spans="1:18">
      <c r="A250" s="23"/>
      <c r="B250" s="11" t="s">
        <v>18</v>
      </c>
      <c r="C250" s="125" t="s">
        <v>19</v>
      </c>
      <c r="D250" s="4"/>
      <c r="E250" s="4"/>
      <c r="F250" s="4"/>
      <c r="G250" s="21" t="s">
        <v>16</v>
      </c>
      <c r="H250" s="37">
        <f>CEILING(H249,0.5)</f>
        <v>24807</v>
      </c>
      <c r="I250" s="38" t="str">
        <f>CONCATENATE("per ",C234)</f>
        <v>per cum</v>
      </c>
      <c r="J250" s="707"/>
      <c r="K250" s="708"/>
      <c r="L250" s="708"/>
      <c r="M250" s="708"/>
      <c r="N250" s="708"/>
      <c r="O250" s="708"/>
      <c r="P250" s="708"/>
      <c r="Q250" s="708"/>
      <c r="R250" s="709"/>
    </row>
    <row r="251" spans="1:18">
      <c r="A251" s="23"/>
      <c r="B251" s="11"/>
      <c r="C251" s="68"/>
      <c r="D251" s="4"/>
      <c r="E251" s="4"/>
      <c r="F251" s="4"/>
      <c r="G251" s="24" t="s">
        <v>17</v>
      </c>
      <c r="H251" s="37">
        <f>H250/exr</f>
        <v>190.82307692307691</v>
      </c>
      <c r="I251" s="38" t="str">
        <f>CONCATENATE("per ",C234)</f>
        <v>per cum</v>
      </c>
      <c r="J251" s="710"/>
      <c r="K251" s="711"/>
      <c r="L251" s="711"/>
      <c r="M251" s="711"/>
      <c r="N251" s="711"/>
      <c r="O251" s="711"/>
      <c r="P251" s="711"/>
      <c r="Q251" s="711"/>
      <c r="R251" s="712"/>
    </row>
    <row r="252" spans="1:18">
      <c r="A252" s="39"/>
      <c r="B252" s="40"/>
      <c r="C252" s="69"/>
      <c r="D252" s="41"/>
      <c r="E252" s="41"/>
      <c r="F252" s="41"/>
      <c r="G252" s="149" t="s">
        <v>460</v>
      </c>
      <c r="H252" s="150">
        <f>CEILING(SUM(R236)/H245,0.0025)</f>
        <v>2.5000000000000001E-3</v>
      </c>
      <c r="I252" s="42"/>
      <c r="J252" s="43"/>
      <c r="K252" s="43"/>
      <c r="L252" s="43"/>
      <c r="M252" s="43"/>
      <c r="N252" s="43"/>
      <c r="O252" s="43"/>
      <c r="P252" s="43"/>
      <c r="Q252" s="43"/>
      <c r="R252" s="44"/>
    </row>
    <row r="254" spans="1:18">
      <c r="A254" s="693" t="s">
        <v>0</v>
      </c>
      <c r="B254" s="695" t="s">
        <v>1</v>
      </c>
      <c r="C254" s="695" t="s">
        <v>2</v>
      </c>
      <c r="D254" s="697" t="s">
        <v>3</v>
      </c>
      <c r="E254" s="698"/>
      <c r="F254" s="698"/>
      <c r="G254" s="698"/>
      <c r="H254" s="698"/>
      <c r="I254" s="699" t="s">
        <v>4</v>
      </c>
      <c r="J254" s="700"/>
      <c r="K254" s="700"/>
      <c r="L254" s="700"/>
      <c r="M254" s="700"/>
      <c r="N254" s="698" t="s">
        <v>5</v>
      </c>
      <c r="O254" s="698"/>
      <c r="P254" s="698"/>
      <c r="Q254" s="698"/>
      <c r="R254" s="698"/>
    </row>
    <row r="255" spans="1:18">
      <c r="A255" s="694"/>
      <c r="B255" s="696"/>
      <c r="C255" s="696"/>
      <c r="D255" s="45" t="s">
        <v>6</v>
      </c>
      <c r="E255" s="46" t="s">
        <v>2</v>
      </c>
      <c r="F255" s="46" t="s">
        <v>7</v>
      </c>
      <c r="G255" s="46" t="s">
        <v>8</v>
      </c>
      <c r="H255" s="46" t="s">
        <v>9</v>
      </c>
      <c r="I255" s="46" t="s">
        <v>10</v>
      </c>
      <c r="J255" s="46" t="s">
        <v>2</v>
      </c>
      <c r="K255" s="46" t="s">
        <v>7</v>
      </c>
      <c r="L255" s="46" t="s">
        <v>8</v>
      </c>
      <c r="M255" s="47" t="s">
        <v>9</v>
      </c>
      <c r="N255" s="46" t="s">
        <v>10</v>
      </c>
      <c r="O255" s="46" t="s">
        <v>2</v>
      </c>
      <c r="P255" s="46" t="s">
        <v>7</v>
      </c>
      <c r="Q255" s="46" t="s">
        <v>8</v>
      </c>
      <c r="R255" s="46" t="s">
        <v>9</v>
      </c>
    </row>
    <row r="256" spans="1:18">
      <c r="A256" s="33" t="s">
        <v>23</v>
      </c>
      <c r="B256" s="73" t="s">
        <v>562</v>
      </c>
      <c r="C256" s="65"/>
      <c r="D256" s="31"/>
      <c r="E256" s="31"/>
      <c r="F256" s="31"/>
      <c r="G256" s="31"/>
      <c r="H256" s="31"/>
      <c r="I256" s="31"/>
      <c r="J256" s="31"/>
      <c r="K256" s="31"/>
      <c r="L256" s="31"/>
      <c r="M256" s="31"/>
      <c r="N256" s="31"/>
      <c r="O256" s="31"/>
      <c r="P256" s="31"/>
      <c r="Q256" s="31"/>
      <c r="R256" s="32"/>
    </row>
    <row r="257" spans="1:18">
      <c r="A257" s="34">
        <f>A234+1</f>
        <v>11</v>
      </c>
      <c r="B257" s="713" t="s">
        <v>642</v>
      </c>
      <c r="C257" s="66" t="s">
        <v>11</v>
      </c>
      <c r="D257" s="4"/>
      <c r="E257" s="6"/>
      <c r="F257" s="29"/>
      <c r="G257" s="26"/>
      <c r="H257" s="26"/>
      <c r="I257" s="6"/>
      <c r="J257" s="6"/>
      <c r="K257" s="29"/>
      <c r="L257" s="26"/>
      <c r="M257" s="26"/>
      <c r="N257" s="6"/>
      <c r="O257" s="6"/>
      <c r="P257" s="29"/>
      <c r="Q257" s="26"/>
      <c r="R257" s="26"/>
    </row>
    <row r="258" spans="1:18">
      <c r="A258" s="2"/>
      <c r="B258" s="714"/>
      <c r="C258" s="66"/>
      <c r="D258" s="4" t="s">
        <v>251</v>
      </c>
      <c r="E258" s="6" t="s">
        <v>81</v>
      </c>
      <c r="F258" s="29">
        <v>0.8</v>
      </c>
      <c r="G258" s="26">
        <f>sr</f>
        <v>1100</v>
      </c>
      <c r="H258" s="26">
        <f>F258*G258</f>
        <v>880</v>
      </c>
      <c r="I258" s="7" t="s">
        <v>252</v>
      </c>
      <c r="J258" s="8" t="s">
        <v>32</v>
      </c>
      <c r="K258" s="29">
        <v>0.375</v>
      </c>
      <c r="L258" s="28">
        <f>cement</f>
        <v>24049.69</v>
      </c>
      <c r="M258" s="26">
        <f t="shared" ref="M258:M264" si="7">K258*L258</f>
        <v>9018.6337499999991</v>
      </c>
      <c r="N258" s="8" t="s">
        <v>256</v>
      </c>
      <c r="O258" s="6" t="s">
        <v>101</v>
      </c>
      <c r="P258" s="29">
        <v>0.6</v>
      </c>
      <c r="Q258" s="28">
        <f>mixer</f>
        <v>216.32</v>
      </c>
      <c r="R258" s="26">
        <f>P258*Q258</f>
        <v>129.792</v>
      </c>
    </row>
    <row r="259" spans="1:18">
      <c r="A259" s="2"/>
      <c r="B259" s="714"/>
      <c r="C259" s="66"/>
      <c r="D259" s="4" t="s">
        <v>97</v>
      </c>
      <c r="E259" s="6" t="s">
        <v>81</v>
      </c>
      <c r="F259" s="29">
        <v>6</v>
      </c>
      <c r="G259" s="26">
        <f>ur</f>
        <v>850</v>
      </c>
      <c r="H259" s="26">
        <f>F259*G259</f>
        <v>5100</v>
      </c>
      <c r="I259" s="7" t="s">
        <v>258</v>
      </c>
      <c r="J259" s="8" t="s">
        <v>34</v>
      </c>
      <c r="K259" s="29">
        <v>0.57999999999999996</v>
      </c>
      <c r="L259" s="28">
        <f>Agg_20</f>
        <v>2700</v>
      </c>
      <c r="M259" s="26">
        <f t="shared" si="7"/>
        <v>1566</v>
      </c>
      <c r="N259" s="8" t="s">
        <v>257</v>
      </c>
      <c r="O259" s="6" t="s">
        <v>101</v>
      </c>
      <c r="P259" s="29">
        <v>0.25</v>
      </c>
      <c r="Q259" s="28">
        <f>vibrator_concrete</f>
        <v>108.16</v>
      </c>
      <c r="R259" s="26">
        <f>P259*Q259</f>
        <v>27.04</v>
      </c>
    </row>
    <row r="260" spans="1:18">
      <c r="A260" s="2"/>
      <c r="B260" s="714"/>
      <c r="C260" s="66"/>
      <c r="D260" s="4" t="s">
        <v>77</v>
      </c>
      <c r="E260" s="6" t="s">
        <v>81</v>
      </c>
      <c r="F260" s="29">
        <v>0.2</v>
      </c>
      <c r="G260" s="26">
        <f>or</f>
        <v>1840</v>
      </c>
      <c r="H260" s="26">
        <f>F260*G260</f>
        <v>368</v>
      </c>
      <c r="I260" s="7" t="s">
        <v>259</v>
      </c>
      <c r="J260" s="8" t="s">
        <v>34</v>
      </c>
      <c r="K260" s="29">
        <v>0.3</v>
      </c>
      <c r="L260" s="28">
        <f>Agg_10</f>
        <v>2950</v>
      </c>
      <c r="M260" s="26">
        <f t="shared" si="7"/>
        <v>885</v>
      </c>
      <c r="N260" s="8"/>
      <c r="O260" s="6"/>
      <c r="P260" s="29"/>
      <c r="Q260" s="28"/>
      <c r="R260" s="28"/>
    </row>
    <row r="261" spans="1:18">
      <c r="A261" s="2"/>
      <c r="B261" s="714"/>
      <c r="C261" s="66"/>
      <c r="D261" s="4"/>
      <c r="E261" s="6"/>
      <c r="F261" s="29"/>
      <c r="G261" s="26"/>
      <c r="H261" s="26"/>
      <c r="I261" s="7" t="s">
        <v>254</v>
      </c>
      <c r="J261" s="8" t="s">
        <v>34</v>
      </c>
      <c r="K261" s="29">
        <v>0.45</v>
      </c>
      <c r="L261" s="28">
        <f>sand</f>
        <v>1050</v>
      </c>
      <c r="M261" s="26">
        <f t="shared" si="7"/>
        <v>472.5</v>
      </c>
      <c r="N261" s="8"/>
      <c r="O261" s="6"/>
      <c r="P261" s="29"/>
      <c r="Q261" s="28"/>
      <c r="R261" s="28"/>
    </row>
    <row r="262" spans="1:18">
      <c r="A262" s="2"/>
      <c r="B262" s="126"/>
      <c r="C262" s="66"/>
      <c r="D262" s="4"/>
      <c r="E262" s="6"/>
      <c r="F262" s="29"/>
      <c r="G262" s="26"/>
      <c r="H262" s="26"/>
      <c r="I262" s="7" t="s">
        <v>70</v>
      </c>
      <c r="J262" s="8" t="s">
        <v>250</v>
      </c>
      <c r="K262" s="29">
        <v>0.1</v>
      </c>
      <c r="L262" s="28">
        <f>petrol</f>
        <v>188.6</v>
      </c>
      <c r="M262" s="26">
        <f t="shared" si="7"/>
        <v>18.86</v>
      </c>
      <c r="N262" s="8"/>
      <c r="O262" s="6"/>
      <c r="P262" s="29"/>
      <c r="Q262" s="28"/>
      <c r="R262" s="28"/>
    </row>
    <row r="263" spans="1:18">
      <c r="A263" s="2"/>
      <c r="B263" s="126"/>
      <c r="C263" s="66"/>
      <c r="D263" s="4"/>
      <c r="E263" s="6"/>
      <c r="F263" s="29"/>
      <c r="G263" s="26"/>
      <c r="H263" s="26"/>
      <c r="I263" s="7" t="s">
        <v>67</v>
      </c>
      <c r="J263" s="8" t="s">
        <v>250</v>
      </c>
      <c r="K263" s="29">
        <v>3</v>
      </c>
      <c r="L263" s="28">
        <f>diesel</f>
        <v>177.6</v>
      </c>
      <c r="M263" s="26">
        <f t="shared" si="7"/>
        <v>532.79999999999995</v>
      </c>
      <c r="N263" s="8"/>
      <c r="O263" s="6"/>
      <c r="P263" s="29"/>
      <c r="Q263" s="28"/>
      <c r="R263" s="28"/>
    </row>
    <row r="264" spans="1:18">
      <c r="A264" s="2"/>
      <c r="B264" s="126"/>
      <c r="C264" s="66"/>
      <c r="D264" s="4"/>
      <c r="E264" s="6"/>
      <c r="F264" s="29"/>
      <c r="G264" s="26"/>
      <c r="H264" s="26"/>
      <c r="I264" s="7" t="s">
        <v>255</v>
      </c>
      <c r="J264" s="8" t="s">
        <v>250</v>
      </c>
      <c r="K264" s="29">
        <v>225</v>
      </c>
      <c r="L264" s="28"/>
      <c r="M264" s="26">
        <f t="shared" si="7"/>
        <v>0</v>
      </c>
      <c r="N264" s="8"/>
      <c r="O264" s="6"/>
      <c r="P264" s="29"/>
      <c r="Q264" s="28"/>
      <c r="R264" s="28"/>
    </row>
    <row r="265" spans="1:18">
      <c r="A265" s="2"/>
      <c r="B265" s="126"/>
      <c r="C265" s="66"/>
      <c r="D265" s="4"/>
      <c r="E265" s="6"/>
      <c r="F265" s="29"/>
      <c r="G265" s="26"/>
      <c r="H265" s="26"/>
      <c r="I265" s="7"/>
      <c r="J265" s="8"/>
      <c r="K265" s="29"/>
      <c r="L265" s="28"/>
      <c r="M265" s="26"/>
      <c r="N265" s="8"/>
      <c r="O265" s="6"/>
      <c r="P265" s="29"/>
      <c r="Q265" s="28"/>
      <c r="R265" s="28"/>
    </row>
    <row r="266" spans="1:18">
      <c r="A266" s="2"/>
      <c r="B266" s="5"/>
      <c r="C266" s="66"/>
      <c r="D266" s="4"/>
      <c r="E266" s="9"/>
      <c r="F266" s="30"/>
      <c r="G266" s="27"/>
      <c r="H266" s="27"/>
      <c r="I266" s="9"/>
      <c r="J266" s="10"/>
      <c r="K266" s="30"/>
      <c r="L266" s="28"/>
      <c r="M266" s="28"/>
      <c r="N266" s="8"/>
      <c r="O266" s="6"/>
      <c r="P266" s="30"/>
      <c r="Q266" s="28"/>
      <c r="R266" s="28"/>
    </row>
    <row r="267" spans="1:18">
      <c r="A267" s="2"/>
      <c r="B267" s="11"/>
      <c r="C267" s="66"/>
      <c r="D267" s="12"/>
      <c r="E267" s="59"/>
      <c r="F267" s="13"/>
      <c r="G267" s="13" t="s">
        <v>20</v>
      </c>
      <c r="H267" s="25">
        <f>SUM(H257:H266)</f>
        <v>6348</v>
      </c>
      <c r="I267" s="703"/>
      <c r="J267" s="703"/>
      <c r="K267" s="14"/>
      <c r="L267" s="13" t="s">
        <v>21</v>
      </c>
      <c r="M267" s="25">
        <f>SUM(M257:M266)</f>
        <v>12493.793749999999</v>
      </c>
      <c r="N267" s="3"/>
      <c r="O267" s="14"/>
      <c r="P267" s="14"/>
      <c r="Q267" s="13" t="s">
        <v>22</v>
      </c>
      <c r="R267" s="25">
        <f>SUM(R257:R266)</f>
        <v>156.83199999999999</v>
      </c>
    </row>
    <row r="268" spans="1:18">
      <c r="A268" s="2"/>
      <c r="B268" s="16" t="s">
        <v>13</v>
      </c>
      <c r="C268" s="67"/>
      <c r="D268" s="14"/>
      <c r="E268" s="14"/>
      <c r="F268" s="14"/>
      <c r="G268" s="13"/>
      <c r="H268" s="35">
        <f>M267+R267+H267</f>
        <v>18998.625749999999</v>
      </c>
      <c r="I268" s="17"/>
      <c r="J268" s="14"/>
      <c r="K268" s="14"/>
      <c r="L268" s="13"/>
      <c r="M268" s="15"/>
      <c r="N268" s="14"/>
      <c r="O268" s="14"/>
      <c r="P268" s="14"/>
      <c r="Q268" s="14"/>
      <c r="R268" s="17"/>
    </row>
    <row r="269" spans="1:18">
      <c r="A269" s="2"/>
      <c r="B269" s="11" t="s">
        <v>25</v>
      </c>
      <c r="C269" s="68"/>
      <c r="D269" s="4"/>
      <c r="E269" s="4"/>
      <c r="F269" s="4"/>
      <c r="G269" s="18"/>
      <c r="H269" s="36">
        <v>0</v>
      </c>
      <c r="I269" s="20"/>
      <c r="J269" s="4" t="s">
        <v>26</v>
      </c>
      <c r="K269" s="4"/>
      <c r="L269" s="18"/>
      <c r="M269" s="19"/>
      <c r="N269" s="4"/>
      <c r="O269" s="4"/>
      <c r="P269" s="4"/>
      <c r="Q269" s="4"/>
      <c r="R269" s="20"/>
    </row>
    <row r="270" spans="1:18">
      <c r="A270" s="23"/>
      <c r="B270" s="11" t="s">
        <v>14</v>
      </c>
      <c r="C270" s="68"/>
      <c r="D270" s="4"/>
      <c r="E270" s="4"/>
      <c r="F270" s="4"/>
      <c r="G270" s="18"/>
      <c r="H270" s="36">
        <f>SUM(H268:H269)</f>
        <v>18998.625749999999</v>
      </c>
      <c r="I270" s="20"/>
      <c r="J270" s="704"/>
      <c r="K270" s="705"/>
      <c r="L270" s="705"/>
      <c r="M270" s="705"/>
      <c r="N270" s="705"/>
      <c r="O270" s="705"/>
      <c r="P270" s="705"/>
      <c r="Q270" s="705"/>
      <c r="R270" s="706"/>
    </row>
    <row r="271" spans="1:18">
      <c r="A271" s="23"/>
      <c r="B271" s="11" t="s">
        <v>24</v>
      </c>
      <c r="C271" s="68"/>
      <c r="D271" s="4"/>
      <c r="E271" s="4"/>
      <c r="F271" s="4"/>
      <c r="G271" s="18"/>
      <c r="H271" s="36">
        <f>H270*15%</f>
        <v>2849.7938624999997</v>
      </c>
      <c r="I271" s="20"/>
      <c r="J271" s="707"/>
      <c r="K271" s="708"/>
      <c r="L271" s="708"/>
      <c r="M271" s="708"/>
      <c r="N271" s="708"/>
      <c r="O271" s="708"/>
      <c r="P271" s="708"/>
      <c r="Q271" s="708"/>
      <c r="R271" s="709"/>
    </row>
    <row r="272" spans="1:18">
      <c r="A272" s="23"/>
      <c r="B272" s="11" t="s">
        <v>15</v>
      </c>
      <c r="C272" s="68"/>
      <c r="D272" s="4"/>
      <c r="E272" s="4"/>
      <c r="F272" s="4"/>
      <c r="G272" s="21" t="s">
        <v>16</v>
      </c>
      <c r="H272" s="37">
        <f>H271+H270</f>
        <v>21848.419612499998</v>
      </c>
      <c r="I272" s="38" t="str">
        <f>CONCATENATE("per ",C257)</f>
        <v>per cum</v>
      </c>
      <c r="J272" s="707"/>
      <c r="K272" s="708"/>
      <c r="L272" s="708"/>
      <c r="M272" s="708"/>
      <c r="N272" s="708"/>
      <c r="O272" s="708"/>
      <c r="P272" s="708"/>
      <c r="Q272" s="708"/>
      <c r="R272" s="709"/>
    </row>
    <row r="273" spans="1:18">
      <c r="A273" s="23"/>
      <c r="B273" s="11" t="s">
        <v>18</v>
      </c>
      <c r="C273" s="125" t="s">
        <v>19</v>
      </c>
      <c r="D273" s="4"/>
      <c r="E273" s="4"/>
      <c r="F273" s="4"/>
      <c r="G273" s="21" t="s">
        <v>16</v>
      </c>
      <c r="H273" s="37">
        <f>CEILING(H272,0.5)</f>
        <v>21848.5</v>
      </c>
      <c r="I273" s="38" t="str">
        <f>CONCATENATE("per ",C257)</f>
        <v>per cum</v>
      </c>
      <c r="J273" s="707"/>
      <c r="K273" s="708"/>
      <c r="L273" s="708"/>
      <c r="M273" s="708"/>
      <c r="N273" s="708"/>
      <c r="O273" s="708"/>
      <c r="P273" s="708"/>
      <c r="Q273" s="708"/>
      <c r="R273" s="709"/>
    </row>
    <row r="274" spans="1:18">
      <c r="A274" s="23"/>
      <c r="B274" s="11"/>
      <c r="C274" s="68"/>
      <c r="D274" s="4"/>
      <c r="E274" s="4"/>
      <c r="F274" s="4"/>
      <c r="G274" s="24" t="s">
        <v>17</v>
      </c>
      <c r="H274" s="37">
        <f>H273/exr</f>
        <v>168.0653846153846</v>
      </c>
      <c r="I274" s="38" t="str">
        <f>CONCATENATE("per ",C257)</f>
        <v>per cum</v>
      </c>
      <c r="J274" s="710"/>
      <c r="K274" s="711"/>
      <c r="L274" s="711"/>
      <c r="M274" s="711"/>
      <c r="N274" s="711"/>
      <c r="O274" s="711"/>
      <c r="P274" s="711"/>
      <c r="Q274" s="711"/>
      <c r="R274" s="712"/>
    </row>
    <row r="275" spans="1:18">
      <c r="A275" s="39"/>
      <c r="B275" s="40"/>
      <c r="C275" s="69"/>
      <c r="D275" s="41"/>
      <c r="E275" s="41"/>
      <c r="F275" s="41"/>
      <c r="G275" s="149" t="s">
        <v>460</v>
      </c>
      <c r="H275" s="150">
        <f>CEILING(SUM(M262,M263,R258,R259)/H268,0.0025)</f>
        <v>3.7499999999999999E-2</v>
      </c>
      <c r="I275" s="42"/>
      <c r="J275" s="43"/>
      <c r="K275" s="43"/>
      <c r="L275" s="43"/>
      <c r="M275" s="43"/>
      <c r="N275" s="43"/>
      <c r="O275" s="43"/>
      <c r="P275" s="43"/>
      <c r="Q275" s="43"/>
      <c r="R275" s="44"/>
    </row>
    <row r="277" spans="1:18">
      <c r="A277" s="693" t="s">
        <v>0</v>
      </c>
      <c r="B277" s="695" t="s">
        <v>1</v>
      </c>
      <c r="C277" s="695" t="s">
        <v>2</v>
      </c>
      <c r="D277" s="697" t="s">
        <v>3</v>
      </c>
      <c r="E277" s="698"/>
      <c r="F277" s="698"/>
      <c r="G277" s="698"/>
      <c r="H277" s="698"/>
      <c r="I277" s="699" t="s">
        <v>4</v>
      </c>
      <c r="J277" s="700"/>
      <c r="K277" s="700"/>
      <c r="L277" s="700"/>
      <c r="M277" s="700"/>
      <c r="N277" s="698" t="s">
        <v>5</v>
      </c>
      <c r="O277" s="698"/>
      <c r="P277" s="698"/>
      <c r="Q277" s="698"/>
      <c r="R277" s="698"/>
    </row>
    <row r="278" spans="1:18">
      <c r="A278" s="694"/>
      <c r="B278" s="696"/>
      <c r="C278" s="696"/>
      <c r="D278" s="45" t="s">
        <v>6</v>
      </c>
      <c r="E278" s="46" t="s">
        <v>2</v>
      </c>
      <c r="F278" s="46" t="s">
        <v>7</v>
      </c>
      <c r="G278" s="46" t="s">
        <v>8</v>
      </c>
      <c r="H278" s="46" t="s">
        <v>9</v>
      </c>
      <c r="I278" s="46" t="s">
        <v>10</v>
      </c>
      <c r="J278" s="46" t="s">
        <v>2</v>
      </c>
      <c r="K278" s="46" t="s">
        <v>7</v>
      </c>
      <c r="L278" s="46" t="s">
        <v>8</v>
      </c>
      <c r="M278" s="47" t="s">
        <v>9</v>
      </c>
      <c r="N278" s="46" t="s">
        <v>10</v>
      </c>
      <c r="O278" s="46" t="s">
        <v>2</v>
      </c>
      <c r="P278" s="46" t="s">
        <v>7</v>
      </c>
      <c r="Q278" s="46" t="s">
        <v>8</v>
      </c>
      <c r="R278" s="46" t="s">
        <v>9</v>
      </c>
    </row>
    <row r="279" spans="1:18">
      <c r="A279" s="33" t="s">
        <v>23</v>
      </c>
      <c r="B279" s="73" t="s">
        <v>563</v>
      </c>
      <c r="C279" s="65"/>
      <c r="D279" s="31"/>
      <c r="E279" s="31"/>
      <c r="F279" s="31"/>
      <c r="G279" s="31"/>
      <c r="H279" s="31"/>
      <c r="I279" s="31"/>
      <c r="J279" s="31"/>
      <c r="K279" s="31"/>
      <c r="L279" s="31"/>
      <c r="M279" s="31"/>
      <c r="N279" s="31"/>
      <c r="O279" s="31"/>
      <c r="P279" s="31"/>
      <c r="Q279" s="31"/>
      <c r="R279" s="32"/>
    </row>
    <row r="280" spans="1:18" ht="15.75" customHeight="1">
      <c r="A280" s="34">
        <f>A257+1</f>
        <v>12</v>
      </c>
      <c r="B280" s="713" t="s">
        <v>641</v>
      </c>
      <c r="C280" s="66" t="s">
        <v>11</v>
      </c>
      <c r="D280" s="4"/>
      <c r="E280" s="6"/>
      <c r="F280" s="29"/>
      <c r="G280" s="26"/>
      <c r="H280" s="26"/>
      <c r="I280" s="6"/>
      <c r="J280" s="6"/>
      <c r="K280" s="29"/>
      <c r="L280" s="26"/>
      <c r="M280" s="26"/>
      <c r="N280" s="6"/>
      <c r="O280" s="6"/>
      <c r="P280" s="29"/>
      <c r="Q280" s="26"/>
      <c r="R280" s="26"/>
    </row>
    <row r="281" spans="1:18">
      <c r="A281" s="2"/>
      <c r="B281" s="714"/>
      <c r="C281" s="66"/>
      <c r="D281" s="4" t="s">
        <v>251</v>
      </c>
      <c r="E281" s="6" t="s">
        <v>81</v>
      </c>
      <c r="F281" s="29">
        <v>0.8</v>
      </c>
      <c r="G281" s="26">
        <f>sr</f>
        <v>1100</v>
      </c>
      <c r="H281" s="26">
        <f>F281*G281</f>
        <v>880</v>
      </c>
      <c r="I281" s="7" t="s">
        <v>252</v>
      </c>
      <c r="J281" s="8" t="s">
        <v>32</v>
      </c>
      <c r="K281" s="29">
        <v>0.41499999999999998</v>
      </c>
      <c r="L281" s="28">
        <f>cement</f>
        <v>24049.69</v>
      </c>
      <c r="M281" s="26">
        <f>K281*L281</f>
        <v>9980.6213499999994</v>
      </c>
      <c r="N281" s="8"/>
      <c r="O281" s="6"/>
      <c r="P281" s="29"/>
      <c r="Q281" s="28"/>
      <c r="R281" s="26"/>
    </row>
    <row r="282" spans="1:18">
      <c r="A282" s="2"/>
      <c r="B282" s="714"/>
      <c r="C282" s="66"/>
      <c r="D282" s="4" t="s">
        <v>97</v>
      </c>
      <c r="E282" s="6" t="s">
        <v>81</v>
      </c>
      <c r="F282" s="29">
        <v>7</v>
      </c>
      <c r="G282" s="26">
        <f>ur</f>
        <v>850</v>
      </c>
      <c r="H282" s="26">
        <f>F282*G282</f>
        <v>5950</v>
      </c>
      <c r="I282" s="7" t="s">
        <v>258</v>
      </c>
      <c r="J282" s="8" t="s">
        <v>34</v>
      </c>
      <c r="K282" s="29">
        <v>0.57999999999999996</v>
      </c>
      <c r="L282" s="28">
        <f>Agg_20</f>
        <v>2700</v>
      </c>
      <c r="M282" s="26">
        <f>K282*L282</f>
        <v>1566</v>
      </c>
      <c r="N282" s="8" t="s">
        <v>257</v>
      </c>
      <c r="O282" s="6" t="s">
        <v>101</v>
      </c>
      <c r="P282" s="29">
        <v>0.25</v>
      </c>
      <c r="Q282" s="28">
        <f>vibrator_concrete</f>
        <v>108.16</v>
      </c>
      <c r="R282" s="26">
        <f>P282*Q282</f>
        <v>27.04</v>
      </c>
    </row>
    <row r="283" spans="1:18">
      <c r="A283" s="2"/>
      <c r="B283" s="714"/>
      <c r="C283" s="66"/>
      <c r="D283" s="4"/>
      <c r="E283" s="6"/>
      <c r="F283" s="29"/>
      <c r="G283" s="26"/>
      <c r="H283" s="26"/>
      <c r="I283" s="7" t="s">
        <v>259</v>
      </c>
      <c r="J283" s="8" t="s">
        <v>34</v>
      </c>
      <c r="K283" s="29">
        <v>0.3</v>
      </c>
      <c r="L283" s="28">
        <f>Agg_10</f>
        <v>2950</v>
      </c>
      <c r="M283" s="26">
        <f>K283*L283</f>
        <v>885</v>
      </c>
      <c r="N283" s="8"/>
      <c r="O283" s="6"/>
      <c r="P283" s="29"/>
      <c r="Q283" s="28"/>
      <c r="R283" s="28"/>
    </row>
    <row r="284" spans="1:18">
      <c r="A284" s="2"/>
      <c r="B284" s="714"/>
      <c r="C284" s="66"/>
      <c r="D284" s="4"/>
      <c r="E284" s="6"/>
      <c r="F284" s="29"/>
      <c r="G284" s="26"/>
      <c r="H284" s="26"/>
      <c r="I284" s="7" t="s">
        <v>254</v>
      </c>
      <c r="J284" s="8" t="s">
        <v>34</v>
      </c>
      <c r="K284" s="29">
        <v>0.45</v>
      </c>
      <c r="L284" s="28">
        <f>sand</f>
        <v>1050</v>
      </c>
      <c r="M284" s="26">
        <f>K284*L284</f>
        <v>472.5</v>
      </c>
      <c r="N284" s="8"/>
      <c r="O284" s="6"/>
      <c r="P284" s="29"/>
      <c r="Q284" s="28"/>
      <c r="R284" s="28"/>
    </row>
    <row r="285" spans="1:18">
      <c r="A285" s="2"/>
      <c r="B285" s="126"/>
      <c r="C285" s="66"/>
      <c r="D285" s="4"/>
      <c r="E285" s="6"/>
      <c r="F285" s="29"/>
      <c r="G285" s="26"/>
      <c r="H285" s="26"/>
      <c r="I285" s="7" t="s">
        <v>255</v>
      </c>
      <c r="J285" s="8" t="s">
        <v>250</v>
      </c>
      <c r="K285" s="29">
        <v>249</v>
      </c>
      <c r="L285" s="28"/>
      <c r="M285" s="26">
        <f>K285*L285</f>
        <v>0</v>
      </c>
      <c r="N285" s="8"/>
      <c r="O285" s="6"/>
      <c r="P285" s="29"/>
      <c r="Q285" s="28"/>
      <c r="R285" s="28"/>
    </row>
    <row r="286" spans="1:18">
      <c r="A286" s="2"/>
      <c r="B286" s="126"/>
      <c r="C286" s="66"/>
      <c r="D286" s="4"/>
      <c r="E286" s="6"/>
      <c r="F286" s="29"/>
      <c r="G286" s="26"/>
      <c r="H286" s="26"/>
      <c r="I286" s="7"/>
      <c r="J286" s="8"/>
      <c r="K286" s="29"/>
      <c r="L286" s="28"/>
      <c r="M286" s="26"/>
      <c r="N286" s="8"/>
      <c r="O286" s="6"/>
      <c r="P286" s="29"/>
      <c r="Q286" s="28"/>
      <c r="R286" s="28"/>
    </row>
    <row r="287" spans="1:18">
      <c r="A287" s="2"/>
      <c r="B287" s="126"/>
      <c r="C287" s="66"/>
      <c r="D287" s="4"/>
      <c r="E287" s="6"/>
      <c r="F287" s="29"/>
      <c r="G287" s="26"/>
      <c r="H287" s="26"/>
      <c r="I287" s="7"/>
      <c r="J287" s="8"/>
      <c r="K287" s="29"/>
      <c r="L287" s="28"/>
      <c r="M287" s="26"/>
      <c r="N287" s="8"/>
      <c r="O287" s="6"/>
      <c r="P287" s="29"/>
      <c r="Q287" s="28"/>
      <c r="R287" s="28"/>
    </row>
    <row r="288" spans="1:18">
      <c r="A288" s="2"/>
      <c r="B288" s="126"/>
      <c r="C288" s="66"/>
      <c r="D288" s="4"/>
      <c r="E288" s="6"/>
      <c r="F288" s="29"/>
      <c r="G288" s="26"/>
      <c r="H288" s="26"/>
      <c r="I288" s="7"/>
      <c r="J288" s="8"/>
      <c r="K288" s="29"/>
      <c r="L288" s="28"/>
      <c r="M288" s="26"/>
      <c r="N288" s="8"/>
      <c r="O288" s="6"/>
      <c r="P288" s="29"/>
      <c r="Q288" s="28"/>
      <c r="R288" s="28"/>
    </row>
    <row r="289" spans="1:18">
      <c r="A289" s="2"/>
      <c r="B289" s="5"/>
      <c r="C289" s="66"/>
      <c r="D289" s="4"/>
      <c r="E289" s="9"/>
      <c r="F289" s="30"/>
      <c r="G289" s="27"/>
      <c r="H289" s="27"/>
      <c r="I289" s="9"/>
      <c r="J289" s="10"/>
      <c r="K289" s="30"/>
      <c r="L289" s="28"/>
      <c r="M289" s="28"/>
      <c r="N289" s="8"/>
      <c r="O289" s="6"/>
      <c r="P289" s="30"/>
      <c r="Q289" s="28"/>
      <c r="R289" s="28"/>
    </row>
    <row r="290" spans="1:18">
      <c r="A290" s="2"/>
      <c r="B290" s="11"/>
      <c r="C290" s="66"/>
      <c r="D290" s="12"/>
      <c r="E290" s="59"/>
      <c r="F290" s="13"/>
      <c r="G290" s="13" t="s">
        <v>20</v>
      </c>
      <c r="H290" s="25">
        <f>SUM(H280:H289)</f>
        <v>6830</v>
      </c>
      <c r="I290" s="703"/>
      <c r="J290" s="703"/>
      <c r="K290" s="14"/>
      <c r="L290" s="13" t="s">
        <v>21</v>
      </c>
      <c r="M290" s="25">
        <f>SUM(M280:M289)</f>
        <v>12904.121349999999</v>
      </c>
      <c r="N290" s="3"/>
      <c r="O290" s="14"/>
      <c r="P290" s="14"/>
      <c r="Q290" s="13" t="s">
        <v>22</v>
      </c>
      <c r="R290" s="25">
        <f>SUM(R280:R289)</f>
        <v>27.04</v>
      </c>
    </row>
    <row r="291" spans="1:18">
      <c r="A291" s="2"/>
      <c r="B291" s="16" t="s">
        <v>13</v>
      </c>
      <c r="C291" s="67"/>
      <c r="D291" s="14"/>
      <c r="E291" s="14"/>
      <c r="F291" s="14"/>
      <c r="G291" s="13"/>
      <c r="H291" s="35">
        <f>M290+R290+H290</f>
        <v>19761.161350000002</v>
      </c>
      <c r="I291" s="17"/>
      <c r="J291" s="14"/>
      <c r="K291" s="14"/>
      <c r="L291" s="13"/>
      <c r="M291" s="15"/>
      <c r="N291" s="14"/>
      <c r="O291" s="14"/>
      <c r="P291" s="14"/>
      <c r="Q291" s="14"/>
      <c r="R291" s="17"/>
    </row>
    <row r="292" spans="1:18">
      <c r="A292" s="2"/>
      <c r="B292" s="11" t="s">
        <v>25</v>
      </c>
      <c r="C292" s="68"/>
      <c r="D292" s="4"/>
      <c r="E292" s="4"/>
      <c r="F292" s="4"/>
      <c r="G292" s="18"/>
      <c r="H292" s="36">
        <v>0</v>
      </c>
      <c r="I292" s="20"/>
      <c r="J292" s="4" t="s">
        <v>26</v>
      </c>
      <c r="K292" s="4"/>
      <c r="L292" s="18"/>
      <c r="M292" s="19"/>
      <c r="N292" s="4"/>
      <c r="O292" s="4"/>
      <c r="P292" s="4"/>
      <c r="Q292" s="4"/>
      <c r="R292" s="20"/>
    </row>
    <row r="293" spans="1:18">
      <c r="A293" s="23"/>
      <c r="B293" s="11" t="s">
        <v>14</v>
      </c>
      <c r="C293" s="68"/>
      <c r="D293" s="4"/>
      <c r="E293" s="4"/>
      <c r="F293" s="4"/>
      <c r="G293" s="18"/>
      <c r="H293" s="36">
        <f>SUM(H291:H292)</f>
        <v>19761.161350000002</v>
      </c>
      <c r="I293" s="20"/>
      <c r="J293" s="704"/>
      <c r="K293" s="705"/>
      <c r="L293" s="705"/>
      <c r="M293" s="705"/>
      <c r="N293" s="705"/>
      <c r="O293" s="705"/>
      <c r="P293" s="705"/>
      <c r="Q293" s="705"/>
      <c r="R293" s="706"/>
    </row>
    <row r="294" spans="1:18">
      <c r="A294" s="23"/>
      <c r="B294" s="11" t="s">
        <v>24</v>
      </c>
      <c r="C294" s="68"/>
      <c r="D294" s="4"/>
      <c r="E294" s="4"/>
      <c r="F294" s="4"/>
      <c r="G294" s="18"/>
      <c r="H294" s="36">
        <f>H293*15%</f>
        <v>2964.1742025000003</v>
      </c>
      <c r="I294" s="20"/>
      <c r="J294" s="707"/>
      <c r="K294" s="708"/>
      <c r="L294" s="708"/>
      <c r="M294" s="708"/>
      <c r="N294" s="708"/>
      <c r="O294" s="708"/>
      <c r="P294" s="708"/>
      <c r="Q294" s="708"/>
      <c r="R294" s="709"/>
    </row>
    <row r="295" spans="1:18">
      <c r="A295" s="23"/>
      <c r="B295" s="11" t="s">
        <v>15</v>
      </c>
      <c r="C295" s="68"/>
      <c r="D295" s="4"/>
      <c r="E295" s="4"/>
      <c r="F295" s="4"/>
      <c r="G295" s="21" t="s">
        <v>16</v>
      </c>
      <c r="H295" s="37">
        <f>H294+H293</f>
        <v>22725.335552500001</v>
      </c>
      <c r="I295" s="38" t="str">
        <f>CONCATENATE("per ",C280)</f>
        <v>per cum</v>
      </c>
      <c r="J295" s="707"/>
      <c r="K295" s="708"/>
      <c r="L295" s="708"/>
      <c r="M295" s="708"/>
      <c r="N295" s="708"/>
      <c r="O295" s="708"/>
      <c r="P295" s="708"/>
      <c r="Q295" s="708"/>
      <c r="R295" s="709"/>
    </row>
    <row r="296" spans="1:18">
      <c r="A296" s="23"/>
      <c r="B296" s="11" t="s">
        <v>18</v>
      </c>
      <c r="C296" s="125" t="s">
        <v>19</v>
      </c>
      <c r="D296" s="4"/>
      <c r="E296" s="4"/>
      <c r="F296" s="4"/>
      <c r="G296" s="21" t="s">
        <v>16</v>
      </c>
      <c r="H296" s="37">
        <f>CEILING(H295,0.5)</f>
        <v>22725.5</v>
      </c>
      <c r="I296" s="38" t="str">
        <f>CONCATENATE("per ",C280)</f>
        <v>per cum</v>
      </c>
      <c r="J296" s="707"/>
      <c r="K296" s="708"/>
      <c r="L296" s="708"/>
      <c r="M296" s="708"/>
      <c r="N296" s="708"/>
      <c r="O296" s="708"/>
      <c r="P296" s="708"/>
      <c r="Q296" s="708"/>
      <c r="R296" s="709"/>
    </row>
    <row r="297" spans="1:18">
      <c r="A297" s="23"/>
      <c r="B297" s="11"/>
      <c r="C297" s="68"/>
      <c r="D297" s="4"/>
      <c r="E297" s="4"/>
      <c r="F297" s="4"/>
      <c r="G297" s="24" t="s">
        <v>17</v>
      </c>
      <c r="H297" s="37">
        <f>H296/exr</f>
        <v>174.81153846153848</v>
      </c>
      <c r="I297" s="38" t="str">
        <f>CONCATENATE("per ",C280)</f>
        <v>per cum</v>
      </c>
      <c r="J297" s="710"/>
      <c r="K297" s="711"/>
      <c r="L297" s="711"/>
      <c r="M297" s="711"/>
      <c r="N297" s="711"/>
      <c r="O297" s="711"/>
      <c r="P297" s="711"/>
      <c r="Q297" s="711"/>
      <c r="R297" s="712"/>
    </row>
    <row r="298" spans="1:18">
      <c r="A298" s="39"/>
      <c r="B298" s="40"/>
      <c r="C298" s="69"/>
      <c r="D298" s="41"/>
      <c r="E298" s="41"/>
      <c r="F298" s="41"/>
      <c r="G298" s="149" t="s">
        <v>460</v>
      </c>
      <c r="H298" s="150">
        <f>CEILING(SUM(R282)/H291,0.0025)</f>
        <v>2.5000000000000001E-3</v>
      </c>
      <c r="I298" s="42"/>
      <c r="J298" s="43"/>
      <c r="K298" s="43"/>
      <c r="L298" s="43"/>
      <c r="M298" s="43"/>
      <c r="N298" s="43"/>
      <c r="O298" s="43"/>
      <c r="P298" s="43"/>
      <c r="Q298" s="43"/>
      <c r="R298" s="44"/>
    </row>
    <row r="300" spans="1:18">
      <c r="A300" s="693" t="s">
        <v>0</v>
      </c>
      <c r="B300" s="695" t="s">
        <v>1</v>
      </c>
      <c r="C300" s="695" t="s">
        <v>2</v>
      </c>
      <c r="D300" s="697" t="s">
        <v>3</v>
      </c>
      <c r="E300" s="698"/>
      <c r="F300" s="698"/>
      <c r="G300" s="698"/>
      <c r="H300" s="698"/>
      <c r="I300" s="699" t="s">
        <v>4</v>
      </c>
      <c r="J300" s="700"/>
      <c r="K300" s="700"/>
      <c r="L300" s="700"/>
      <c r="M300" s="700"/>
      <c r="N300" s="698" t="s">
        <v>5</v>
      </c>
      <c r="O300" s="698"/>
      <c r="P300" s="698"/>
      <c r="Q300" s="698"/>
      <c r="R300" s="698"/>
    </row>
    <row r="301" spans="1:18">
      <c r="A301" s="694"/>
      <c r="B301" s="696"/>
      <c r="C301" s="696"/>
      <c r="D301" s="45" t="s">
        <v>6</v>
      </c>
      <c r="E301" s="46" t="s">
        <v>2</v>
      </c>
      <c r="F301" s="46" t="s">
        <v>7</v>
      </c>
      <c r="G301" s="46" t="s">
        <v>8</v>
      </c>
      <c r="H301" s="46" t="s">
        <v>9</v>
      </c>
      <c r="I301" s="46" t="s">
        <v>10</v>
      </c>
      <c r="J301" s="46" t="s">
        <v>2</v>
      </c>
      <c r="K301" s="46" t="s">
        <v>7</v>
      </c>
      <c r="L301" s="46" t="s">
        <v>8</v>
      </c>
      <c r="M301" s="47" t="s">
        <v>9</v>
      </c>
      <c r="N301" s="46" t="s">
        <v>10</v>
      </c>
      <c r="O301" s="46" t="s">
        <v>2</v>
      </c>
      <c r="P301" s="46" t="s">
        <v>7</v>
      </c>
      <c r="Q301" s="46" t="s">
        <v>8</v>
      </c>
      <c r="R301" s="46" t="s">
        <v>9</v>
      </c>
    </row>
    <row r="302" spans="1:18">
      <c r="A302" s="33" t="s">
        <v>23</v>
      </c>
      <c r="B302" s="73"/>
      <c r="C302" s="65"/>
      <c r="D302" s="31"/>
      <c r="E302" s="31"/>
      <c r="F302" s="31"/>
      <c r="G302" s="31"/>
      <c r="H302" s="31"/>
      <c r="I302" s="31"/>
      <c r="J302" s="31"/>
      <c r="K302" s="31"/>
      <c r="L302" s="31"/>
      <c r="M302" s="31"/>
      <c r="N302" s="31"/>
      <c r="O302" s="31"/>
      <c r="P302" s="31"/>
      <c r="Q302" s="31"/>
      <c r="R302" s="32"/>
    </row>
    <row r="303" spans="1:18" ht="15.75" customHeight="1">
      <c r="A303" s="34">
        <f>A280+1</f>
        <v>13</v>
      </c>
      <c r="B303" s="765" t="s">
        <v>637</v>
      </c>
      <c r="C303" s="66" t="s">
        <v>11</v>
      </c>
      <c r="D303" s="4"/>
      <c r="E303" s="6"/>
      <c r="F303" s="29"/>
      <c r="G303" s="26"/>
      <c r="H303" s="26"/>
      <c r="I303" s="6"/>
      <c r="J303" s="6"/>
      <c r="K303" s="29"/>
      <c r="L303" s="26"/>
      <c r="M303" s="26"/>
      <c r="N303" s="6"/>
      <c r="O303" s="6"/>
      <c r="P303" s="29"/>
      <c r="Q303" s="26"/>
      <c r="R303" s="26"/>
    </row>
    <row r="304" spans="1:18">
      <c r="A304" s="2"/>
      <c r="B304" s="766"/>
      <c r="C304" s="66"/>
      <c r="D304" s="4" t="s">
        <v>251</v>
      </c>
      <c r="E304" s="6" t="s">
        <v>81</v>
      </c>
      <c r="F304" s="29">
        <v>0.9</v>
      </c>
      <c r="G304" s="26">
        <f>sr</f>
        <v>1100</v>
      </c>
      <c r="H304" s="26">
        <f>F304*G304</f>
        <v>990</v>
      </c>
      <c r="I304" s="7" t="s">
        <v>252</v>
      </c>
      <c r="J304" s="8" t="s">
        <v>32</v>
      </c>
      <c r="K304" s="29">
        <v>0.45</v>
      </c>
      <c r="L304" s="28">
        <f>cement</f>
        <v>24049.69</v>
      </c>
      <c r="M304" s="26">
        <f t="shared" ref="M304:M310" si="8">K304*L304</f>
        <v>10822.360499999999</v>
      </c>
      <c r="N304" s="8" t="s">
        <v>256</v>
      </c>
      <c r="O304" s="6" t="s">
        <v>101</v>
      </c>
      <c r="P304" s="29">
        <v>0.6</v>
      </c>
      <c r="Q304" s="28">
        <f>mixer</f>
        <v>216.32</v>
      </c>
      <c r="R304" s="26">
        <f>P304*Q304</f>
        <v>129.792</v>
      </c>
    </row>
    <row r="305" spans="1:18">
      <c r="A305" s="2"/>
      <c r="B305" s="766"/>
      <c r="C305" s="66"/>
      <c r="D305" s="4" t="s">
        <v>97</v>
      </c>
      <c r="E305" s="6" t="s">
        <v>81</v>
      </c>
      <c r="F305" s="29">
        <v>9</v>
      </c>
      <c r="G305" s="26">
        <f>ur</f>
        <v>850</v>
      </c>
      <c r="H305" s="26">
        <f>F305*G305</f>
        <v>7650</v>
      </c>
      <c r="I305" s="7" t="s">
        <v>258</v>
      </c>
      <c r="J305" s="8" t="s">
        <v>34</v>
      </c>
      <c r="K305" s="29">
        <v>0.56999999999999995</v>
      </c>
      <c r="L305" s="28">
        <f>Agg_20</f>
        <v>2700</v>
      </c>
      <c r="M305" s="26">
        <f t="shared" si="8"/>
        <v>1538.9999999999998</v>
      </c>
      <c r="N305" s="8" t="s">
        <v>257</v>
      </c>
      <c r="O305" s="6" t="s">
        <v>101</v>
      </c>
      <c r="P305" s="29">
        <v>0.25</v>
      </c>
      <c r="Q305" s="28">
        <f>vibrator_concrete</f>
        <v>108.16</v>
      </c>
      <c r="R305" s="26">
        <f>P305*Q305</f>
        <v>27.04</v>
      </c>
    </row>
    <row r="306" spans="1:18">
      <c r="A306" s="2"/>
      <c r="B306" s="766"/>
      <c r="C306" s="66"/>
      <c r="D306" s="4"/>
      <c r="E306" s="6"/>
      <c r="F306" s="29"/>
      <c r="G306" s="26"/>
      <c r="H306" s="26"/>
      <c r="I306" s="7" t="s">
        <v>259</v>
      </c>
      <c r="J306" s="8" t="s">
        <v>34</v>
      </c>
      <c r="K306" s="29">
        <v>0.33</v>
      </c>
      <c r="L306" s="28">
        <f>Agg_10</f>
        <v>2950</v>
      </c>
      <c r="M306" s="26">
        <f t="shared" si="8"/>
        <v>973.5</v>
      </c>
      <c r="N306" s="8"/>
      <c r="O306" s="6"/>
      <c r="P306" s="29"/>
      <c r="Q306" s="28"/>
      <c r="R306" s="28"/>
    </row>
    <row r="307" spans="1:18">
      <c r="A307" s="2"/>
      <c r="B307" s="766"/>
      <c r="C307" s="66"/>
      <c r="D307" s="4"/>
      <c r="E307" s="6"/>
      <c r="F307" s="29"/>
      <c r="G307" s="26"/>
      <c r="H307" s="26"/>
      <c r="I307" s="7" t="s">
        <v>254</v>
      </c>
      <c r="J307" s="8" t="s">
        <v>34</v>
      </c>
      <c r="K307" s="29">
        <v>0.44</v>
      </c>
      <c r="L307" s="28">
        <f>sand</f>
        <v>1050</v>
      </c>
      <c r="M307" s="26">
        <f t="shared" si="8"/>
        <v>462</v>
      </c>
      <c r="N307" s="8"/>
      <c r="O307" s="6"/>
      <c r="P307" s="29"/>
      <c r="Q307" s="28"/>
      <c r="R307" s="28"/>
    </row>
    <row r="308" spans="1:18">
      <c r="A308" s="2"/>
      <c r="B308" s="126"/>
      <c r="C308" s="66"/>
      <c r="D308" s="4"/>
      <c r="E308" s="6"/>
      <c r="F308" s="29"/>
      <c r="G308" s="26"/>
      <c r="H308" s="26"/>
      <c r="I308" s="7" t="s">
        <v>70</v>
      </c>
      <c r="J308" s="8" t="s">
        <v>250</v>
      </c>
      <c r="K308" s="29">
        <v>0.1</v>
      </c>
      <c r="L308" s="28">
        <f>petrol</f>
        <v>188.6</v>
      </c>
      <c r="M308" s="26">
        <f t="shared" si="8"/>
        <v>18.86</v>
      </c>
      <c r="N308" s="8"/>
      <c r="O308" s="6"/>
      <c r="P308" s="29"/>
      <c r="Q308" s="28"/>
      <c r="R308" s="28"/>
    </row>
    <row r="309" spans="1:18">
      <c r="A309" s="2"/>
      <c r="B309" s="126"/>
      <c r="C309" s="66"/>
      <c r="D309" s="4"/>
      <c r="E309" s="6"/>
      <c r="F309" s="29"/>
      <c r="G309" s="26"/>
      <c r="H309" s="26"/>
      <c r="I309" s="7" t="s">
        <v>67</v>
      </c>
      <c r="J309" s="8" t="s">
        <v>250</v>
      </c>
      <c r="K309" s="29">
        <v>3</v>
      </c>
      <c r="L309" s="28">
        <f>diesel</f>
        <v>177.6</v>
      </c>
      <c r="M309" s="26">
        <f t="shared" si="8"/>
        <v>532.79999999999995</v>
      </c>
      <c r="N309" s="8"/>
      <c r="O309" s="6"/>
      <c r="P309" s="29"/>
      <c r="Q309" s="28"/>
      <c r="R309" s="28"/>
    </row>
    <row r="310" spans="1:18">
      <c r="A310" s="2"/>
      <c r="B310" s="126"/>
      <c r="C310" s="66"/>
      <c r="D310" s="4"/>
      <c r="E310" s="6"/>
      <c r="F310" s="29"/>
      <c r="G310" s="26"/>
      <c r="H310" s="26"/>
      <c r="I310" s="7" t="s">
        <v>255</v>
      </c>
      <c r="J310" s="8" t="s">
        <v>250</v>
      </c>
      <c r="K310" s="29">
        <v>270</v>
      </c>
      <c r="L310" s="28"/>
      <c r="M310" s="26">
        <f t="shared" si="8"/>
        <v>0</v>
      </c>
      <c r="N310" s="8"/>
      <c r="O310" s="6"/>
      <c r="P310" s="29"/>
      <c r="Q310" s="28"/>
      <c r="R310" s="28"/>
    </row>
    <row r="311" spans="1:18">
      <c r="A311" s="2"/>
      <c r="B311" s="126"/>
      <c r="C311" s="66"/>
      <c r="D311" s="4"/>
      <c r="E311" s="6"/>
      <c r="F311" s="29"/>
      <c r="G311" s="26"/>
      <c r="H311" s="26"/>
      <c r="I311" s="7"/>
      <c r="J311" s="8"/>
      <c r="K311" s="29"/>
      <c r="L311" s="28"/>
      <c r="M311" s="26"/>
      <c r="N311" s="8"/>
      <c r="O311" s="6"/>
      <c r="P311" s="29"/>
      <c r="Q311" s="28"/>
      <c r="R311" s="28"/>
    </row>
    <row r="312" spans="1:18">
      <c r="A312" s="2"/>
      <c r="B312" s="5"/>
      <c r="C312" s="66"/>
      <c r="D312" s="4"/>
      <c r="E312" s="9"/>
      <c r="F312" s="30"/>
      <c r="G312" s="27"/>
      <c r="H312" s="27"/>
      <c r="I312" s="9"/>
      <c r="J312" s="10"/>
      <c r="K312" s="30"/>
      <c r="L312" s="28"/>
      <c r="M312" s="28"/>
      <c r="N312" s="8"/>
      <c r="O312" s="6"/>
      <c r="P312" s="30"/>
      <c r="Q312" s="28"/>
      <c r="R312" s="28"/>
    </row>
    <row r="313" spans="1:18">
      <c r="A313" s="2"/>
      <c r="B313" s="11"/>
      <c r="C313" s="66"/>
      <c r="D313" s="12"/>
      <c r="E313" s="59"/>
      <c r="F313" s="13"/>
      <c r="G313" s="13" t="s">
        <v>20</v>
      </c>
      <c r="H313" s="25">
        <f>SUM(H303:H312)</f>
        <v>8640</v>
      </c>
      <c r="I313" s="703"/>
      <c r="J313" s="703"/>
      <c r="K313" s="14"/>
      <c r="L313" s="13" t="s">
        <v>21</v>
      </c>
      <c r="M313" s="25">
        <f>SUM(M303:M312)</f>
        <v>14348.520499999999</v>
      </c>
      <c r="N313" s="3"/>
      <c r="O313" s="14"/>
      <c r="P313" s="14"/>
      <c r="Q313" s="13" t="s">
        <v>22</v>
      </c>
      <c r="R313" s="25">
        <f>SUM(R303:R312)</f>
        <v>156.83199999999999</v>
      </c>
    </row>
    <row r="314" spans="1:18">
      <c r="A314" s="2"/>
      <c r="B314" s="16" t="s">
        <v>13</v>
      </c>
      <c r="C314" s="67"/>
      <c r="D314" s="14"/>
      <c r="E314" s="14"/>
      <c r="F314" s="14"/>
      <c r="G314" s="13"/>
      <c r="H314" s="35">
        <f>M313+R313+H313</f>
        <v>23145.352500000001</v>
      </c>
      <c r="I314" s="17"/>
      <c r="J314" s="14"/>
      <c r="K314" s="14"/>
      <c r="L314" s="13"/>
      <c r="M314" s="15"/>
      <c r="N314" s="14"/>
      <c r="O314" s="14"/>
      <c r="P314" s="14"/>
      <c r="Q314" s="14"/>
      <c r="R314" s="17"/>
    </row>
    <row r="315" spans="1:18">
      <c r="A315" s="2"/>
      <c r="B315" s="11" t="s">
        <v>25</v>
      </c>
      <c r="C315" s="68"/>
      <c r="D315" s="4"/>
      <c r="E315" s="4"/>
      <c r="F315" s="4"/>
      <c r="G315" s="18"/>
      <c r="H315" s="36">
        <v>0</v>
      </c>
      <c r="I315" s="20"/>
      <c r="J315" s="4" t="s">
        <v>26</v>
      </c>
      <c r="K315" s="4"/>
      <c r="L315" s="18"/>
      <c r="M315" s="19"/>
      <c r="N315" s="4"/>
      <c r="O315" s="4"/>
      <c r="P315" s="4"/>
      <c r="Q315" s="4"/>
      <c r="R315" s="20"/>
    </row>
    <row r="316" spans="1:18">
      <c r="A316" s="23"/>
      <c r="B316" s="11" t="s">
        <v>14</v>
      </c>
      <c r="C316" s="68"/>
      <c r="D316" s="4"/>
      <c r="E316" s="4"/>
      <c r="F316" s="4"/>
      <c r="G316" s="18"/>
      <c r="H316" s="36">
        <f>SUM(H314:H315)</f>
        <v>23145.352500000001</v>
      </c>
      <c r="I316" s="20"/>
      <c r="J316" s="704"/>
      <c r="K316" s="705"/>
      <c r="L316" s="705"/>
      <c r="M316" s="705"/>
      <c r="N316" s="705"/>
      <c r="O316" s="705"/>
      <c r="P316" s="705"/>
      <c r="Q316" s="705"/>
      <c r="R316" s="706"/>
    </row>
    <row r="317" spans="1:18">
      <c r="A317" s="23"/>
      <c r="B317" s="11" t="s">
        <v>24</v>
      </c>
      <c r="C317" s="68"/>
      <c r="D317" s="4"/>
      <c r="E317" s="4"/>
      <c r="F317" s="4"/>
      <c r="G317" s="18"/>
      <c r="H317" s="36">
        <f>H316*15%</f>
        <v>3471.8028749999999</v>
      </c>
      <c r="I317" s="20"/>
      <c r="J317" s="707"/>
      <c r="K317" s="708"/>
      <c r="L317" s="708"/>
      <c r="M317" s="708"/>
      <c r="N317" s="708"/>
      <c r="O317" s="708"/>
      <c r="P317" s="708"/>
      <c r="Q317" s="708"/>
      <c r="R317" s="709"/>
    </row>
    <row r="318" spans="1:18">
      <c r="A318" s="23"/>
      <c r="B318" s="11" t="s">
        <v>15</v>
      </c>
      <c r="C318" s="68"/>
      <c r="D318" s="4"/>
      <c r="E318" s="4"/>
      <c r="F318" s="4"/>
      <c r="G318" s="21" t="s">
        <v>16</v>
      </c>
      <c r="H318" s="37">
        <f>H317+H316</f>
        <v>26617.155375000002</v>
      </c>
      <c r="I318" s="38" t="str">
        <f>CONCATENATE("per ",C303)</f>
        <v>per cum</v>
      </c>
      <c r="J318" s="707"/>
      <c r="K318" s="708"/>
      <c r="L318" s="708"/>
      <c r="M318" s="708"/>
      <c r="N318" s="708"/>
      <c r="O318" s="708"/>
      <c r="P318" s="708"/>
      <c r="Q318" s="708"/>
      <c r="R318" s="709"/>
    </row>
    <row r="319" spans="1:18">
      <c r="A319" s="23"/>
      <c r="B319" s="11" t="s">
        <v>18</v>
      </c>
      <c r="C319" s="125" t="s">
        <v>19</v>
      </c>
      <c r="D319" s="4"/>
      <c r="E319" s="4"/>
      <c r="F319" s="4"/>
      <c r="G319" s="21" t="s">
        <v>16</v>
      </c>
      <c r="H319" s="37">
        <f>CEILING(H318,0.5)</f>
        <v>26617.5</v>
      </c>
      <c r="I319" s="38" t="str">
        <f>CONCATENATE("per ",C303)</f>
        <v>per cum</v>
      </c>
      <c r="J319" s="707"/>
      <c r="K319" s="708"/>
      <c r="L319" s="708"/>
      <c r="M319" s="708"/>
      <c r="N319" s="708"/>
      <c r="O319" s="708"/>
      <c r="P319" s="708"/>
      <c r="Q319" s="708"/>
      <c r="R319" s="709"/>
    </row>
    <row r="320" spans="1:18">
      <c r="A320" s="23"/>
      <c r="B320" s="11"/>
      <c r="C320" s="68"/>
      <c r="D320" s="4"/>
      <c r="E320" s="4"/>
      <c r="F320" s="4"/>
      <c r="G320" s="24" t="s">
        <v>17</v>
      </c>
      <c r="H320" s="37">
        <f>H319/exr</f>
        <v>204.75</v>
      </c>
      <c r="I320" s="38" t="str">
        <f>CONCATENATE("per ",C303)</f>
        <v>per cum</v>
      </c>
      <c r="J320" s="710"/>
      <c r="K320" s="711"/>
      <c r="L320" s="711"/>
      <c r="M320" s="711"/>
      <c r="N320" s="711"/>
      <c r="O320" s="711"/>
      <c r="P320" s="711"/>
      <c r="Q320" s="711"/>
      <c r="R320" s="712"/>
    </row>
    <row r="321" spans="1:18">
      <c r="A321" s="39"/>
      <c r="B321" s="40"/>
      <c r="C321" s="69"/>
      <c r="D321" s="41"/>
      <c r="E321" s="41"/>
      <c r="F321" s="41"/>
      <c r="G321" s="149" t="s">
        <v>460</v>
      </c>
      <c r="H321" s="150">
        <f>CEILING(SUM(M308,M309,R304,R305)/H314,0.0025)</f>
        <v>3.2500000000000001E-2</v>
      </c>
      <c r="I321" s="42"/>
      <c r="J321" s="43"/>
      <c r="K321" s="43"/>
      <c r="L321" s="43"/>
      <c r="M321" s="43"/>
      <c r="N321" s="43"/>
      <c r="O321" s="43"/>
      <c r="P321" s="43"/>
      <c r="Q321" s="43"/>
      <c r="R321" s="44"/>
    </row>
    <row r="323" spans="1:18">
      <c r="A323" s="693" t="s">
        <v>0</v>
      </c>
      <c r="B323" s="695" t="s">
        <v>1</v>
      </c>
      <c r="C323" s="695" t="s">
        <v>2</v>
      </c>
      <c r="D323" s="697" t="s">
        <v>3</v>
      </c>
      <c r="E323" s="698"/>
      <c r="F323" s="698"/>
      <c r="G323" s="698"/>
      <c r="H323" s="698"/>
      <c r="I323" s="699" t="s">
        <v>4</v>
      </c>
      <c r="J323" s="700"/>
      <c r="K323" s="700"/>
      <c r="L323" s="700"/>
      <c r="M323" s="700"/>
      <c r="N323" s="698" t="s">
        <v>5</v>
      </c>
      <c r="O323" s="698"/>
      <c r="P323" s="698"/>
      <c r="Q323" s="698"/>
      <c r="R323" s="698"/>
    </row>
    <row r="324" spans="1:18">
      <c r="A324" s="694"/>
      <c r="B324" s="696"/>
      <c r="C324" s="696"/>
      <c r="D324" s="45" t="s">
        <v>6</v>
      </c>
      <c r="E324" s="46" t="s">
        <v>2</v>
      </c>
      <c r="F324" s="46" t="s">
        <v>7</v>
      </c>
      <c r="G324" s="46" t="s">
        <v>8</v>
      </c>
      <c r="H324" s="46" t="s">
        <v>9</v>
      </c>
      <c r="I324" s="46" t="s">
        <v>10</v>
      </c>
      <c r="J324" s="46" t="s">
        <v>2</v>
      </c>
      <c r="K324" s="46" t="s">
        <v>7</v>
      </c>
      <c r="L324" s="46" t="s">
        <v>8</v>
      </c>
      <c r="M324" s="47" t="s">
        <v>9</v>
      </c>
      <c r="N324" s="46" t="s">
        <v>10</v>
      </c>
      <c r="O324" s="46" t="s">
        <v>2</v>
      </c>
      <c r="P324" s="46" t="s">
        <v>7</v>
      </c>
      <c r="Q324" s="46" t="s">
        <v>8</v>
      </c>
      <c r="R324" s="46" t="s">
        <v>9</v>
      </c>
    </row>
    <row r="325" spans="1:18">
      <c r="A325" s="33" t="s">
        <v>23</v>
      </c>
      <c r="B325" s="73"/>
      <c r="C325" s="65"/>
      <c r="D325" s="31"/>
      <c r="E325" s="31"/>
      <c r="F325" s="31"/>
      <c r="G325" s="31"/>
      <c r="H325" s="31"/>
      <c r="I325" s="31"/>
      <c r="J325" s="31"/>
      <c r="K325" s="31"/>
      <c r="L325" s="31"/>
      <c r="M325" s="31"/>
      <c r="N325" s="31"/>
      <c r="O325" s="31"/>
      <c r="P325" s="31"/>
      <c r="Q325" s="31"/>
      <c r="R325" s="32"/>
    </row>
    <row r="326" spans="1:18" ht="15.75" customHeight="1">
      <c r="A326" s="34">
        <f>A303+1</f>
        <v>14</v>
      </c>
      <c r="B326" s="765" t="s">
        <v>638</v>
      </c>
      <c r="C326" s="66" t="s">
        <v>11</v>
      </c>
      <c r="D326" s="4"/>
      <c r="E326" s="6"/>
      <c r="F326" s="29"/>
      <c r="G326" s="26"/>
      <c r="H326" s="26"/>
      <c r="I326" s="6"/>
      <c r="J326" s="6"/>
      <c r="K326" s="29"/>
      <c r="L326" s="26"/>
      <c r="M326" s="26"/>
      <c r="N326" s="6"/>
      <c r="O326" s="6"/>
      <c r="P326" s="29"/>
      <c r="Q326" s="26"/>
      <c r="R326" s="26"/>
    </row>
    <row r="327" spans="1:18">
      <c r="A327" s="2"/>
      <c r="B327" s="766"/>
      <c r="C327" s="66"/>
      <c r="D327" s="4" t="s">
        <v>251</v>
      </c>
      <c r="E327" s="6" t="s">
        <v>81</v>
      </c>
      <c r="F327" s="29">
        <v>0.9</v>
      </c>
      <c r="G327" s="26">
        <f>sr</f>
        <v>1100</v>
      </c>
      <c r="H327" s="26">
        <f>F327*G327</f>
        <v>990</v>
      </c>
      <c r="I327" s="7" t="s">
        <v>252</v>
      </c>
      <c r="J327" s="8" t="s">
        <v>32</v>
      </c>
      <c r="K327" s="29">
        <v>0.495</v>
      </c>
      <c r="L327" s="28">
        <f>cement</f>
        <v>24049.69</v>
      </c>
      <c r="M327" s="26">
        <f>K327*L327</f>
        <v>11904.596549999998</v>
      </c>
      <c r="N327" s="8"/>
      <c r="O327" s="6"/>
      <c r="P327" s="29"/>
      <c r="Q327" s="28"/>
      <c r="R327" s="26"/>
    </row>
    <row r="328" spans="1:18">
      <c r="A328" s="2"/>
      <c r="B328" s="766"/>
      <c r="C328" s="66"/>
      <c r="D328" s="4" t="s">
        <v>97</v>
      </c>
      <c r="E328" s="6" t="s">
        <v>81</v>
      </c>
      <c r="F328" s="29">
        <v>9</v>
      </c>
      <c r="G328" s="26">
        <f>ur</f>
        <v>850</v>
      </c>
      <c r="H328" s="26">
        <f>F328*G328</f>
        <v>7650</v>
      </c>
      <c r="I328" s="7" t="s">
        <v>258</v>
      </c>
      <c r="J328" s="8" t="s">
        <v>34</v>
      </c>
      <c r="K328" s="29">
        <v>0.56999999999999995</v>
      </c>
      <c r="L328" s="28">
        <f>Agg_20</f>
        <v>2700</v>
      </c>
      <c r="M328" s="26">
        <f>K328*L328</f>
        <v>1538.9999999999998</v>
      </c>
      <c r="N328" s="8" t="s">
        <v>257</v>
      </c>
      <c r="O328" s="6" t="s">
        <v>101</v>
      </c>
      <c r="P328" s="29">
        <v>0.25</v>
      </c>
      <c r="Q328" s="28">
        <f>vibrator_concrete</f>
        <v>108.16</v>
      </c>
      <c r="R328" s="26">
        <f>P328*Q328</f>
        <v>27.04</v>
      </c>
    </row>
    <row r="329" spans="1:18">
      <c r="A329" s="2"/>
      <c r="B329" s="766"/>
      <c r="C329" s="66"/>
      <c r="D329" s="4"/>
      <c r="E329" s="6"/>
      <c r="F329" s="29"/>
      <c r="G329" s="26"/>
      <c r="H329" s="26"/>
      <c r="I329" s="7" t="s">
        <v>259</v>
      </c>
      <c r="J329" s="8" t="s">
        <v>34</v>
      </c>
      <c r="K329" s="29">
        <v>0.33</v>
      </c>
      <c r="L329" s="28">
        <f>Agg_10</f>
        <v>2950</v>
      </c>
      <c r="M329" s="26">
        <f>K329*L329</f>
        <v>973.5</v>
      </c>
      <c r="N329" s="8"/>
      <c r="O329" s="6"/>
      <c r="P329" s="29"/>
      <c r="Q329" s="28"/>
      <c r="R329" s="28"/>
    </row>
    <row r="330" spans="1:18">
      <c r="A330" s="2"/>
      <c r="B330" s="766"/>
      <c r="C330" s="66"/>
      <c r="D330" s="4"/>
      <c r="E330" s="6"/>
      <c r="F330" s="29"/>
      <c r="G330" s="26"/>
      <c r="H330" s="26"/>
      <c r="I330" s="7" t="s">
        <v>254</v>
      </c>
      <c r="J330" s="8" t="s">
        <v>34</v>
      </c>
      <c r="K330" s="29">
        <v>0.44</v>
      </c>
      <c r="L330" s="28">
        <f>sand</f>
        <v>1050</v>
      </c>
      <c r="M330" s="26">
        <f>K330*L330</f>
        <v>462</v>
      </c>
      <c r="N330" s="8"/>
      <c r="O330" s="6"/>
      <c r="P330" s="29"/>
      <c r="Q330" s="28"/>
      <c r="R330" s="28"/>
    </row>
    <row r="331" spans="1:18">
      <c r="A331" s="2"/>
      <c r="B331" s="126"/>
      <c r="C331" s="66"/>
      <c r="D331" s="4"/>
      <c r="E331" s="6"/>
      <c r="F331" s="29"/>
      <c r="G331" s="26"/>
      <c r="H331" s="26"/>
      <c r="I331" s="7" t="s">
        <v>255</v>
      </c>
      <c r="J331" s="8" t="s">
        <v>250</v>
      </c>
      <c r="K331" s="29">
        <v>297</v>
      </c>
      <c r="L331" s="28"/>
      <c r="M331" s="26">
        <f>K331*L331</f>
        <v>0</v>
      </c>
      <c r="N331" s="8"/>
      <c r="O331" s="6"/>
      <c r="P331" s="29"/>
      <c r="Q331" s="28"/>
      <c r="R331" s="28"/>
    </row>
    <row r="332" spans="1:18">
      <c r="A332" s="2"/>
      <c r="B332" s="126"/>
      <c r="C332" s="66"/>
      <c r="D332" s="4"/>
      <c r="E332" s="6"/>
      <c r="F332" s="29"/>
      <c r="G332" s="26"/>
      <c r="H332" s="26"/>
      <c r="I332" s="7"/>
      <c r="J332" s="8"/>
      <c r="K332" s="29"/>
      <c r="L332" s="28"/>
      <c r="M332" s="26"/>
      <c r="N332" s="8"/>
      <c r="O332" s="6"/>
      <c r="P332" s="29"/>
      <c r="Q332" s="28"/>
      <c r="R332" s="28"/>
    </row>
    <row r="333" spans="1:18">
      <c r="A333" s="2"/>
      <c r="B333" s="126"/>
      <c r="C333" s="66"/>
      <c r="D333" s="4"/>
      <c r="E333" s="6"/>
      <c r="F333" s="29"/>
      <c r="G333" s="26"/>
      <c r="H333" s="26"/>
      <c r="I333" s="7"/>
      <c r="J333" s="8"/>
      <c r="K333" s="29"/>
      <c r="L333" s="28"/>
      <c r="M333" s="26"/>
      <c r="N333" s="8"/>
      <c r="O333" s="6"/>
      <c r="P333" s="29"/>
      <c r="Q333" s="28"/>
      <c r="R333" s="28"/>
    </row>
    <row r="334" spans="1:18">
      <c r="A334" s="2"/>
      <c r="B334" s="126"/>
      <c r="C334" s="66"/>
      <c r="D334" s="4"/>
      <c r="E334" s="6"/>
      <c r="F334" s="29"/>
      <c r="G334" s="26"/>
      <c r="H334" s="26"/>
      <c r="I334" s="7"/>
      <c r="J334" s="8"/>
      <c r="K334" s="29"/>
      <c r="L334" s="28"/>
      <c r="M334" s="26"/>
      <c r="N334" s="8"/>
      <c r="O334" s="6"/>
      <c r="P334" s="29"/>
      <c r="Q334" s="28"/>
      <c r="R334" s="28"/>
    </row>
    <row r="335" spans="1:18">
      <c r="A335" s="2"/>
      <c r="B335" s="5"/>
      <c r="C335" s="66"/>
      <c r="D335" s="4"/>
      <c r="E335" s="9"/>
      <c r="F335" s="30"/>
      <c r="G335" s="27"/>
      <c r="H335" s="27"/>
      <c r="I335" s="9"/>
      <c r="J335" s="10"/>
      <c r="K335" s="30"/>
      <c r="L335" s="28"/>
      <c r="M335" s="28"/>
      <c r="N335" s="8"/>
      <c r="O335" s="6"/>
      <c r="P335" s="30"/>
      <c r="Q335" s="28"/>
      <c r="R335" s="28"/>
    </row>
    <row r="336" spans="1:18">
      <c r="A336" s="2"/>
      <c r="B336" s="11"/>
      <c r="C336" s="66"/>
      <c r="D336" s="12"/>
      <c r="E336" s="59"/>
      <c r="F336" s="13"/>
      <c r="G336" s="13" t="s">
        <v>20</v>
      </c>
      <c r="H336" s="25">
        <f>SUM(H326:H335)</f>
        <v>8640</v>
      </c>
      <c r="I336" s="703"/>
      <c r="J336" s="703"/>
      <c r="K336" s="14"/>
      <c r="L336" s="13" t="s">
        <v>21</v>
      </c>
      <c r="M336" s="25">
        <f>SUM(M326:M335)</f>
        <v>14879.096549999998</v>
      </c>
      <c r="N336" s="3"/>
      <c r="O336" s="14"/>
      <c r="P336" s="14"/>
      <c r="Q336" s="13" t="s">
        <v>22</v>
      </c>
      <c r="R336" s="25">
        <f>SUM(R326:R335)</f>
        <v>27.04</v>
      </c>
    </row>
    <row r="337" spans="1:18">
      <c r="A337" s="2"/>
      <c r="B337" s="16" t="s">
        <v>13</v>
      </c>
      <c r="C337" s="67"/>
      <c r="D337" s="14"/>
      <c r="E337" s="14"/>
      <c r="F337" s="14"/>
      <c r="G337" s="13"/>
      <c r="H337" s="35">
        <f>M336+R336+H336</f>
        <v>23546.136549999999</v>
      </c>
      <c r="I337" s="17"/>
      <c r="J337" s="14"/>
      <c r="K337" s="14"/>
      <c r="L337" s="13"/>
      <c r="M337" s="15"/>
      <c r="N337" s="14"/>
      <c r="O337" s="14"/>
      <c r="P337" s="14"/>
      <c r="Q337" s="14"/>
      <c r="R337" s="17"/>
    </row>
    <row r="338" spans="1:18">
      <c r="A338" s="2"/>
      <c r="B338" s="11" t="s">
        <v>25</v>
      </c>
      <c r="C338" s="68"/>
      <c r="D338" s="4"/>
      <c r="E338" s="4"/>
      <c r="F338" s="4"/>
      <c r="G338" s="18"/>
      <c r="H338" s="36">
        <v>0</v>
      </c>
      <c r="I338" s="20"/>
      <c r="J338" s="4" t="s">
        <v>26</v>
      </c>
      <c r="K338" s="4"/>
      <c r="L338" s="18"/>
      <c r="M338" s="19"/>
      <c r="N338" s="4"/>
      <c r="O338" s="4"/>
      <c r="P338" s="4"/>
      <c r="Q338" s="4"/>
      <c r="R338" s="20"/>
    </row>
    <row r="339" spans="1:18">
      <c r="A339" s="23"/>
      <c r="B339" s="11" t="s">
        <v>14</v>
      </c>
      <c r="C339" s="68"/>
      <c r="D339" s="4"/>
      <c r="E339" s="4"/>
      <c r="F339" s="4"/>
      <c r="G339" s="18"/>
      <c r="H339" s="36">
        <f>SUM(H337:H338)</f>
        <v>23546.136549999999</v>
      </c>
      <c r="I339" s="20"/>
      <c r="J339" s="704"/>
      <c r="K339" s="705"/>
      <c r="L339" s="705"/>
      <c r="M339" s="705"/>
      <c r="N339" s="705"/>
      <c r="O339" s="705"/>
      <c r="P339" s="705"/>
      <c r="Q339" s="705"/>
      <c r="R339" s="706"/>
    </row>
    <row r="340" spans="1:18">
      <c r="A340" s="23"/>
      <c r="B340" s="11" t="s">
        <v>24</v>
      </c>
      <c r="C340" s="68"/>
      <c r="D340" s="4"/>
      <c r="E340" s="4"/>
      <c r="F340" s="4"/>
      <c r="G340" s="18"/>
      <c r="H340" s="36">
        <f>H339*15%</f>
        <v>3531.9204824999997</v>
      </c>
      <c r="I340" s="20"/>
      <c r="J340" s="707"/>
      <c r="K340" s="708"/>
      <c r="L340" s="708"/>
      <c r="M340" s="708"/>
      <c r="N340" s="708"/>
      <c r="O340" s="708"/>
      <c r="P340" s="708"/>
      <c r="Q340" s="708"/>
      <c r="R340" s="709"/>
    </row>
    <row r="341" spans="1:18">
      <c r="A341" s="23"/>
      <c r="B341" s="11" t="s">
        <v>15</v>
      </c>
      <c r="C341" s="68"/>
      <c r="D341" s="4"/>
      <c r="E341" s="4"/>
      <c r="F341" s="4"/>
      <c r="G341" s="21" t="s">
        <v>16</v>
      </c>
      <c r="H341" s="37">
        <f>H340+H339</f>
        <v>27078.057032500001</v>
      </c>
      <c r="I341" s="38" t="str">
        <f>CONCATENATE("per ",C326)</f>
        <v>per cum</v>
      </c>
      <c r="J341" s="707"/>
      <c r="K341" s="708"/>
      <c r="L341" s="708"/>
      <c r="M341" s="708"/>
      <c r="N341" s="708"/>
      <c r="O341" s="708"/>
      <c r="P341" s="708"/>
      <c r="Q341" s="708"/>
      <c r="R341" s="709"/>
    </row>
    <row r="342" spans="1:18">
      <c r="A342" s="23"/>
      <c r="B342" s="11" t="s">
        <v>18</v>
      </c>
      <c r="C342" s="125" t="s">
        <v>19</v>
      </c>
      <c r="D342" s="4"/>
      <c r="E342" s="4"/>
      <c r="F342" s="4"/>
      <c r="G342" s="21" t="s">
        <v>16</v>
      </c>
      <c r="H342" s="37">
        <f>CEILING(H341,0.5)</f>
        <v>27078.5</v>
      </c>
      <c r="I342" s="38" t="str">
        <f>CONCATENATE("per ",C326)</f>
        <v>per cum</v>
      </c>
      <c r="J342" s="707"/>
      <c r="K342" s="708"/>
      <c r="L342" s="708"/>
      <c r="M342" s="708"/>
      <c r="N342" s="708"/>
      <c r="O342" s="708"/>
      <c r="P342" s="708"/>
      <c r="Q342" s="708"/>
      <c r="R342" s="709"/>
    </row>
    <row r="343" spans="1:18">
      <c r="A343" s="23"/>
      <c r="B343" s="11"/>
      <c r="C343" s="68"/>
      <c r="D343" s="4"/>
      <c r="E343" s="4"/>
      <c r="F343" s="4"/>
      <c r="G343" s="24" t="s">
        <v>17</v>
      </c>
      <c r="H343" s="37">
        <f>H342/exr</f>
        <v>208.29615384615386</v>
      </c>
      <c r="I343" s="38" t="str">
        <f>CONCATENATE("per ",C326)</f>
        <v>per cum</v>
      </c>
      <c r="J343" s="710"/>
      <c r="K343" s="711"/>
      <c r="L343" s="711"/>
      <c r="M343" s="711"/>
      <c r="N343" s="711"/>
      <c r="O343" s="711"/>
      <c r="P343" s="711"/>
      <c r="Q343" s="711"/>
      <c r="R343" s="712"/>
    </row>
    <row r="344" spans="1:18">
      <c r="A344" s="39"/>
      <c r="B344" s="40"/>
      <c r="C344" s="69"/>
      <c r="D344" s="41"/>
      <c r="E344" s="41"/>
      <c r="F344" s="41"/>
      <c r="G344" s="149" t="s">
        <v>460</v>
      </c>
      <c r="H344" s="150">
        <f>CEILING(SUM(R328)/H337,0.0025)</f>
        <v>2.5000000000000001E-3</v>
      </c>
      <c r="I344" s="42"/>
      <c r="J344" s="43"/>
      <c r="K344" s="43"/>
      <c r="L344" s="43"/>
      <c r="M344" s="43"/>
      <c r="N344" s="43"/>
      <c r="O344" s="43"/>
      <c r="P344" s="43"/>
      <c r="Q344" s="43"/>
      <c r="R344" s="44"/>
    </row>
    <row r="346" spans="1:18">
      <c r="A346" s="693" t="s">
        <v>0</v>
      </c>
      <c r="B346" s="695" t="s">
        <v>1</v>
      </c>
      <c r="C346" s="695" t="s">
        <v>2</v>
      </c>
      <c r="D346" s="697" t="s">
        <v>3</v>
      </c>
      <c r="E346" s="698"/>
      <c r="F346" s="698"/>
      <c r="G346" s="698"/>
      <c r="H346" s="698"/>
      <c r="I346" s="699" t="s">
        <v>4</v>
      </c>
      <c r="J346" s="700"/>
      <c r="K346" s="700"/>
      <c r="L346" s="700"/>
      <c r="M346" s="700"/>
      <c r="N346" s="698" t="s">
        <v>5</v>
      </c>
      <c r="O346" s="698"/>
      <c r="P346" s="698"/>
      <c r="Q346" s="698"/>
      <c r="R346" s="698"/>
    </row>
    <row r="347" spans="1:18">
      <c r="A347" s="694"/>
      <c r="B347" s="696"/>
      <c r="C347" s="696"/>
      <c r="D347" s="45" t="s">
        <v>6</v>
      </c>
      <c r="E347" s="46" t="s">
        <v>2</v>
      </c>
      <c r="F347" s="46" t="s">
        <v>7</v>
      </c>
      <c r="G347" s="46" t="s">
        <v>8</v>
      </c>
      <c r="H347" s="46" t="s">
        <v>9</v>
      </c>
      <c r="I347" s="46" t="s">
        <v>10</v>
      </c>
      <c r="J347" s="46" t="s">
        <v>2</v>
      </c>
      <c r="K347" s="46" t="s">
        <v>7</v>
      </c>
      <c r="L347" s="46" t="s">
        <v>8</v>
      </c>
      <c r="M347" s="47" t="s">
        <v>9</v>
      </c>
      <c r="N347" s="46" t="s">
        <v>10</v>
      </c>
      <c r="O347" s="46" t="s">
        <v>2</v>
      </c>
      <c r="P347" s="46" t="s">
        <v>7</v>
      </c>
      <c r="Q347" s="46" t="s">
        <v>8</v>
      </c>
      <c r="R347" s="46" t="s">
        <v>9</v>
      </c>
    </row>
    <row r="348" spans="1:18">
      <c r="A348" s="33" t="s">
        <v>23</v>
      </c>
      <c r="B348" s="73" t="s">
        <v>270</v>
      </c>
      <c r="C348" s="65"/>
      <c r="D348" s="31"/>
      <c r="E348" s="31"/>
      <c r="F348" s="31"/>
      <c r="G348" s="31"/>
      <c r="H348" s="31"/>
      <c r="I348" s="31"/>
      <c r="J348" s="31"/>
      <c r="K348" s="31"/>
      <c r="L348" s="31"/>
      <c r="M348" s="31"/>
      <c r="N348" s="31"/>
      <c r="O348" s="31"/>
      <c r="P348" s="31"/>
      <c r="Q348" s="31"/>
      <c r="R348" s="32"/>
    </row>
    <row r="349" spans="1:18">
      <c r="A349" s="34">
        <f>A326+1</f>
        <v>15</v>
      </c>
      <c r="B349" s="713" t="s">
        <v>639</v>
      </c>
      <c r="C349" s="66" t="s">
        <v>11</v>
      </c>
      <c r="D349" s="4"/>
      <c r="E349" s="6"/>
      <c r="F349" s="29"/>
      <c r="G349" s="26"/>
      <c r="H349" s="26"/>
      <c r="I349" s="6"/>
      <c r="J349" s="6"/>
      <c r="K349" s="29"/>
      <c r="L349" s="26"/>
      <c r="M349" s="26"/>
      <c r="N349" s="6"/>
      <c r="O349" s="6"/>
      <c r="P349" s="29"/>
      <c r="Q349" s="26"/>
      <c r="R349" s="26"/>
    </row>
    <row r="350" spans="1:18">
      <c r="A350" s="2"/>
      <c r="B350" s="714"/>
      <c r="C350" s="66"/>
      <c r="D350" s="4" t="s">
        <v>251</v>
      </c>
      <c r="E350" s="6" t="s">
        <v>81</v>
      </c>
      <c r="F350" s="29">
        <v>0.8</v>
      </c>
      <c r="G350" s="26">
        <f>sr</f>
        <v>1100</v>
      </c>
      <c r="H350" s="26">
        <f>F350*G350</f>
        <v>880</v>
      </c>
      <c r="I350" s="7" t="s">
        <v>252</v>
      </c>
      <c r="J350" s="8" t="s">
        <v>32</v>
      </c>
      <c r="K350" s="29">
        <v>0.45</v>
      </c>
      <c r="L350" s="28">
        <f>cement</f>
        <v>24049.69</v>
      </c>
      <c r="M350" s="26">
        <f t="shared" ref="M350:M356" si="9">K350*L350</f>
        <v>10822.360499999999</v>
      </c>
      <c r="N350" s="8" t="s">
        <v>256</v>
      </c>
      <c r="O350" s="6" t="s">
        <v>101</v>
      </c>
      <c r="P350" s="29">
        <v>0.6</v>
      </c>
      <c r="Q350" s="28">
        <f>mixer</f>
        <v>216.32</v>
      </c>
      <c r="R350" s="26">
        <f>P350*Q350</f>
        <v>129.792</v>
      </c>
    </row>
    <row r="351" spans="1:18">
      <c r="A351" s="2"/>
      <c r="B351" s="714"/>
      <c r="C351" s="66"/>
      <c r="D351" s="4" t="s">
        <v>97</v>
      </c>
      <c r="E351" s="6" t="s">
        <v>81</v>
      </c>
      <c r="F351" s="29">
        <v>6</v>
      </c>
      <c r="G351" s="26">
        <f>ur</f>
        <v>850</v>
      </c>
      <c r="H351" s="26">
        <f>F351*G351</f>
        <v>5100</v>
      </c>
      <c r="I351" s="7" t="s">
        <v>258</v>
      </c>
      <c r="J351" s="8" t="s">
        <v>34</v>
      </c>
      <c r="K351" s="29">
        <v>0.56999999999999995</v>
      </c>
      <c r="L351" s="28">
        <f>Agg_20</f>
        <v>2700</v>
      </c>
      <c r="M351" s="26">
        <f t="shared" si="9"/>
        <v>1538.9999999999998</v>
      </c>
      <c r="N351" s="8" t="s">
        <v>257</v>
      </c>
      <c r="O351" s="6" t="s">
        <v>101</v>
      </c>
      <c r="P351" s="29">
        <v>0.25</v>
      </c>
      <c r="Q351" s="28">
        <f>vibrator_concrete</f>
        <v>108.16</v>
      </c>
      <c r="R351" s="26">
        <f>P351*Q351</f>
        <v>27.04</v>
      </c>
    </row>
    <row r="352" spans="1:18">
      <c r="A352" s="2"/>
      <c r="B352" s="714"/>
      <c r="C352" s="66"/>
      <c r="D352" s="4"/>
      <c r="E352" s="6"/>
      <c r="F352" s="29"/>
      <c r="G352" s="26"/>
      <c r="H352" s="26"/>
      <c r="I352" s="7" t="s">
        <v>259</v>
      </c>
      <c r="J352" s="8" t="s">
        <v>34</v>
      </c>
      <c r="K352" s="29">
        <v>0.33</v>
      </c>
      <c r="L352" s="28">
        <f>Agg_10</f>
        <v>2950</v>
      </c>
      <c r="M352" s="26">
        <f t="shared" si="9"/>
        <v>973.5</v>
      </c>
      <c r="N352" s="8"/>
      <c r="O352" s="6"/>
      <c r="P352" s="29"/>
      <c r="Q352" s="28"/>
      <c r="R352" s="28"/>
    </row>
    <row r="353" spans="1:18">
      <c r="A353" s="2"/>
      <c r="B353" s="714"/>
      <c r="C353" s="66"/>
      <c r="D353" s="4"/>
      <c r="E353" s="6"/>
      <c r="F353" s="29"/>
      <c r="G353" s="26"/>
      <c r="H353" s="26"/>
      <c r="I353" s="7" t="s">
        <v>254</v>
      </c>
      <c r="J353" s="8" t="s">
        <v>34</v>
      </c>
      <c r="K353" s="29">
        <v>0.44</v>
      </c>
      <c r="L353" s="28">
        <f>sand</f>
        <v>1050</v>
      </c>
      <c r="M353" s="26">
        <f t="shared" si="9"/>
        <v>462</v>
      </c>
      <c r="N353" s="8"/>
      <c r="O353" s="6"/>
      <c r="P353" s="29"/>
      <c r="Q353" s="28"/>
      <c r="R353" s="28"/>
    </row>
    <row r="354" spans="1:18">
      <c r="A354" s="2"/>
      <c r="B354" s="126"/>
      <c r="C354" s="66"/>
      <c r="D354" s="4"/>
      <c r="E354" s="6"/>
      <c r="F354" s="29"/>
      <c r="G354" s="26"/>
      <c r="H354" s="26"/>
      <c r="I354" s="7" t="s">
        <v>70</v>
      </c>
      <c r="J354" s="8" t="s">
        <v>250</v>
      </c>
      <c r="K354" s="29">
        <v>0.1</v>
      </c>
      <c r="L354" s="28">
        <f>petrol</f>
        <v>188.6</v>
      </c>
      <c r="M354" s="26">
        <f t="shared" si="9"/>
        <v>18.86</v>
      </c>
      <c r="N354" s="8"/>
      <c r="O354" s="6"/>
      <c r="P354" s="29"/>
      <c r="Q354" s="28"/>
      <c r="R354" s="28"/>
    </row>
    <row r="355" spans="1:18">
      <c r="A355" s="2"/>
      <c r="B355" s="126"/>
      <c r="C355" s="66"/>
      <c r="D355" s="4"/>
      <c r="E355" s="6"/>
      <c r="F355" s="29"/>
      <c r="G355" s="26"/>
      <c r="H355" s="26"/>
      <c r="I355" s="7" t="s">
        <v>67</v>
      </c>
      <c r="J355" s="8" t="s">
        <v>250</v>
      </c>
      <c r="K355" s="29">
        <v>3</v>
      </c>
      <c r="L355" s="28">
        <f>diesel</f>
        <v>177.6</v>
      </c>
      <c r="M355" s="26">
        <f t="shared" si="9"/>
        <v>532.79999999999995</v>
      </c>
      <c r="N355" s="8"/>
      <c r="O355" s="6"/>
      <c r="P355" s="29"/>
      <c r="Q355" s="28"/>
      <c r="R355" s="28"/>
    </row>
    <row r="356" spans="1:18">
      <c r="A356" s="2"/>
      <c r="B356" s="126"/>
      <c r="C356" s="66"/>
      <c r="D356" s="4"/>
      <c r="E356" s="6"/>
      <c r="F356" s="29"/>
      <c r="G356" s="26"/>
      <c r="H356" s="26"/>
      <c r="I356" s="7" t="s">
        <v>255</v>
      </c>
      <c r="J356" s="8" t="s">
        <v>250</v>
      </c>
      <c r="K356" s="29">
        <v>270</v>
      </c>
      <c r="L356" s="28"/>
      <c r="M356" s="26">
        <f t="shared" si="9"/>
        <v>0</v>
      </c>
      <c r="N356" s="8"/>
      <c r="O356" s="6"/>
      <c r="P356" s="29"/>
      <c r="Q356" s="28"/>
      <c r="R356" s="28"/>
    </row>
    <row r="357" spans="1:18">
      <c r="A357" s="2"/>
      <c r="B357" s="126"/>
      <c r="C357" s="66"/>
      <c r="D357" s="4"/>
      <c r="E357" s="6"/>
      <c r="F357" s="29"/>
      <c r="G357" s="26"/>
      <c r="H357" s="26"/>
      <c r="I357" s="7"/>
      <c r="J357" s="8"/>
      <c r="K357" s="29"/>
      <c r="L357" s="28"/>
      <c r="M357" s="26"/>
      <c r="N357" s="8"/>
      <c r="O357" s="6"/>
      <c r="P357" s="29"/>
      <c r="Q357" s="28"/>
      <c r="R357" s="28"/>
    </row>
    <row r="358" spans="1:18">
      <c r="A358" s="2"/>
      <c r="B358" s="5"/>
      <c r="C358" s="66"/>
      <c r="D358" s="4"/>
      <c r="E358" s="9"/>
      <c r="F358" s="30"/>
      <c r="G358" s="27"/>
      <c r="H358" s="27"/>
      <c r="I358" s="9"/>
      <c r="J358" s="10"/>
      <c r="K358" s="30"/>
      <c r="L358" s="28"/>
      <c r="M358" s="28"/>
      <c r="N358" s="8"/>
      <c r="O358" s="6"/>
      <c r="P358" s="30"/>
      <c r="Q358" s="28"/>
      <c r="R358" s="28"/>
    </row>
    <row r="359" spans="1:18">
      <c r="A359" s="2"/>
      <c r="B359" s="11"/>
      <c r="C359" s="66"/>
      <c r="D359" s="12"/>
      <c r="E359" s="59"/>
      <c r="F359" s="13"/>
      <c r="G359" s="13" t="s">
        <v>20</v>
      </c>
      <c r="H359" s="25">
        <f>SUM(H349:H358)</f>
        <v>5980</v>
      </c>
      <c r="I359" s="703"/>
      <c r="J359" s="703"/>
      <c r="K359" s="14"/>
      <c r="L359" s="13" t="s">
        <v>21</v>
      </c>
      <c r="M359" s="25">
        <f>SUM(M349:M358)</f>
        <v>14348.520499999999</v>
      </c>
      <c r="N359" s="3"/>
      <c r="O359" s="14"/>
      <c r="P359" s="14"/>
      <c r="Q359" s="13" t="s">
        <v>22</v>
      </c>
      <c r="R359" s="25">
        <f>SUM(R349:R358)</f>
        <v>156.83199999999999</v>
      </c>
    </row>
    <row r="360" spans="1:18">
      <c r="A360" s="2"/>
      <c r="B360" s="16" t="s">
        <v>13</v>
      </c>
      <c r="C360" s="67"/>
      <c r="D360" s="14"/>
      <c r="E360" s="14"/>
      <c r="F360" s="14"/>
      <c r="G360" s="13"/>
      <c r="H360" s="35">
        <f>M359+R359+H359</f>
        <v>20485.352500000001</v>
      </c>
      <c r="I360" s="17"/>
      <c r="J360" s="14"/>
      <c r="K360" s="14"/>
      <c r="L360" s="13"/>
      <c r="M360" s="15"/>
      <c r="N360" s="14"/>
      <c r="O360" s="14"/>
      <c r="P360" s="14"/>
      <c r="Q360" s="14"/>
      <c r="R360" s="17"/>
    </row>
    <row r="361" spans="1:18">
      <c r="A361" s="2"/>
      <c r="B361" s="11" t="s">
        <v>25</v>
      </c>
      <c r="C361" s="68"/>
      <c r="D361" s="4"/>
      <c r="E361" s="4"/>
      <c r="F361" s="4"/>
      <c r="G361" s="18"/>
      <c r="H361" s="36">
        <v>0</v>
      </c>
      <c r="I361" s="20"/>
      <c r="J361" s="4" t="s">
        <v>26</v>
      </c>
      <c r="K361" s="4"/>
      <c r="L361" s="18"/>
      <c r="M361" s="19"/>
      <c r="N361" s="4"/>
      <c r="O361" s="4"/>
      <c r="P361" s="4"/>
      <c r="Q361" s="4"/>
      <c r="R361" s="20"/>
    </row>
    <row r="362" spans="1:18">
      <c r="A362" s="23"/>
      <c r="B362" s="11" t="s">
        <v>14</v>
      </c>
      <c r="C362" s="68"/>
      <c r="D362" s="4"/>
      <c r="E362" s="4"/>
      <c r="F362" s="4"/>
      <c r="G362" s="18"/>
      <c r="H362" s="36">
        <f>SUM(H360:H361)</f>
        <v>20485.352500000001</v>
      </c>
      <c r="I362" s="20"/>
      <c r="J362" s="704"/>
      <c r="K362" s="705"/>
      <c r="L362" s="705"/>
      <c r="M362" s="705"/>
      <c r="N362" s="705"/>
      <c r="O362" s="705"/>
      <c r="P362" s="705"/>
      <c r="Q362" s="705"/>
      <c r="R362" s="706"/>
    </row>
    <row r="363" spans="1:18">
      <c r="A363" s="23"/>
      <c r="B363" s="11" t="s">
        <v>24</v>
      </c>
      <c r="C363" s="68"/>
      <c r="D363" s="4"/>
      <c r="E363" s="4"/>
      <c r="F363" s="4"/>
      <c r="G363" s="18"/>
      <c r="H363" s="36">
        <f>H362*15%</f>
        <v>3072.8028749999999</v>
      </c>
      <c r="I363" s="20"/>
      <c r="J363" s="707"/>
      <c r="K363" s="708"/>
      <c r="L363" s="708"/>
      <c r="M363" s="708"/>
      <c r="N363" s="708"/>
      <c r="O363" s="708"/>
      <c r="P363" s="708"/>
      <c r="Q363" s="708"/>
      <c r="R363" s="709"/>
    </row>
    <row r="364" spans="1:18">
      <c r="A364" s="23"/>
      <c r="B364" s="11" t="s">
        <v>15</v>
      </c>
      <c r="C364" s="68"/>
      <c r="D364" s="4"/>
      <c r="E364" s="4"/>
      <c r="F364" s="4"/>
      <c r="G364" s="21" t="s">
        <v>16</v>
      </c>
      <c r="H364" s="37">
        <f>H363+H362</f>
        <v>23558.155375000002</v>
      </c>
      <c r="I364" s="38" t="str">
        <f>CONCATENATE("per ",C349)</f>
        <v>per cum</v>
      </c>
      <c r="J364" s="707"/>
      <c r="K364" s="708"/>
      <c r="L364" s="708"/>
      <c r="M364" s="708"/>
      <c r="N364" s="708"/>
      <c r="O364" s="708"/>
      <c r="P364" s="708"/>
      <c r="Q364" s="708"/>
      <c r="R364" s="709"/>
    </row>
    <row r="365" spans="1:18">
      <c r="A365" s="23"/>
      <c r="B365" s="11" t="s">
        <v>18</v>
      </c>
      <c r="C365" s="125" t="s">
        <v>19</v>
      </c>
      <c r="D365" s="4"/>
      <c r="E365" s="4"/>
      <c r="F365" s="4"/>
      <c r="G365" s="21" t="s">
        <v>16</v>
      </c>
      <c r="H365" s="37">
        <f>CEILING(H364,0.5)</f>
        <v>23558.5</v>
      </c>
      <c r="I365" s="38" t="str">
        <f>CONCATENATE("per ",C349)</f>
        <v>per cum</v>
      </c>
      <c r="J365" s="707"/>
      <c r="K365" s="708"/>
      <c r="L365" s="708"/>
      <c r="M365" s="708"/>
      <c r="N365" s="708"/>
      <c r="O365" s="708"/>
      <c r="P365" s="708"/>
      <c r="Q365" s="708"/>
      <c r="R365" s="709"/>
    </row>
    <row r="366" spans="1:18">
      <c r="A366" s="23"/>
      <c r="B366" s="11"/>
      <c r="C366" s="68"/>
      <c r="D366" s="4"/>
      <c r="E366" s="4"/>
      <c r="F366" s="4"/>
      <c r="G366" s="24" t="s">
        <v>17</v>
      </c>
      <c r="H366" s="37">
        <f>H365/exr</f>
        <v>181.21923076923076</v>
      </c>
      <c r="I366" s="38" t="str">
        <f>CONCATENATE("per ",C349)</f>
        <v>per cum</v>
      </c>
      <c r="J366" s="710"/>
      <c r="K366" s="711"/>
      <c r="L366" s="711"/>
      <c r="M366" s="711"/>
      <c r="N366" s="711"/>
      <c r="O366" s="711"/>
      <c r="P366" s="711"/>
      <c r="Q366" s="711"/>
      <c r="R366" s="712"/>
    </row>
    <row r="367" spans="1:18">
      <c r="A367" s="39"/>
      <c r="B367" s="40"/>
      <c r="C367" s="69"/>
      <c r="D367" s="41"/>
      <c r="E367" s="41"/>
      <c r="F367" s="41"/>
      <c r="G367" s="149" t="s">
        <v>460</v>
      </c>
      <c r="H367" s="150">
        <f>CEILING(SUM(M354,M355,R350,R351)/H360,0.0025)</f>
        <v>3.5000000000000003E-2</v>
      </c>
      <c r="I367" s="42"/>
      <c r="J367" s="43"/>
      <c r="K367" s="43"/>
      <c r="L367" s="43"/>
      <c r="M367" s="43"/>
      <c r="N367" s="43"/>
      <c r="O367" s="43"/>
      <c r="P367" s="43"/>
      <c r="Q367" s="43"/>
      <c r="R367" s="44"/>
    </row>
    <row r="369" spans="1:18">
      <c r="A369" s="693" t="s">
        <v>0</v>
      </c>
      <c r="B369" s="695" t="s">
        <v>1</v>
      </c>
      <c r="C369" s="695" t="s">
        <v>2</v>
      </c>
      <c r="D369" s="697" t="s">
        <v>3</v>
      </c>
      <c r="E369" s="698"/>
      <c r="F369" s="698"/>
      <c r="G369" s="698"/>
      <c r="H369" s="698"/>
      <c r="I369" s="699" t="s">
        <v>4</v>
      </c>
      <c r="J369" s="700"/>
      <c r="K369" s="700"/>
      <c r="L369" s="700"/>
      <c r="M369" s="700"/>
      <c r="N369" s="698" t="s">
        <v>5</v>
      </c>
      <c r="O369" s="698"/>
      <c r="P369" s="698"/>
      <c r="Q369" s="698"/>
      <c r="R369" s="698"/>
    </row>
    <row r="370" spans="1:18">
      <c r="A370" s="694"/>
      <c r="B370" s="696"/>
      <c r="C370" s="696"/>
      <c r="D370" s="45" t="s">
        <v>6</v>
      </c>
      <c r="E370" s="46" t="s">
        <v>2</v>
      </c>
      <c r="F370" s="46" t="s">
        <v>7</v>
      </c>
      <c r="G370" s="46" t="s">
        <v>8</v>
      </c>
      <c r="H370" s="46" t="s">
        <v>9</v>
      </c>
      <c r="I370" s="46" t="s">
        <v>10</v>
      </c>
      <c r="J370" s="46" t="s">
        <v>2</v>
      </c>
      <c r="K370" s="46" t="s">
        <v>7</v>
      </c>
      <c r="L370" s="46" t="s">
        <v>8</v>
      </c>
      <c r="M370" s="47" t="s">
        <v>9</v>
      </c>
      <c r="N370" s="46" t="s">
        <v>10</v>
      </c>
      <c r="O370" s="46" t="s">
        <v>2</v>
      </c>
      <c r="P370" s="46" t="s">
        <v>7</v>
      </c>
      <c r="Q370" s="46" t="s">
        <v>8</v>
      </c>
      <c r="R370" s="46" t="s">
        <v>9</v>
      </c>
    </row>
    <row r="371" spans="1:18">
      <c r="A371" s="33" t="s">
        <v>23</v>
      </c>
      <c r="B371" s="73" t="s">
        <v>271</v>
      </c>
      <c r="C371" s="65"/>
      <c r="D371" s="31"/>
      <c r="E371" s="31"/>
      <c r="F371" s="31"/>
      <c r="G371" s="31"/>
      <c r="H371" s="31"/>
      <c r="I371" s="31"/>
      <c r="J371" s="31"/>
      <c r="K371" s="31"/>
      <c r="L371" s="31"/>
      <c r="M371" s="31"/>
      <c r="N371" s="31"/>
      <c r="O371" s="31"/>
      <c r="P371" s="31"/>
      <c r="Q371" s="31"/>
      <c r="R371" s="32"/>
    </row>
    <row r="372" spans="1:18" ht="15.75" customHeight="1">
      <c r="A372" s="34">
        <f>A349+1</f>
        <v>16</v>
      </c>
      <c r="B372" s="713" t="s">
        <v>640</v>
      </c>
      <c r="C372" s="66" t="s">
        <v>11</v>
      </c>
      <c r="D372" s="4"/>
      <c r="E372" s="6"/>
      <c r="F372" s="29"/>
      <c r="G372" s="26"/>
      <c r="H372" s="26"/>
      <c r="I372" s="6"/>
      <c r="J372" s="6"/>
      <c r="K372" s="29"/>
      <c r="L372" s="26"/>
      <c r="M372" s="26"/>
      <c r="N372" s="6"/>
      <c r="O372" s="6"/>
      <c r="P372" s="29"/>
      <c r="Q372" s="26"/>
      <c r="R372" s="26"/>
    </row>
    <row r="373" spans="1:18">
      <c r="A373" s="2"/>
      <c r="B373" s="714"/>
      <c r="C373" s="66"/>
      <c r="D373" s="4" t="s">
        <v>251</v>
      </c>
      <c r="E373" s="6" t="s">
        <v>81</v>
      </c>
      <c r="F373" s="29">
        <v>0.8</v>
      </c>
      <c r="G373" s="26">
        <f>sr</f>
        <v>1100</v>
      </c>
      <c r="H373" s="26">
        <f>F373*G373</f>
        <v>880</v>
      </c>
      <c r="I373" s="7" t="s">
        <v>252</v>
      </c>
      <c r="J373" s="8" t="s">
        <v>32</v>
      </c>
      <c r="K373" s="29">
        <v>0.495</v>
      </c>
      <c r="L373" s="28">
        <f>cement</f>
        <v>24049.69</v>
      </c>
      <c r="M373" s="26">
        <f>K373*L373</f>
        <v>11904.596549999998</v>
      </c>
      <c r="N373" s="8"/>
      <c r="O373" s="6"/>
      <c r="P373" s="29"/>
      <c r="Q373" s="28"/>
      <c r="R373" s="26"/>
    </row>
    <row r="374" spans="1:18">
      <c r="A374" s="2"/>
      <c r="B374" s="714"/>
      <c r="C374" s="66"/>
      <c r="D374" s="4" t="s">
        <v>97</v>
      </c>
      <c r="E374" s="6" t="s">
        <v>81</v>
      </c>
      <c r="F374" s="29">
        <v>7</v>
      </c>
      <c r="G374" s="26">
        <f>ur</f>
        <v>850</v>
      </c>
      <c r="H374" s="26">
        <f>F374*G374</f>
        <v>5950</v>
      </c>
      <c r="I374" s="7" t="s">
        <v>258</v>
      </c>
      <c r="J374" s="8" t="s">
        <v>34</v>
      </c>
      <c r="K374" s="29">
        <v>0.56999999999999995</v>
      </c>
      <c r="L374" s="28">
        <f>Agg_20</f>
        <v>2700</v>
      </c>
      <c r="M374" s="26">
        <f>K374*L374</f>
        <v>1538.9999999999998</v>
      </c>
      <c r="N374" s="8" t="s">
        <v>257</v>
      </c>
      <c r="O374" s="6" t="s">
        <v>101</v>
      </c>
      <c r="P374" s="29">
        <v>0.25</v>
      </c>
      <c r="Q374" s="28">
        <f>vibrator_concrete</f>
        <v>108.16</v>
      </c>
      <c r="R374" s="26">
        <f>P374*Q374</f>
        <v>27.04</v>
      </c>
    </row>
    <row r="375" spans="1:18">
      <c r="A375" s="2"/>
      <c r="B375" s="714"/>
      <c r="C375" s="66"/>
      <c r="D375" s="4"/>
      <c r="E375" s="6"/>
      <c r="F375" s="29"/>
      <c r="G375" s="26"/>
      <c r="H375" s="26"/>
      <c r="I375" s="7" t="s">
        <v>259</v>
      </c>
      <c r="J375" s="8" t="s">
        <v>34</v>
      </c>
      <c r="K375" s="29">
        <v>0.33</v>
      </c>
      <c r="L375" s="28">
        <f>Agg_10</f>
        <v>2950</v>
      </c>
      <c r="M375" s="26">
        <f>K375*L375</f>
        <v>973.5</v>
      </c>
      <c r="N375" s="8"/>
      <c r="O375" s="6"/>
      <c r="P375" s="29"/>
      <c r="Q375" s="28"/>
      <c r="R375" s="28"/>
    </row>
    <row r="376" spans="1:18">
      <c r="A376" s="2"/>
      <c r="B376" s="714"/>
      <c r="C376" s="66"/>
      <c r="D376" s="4"/>
      <c r="E376" s="6"/>
      <c r="F376" s="29"/>
      <c r="G376" s="26"/>
      <c r="H376" s="26"/>
      <c r="I376" s="7" t="s">
        <v>254</v>
      </c>
      <c r="J376" s="8" t="s">
        <v>34</v>
      </c>
      <c r="K376" s="29">
        <v>0.44</v>
      </c>
      <c r="L376" s="28">
        <f>sand</f>
        <v>1050</v>
      </c>
      <c r="M376" s="26">
        <f>K376*L376</f>
        <v>462</v>
      </c>
      <c r="N376" s="8"/>
      <c r="O376" s="6"/>
      <c r="P376" s="29"/>
      <c r="Q376" s="28"/>
      <c r="R376" s="28"/>
    </row>
    <row r="377" spans="1:18">
      <c r="A377" s="2"/>
      <c r="B377" s="126"/>
      <c r="C377" s="66"/>
      <c r="D377" s="4"/>
      <c r="E377" s="6"/>
      <c r="F377" s="29"/>
      <c r="G377" s="26"/>
      <c r="H377" s="26"/>
      <c r="I377" s="7" t="s">
        <v>255</v>
      </c>
      <c r="J377" s="8" t="s">
        <v>250</v>
      </c>
      <c r="K377" s="29">
        <v>297</v>
      </c>
      <c r="L377" s="28"/>
      <c r="M377" s="26">
        <f>K377*L377</f>
        <v>0</v>
      </c>
      <c r="N377" s="8"/>
      <c r="O377" s="6"/>
      <c r="P377" s="29"/>
      <c r="Q377" s="28"/>
      <c r="R377" s="28"/>
    </row>
    <row r="378" spans="1:18">
      <c r="A378" s="2"/>
      <c r="B378" s="126"/>
      <c r="C378" s="66"/>
      <c r="D378" s="4"/>
      <c r="E378" s="6"/>
      <c r="F378" s="29"/>
      <c r="G378" s="26"/>
      <c r="H378" s="26"/>
      <c r="I378" s="7"/>
      <c r="J378" s="8"/>
      <c r="K378" s="29"/>
      <c r="L378" s="28"/>
      <c r="M378" s="26"/>
      <c r="N378" s="8"/>
      <c r="O378" s="6"/>
      <c r="P378" s="29"/>
      <c r="Q378" s="28"/>
      <c r="R378" s="28"/>
    </row>
    <row r="379" spans="1:18">
      <c r="A379" s="2"/>
      <c r="B379" s="126"/>
      <c r="C379" s="66"/>
      <c r="D379" s="4"/>
      <c r="E379" s="6"/>
      <c r="F379" s="29"/>
      <c r="G379" s="26"/>
      <c r="H379" s="26"/>
      <c r="I379" s="7"/>
      <c r="J379" s="8"/>
      <c r="K379" s="29"/>
      <c r="L379" s="28"/>
      <c r="M379" s="26"/>
      <c r="N379" s="8"/>
      <c r="O379" s="6"/>
      <c r="P379" s="29"/>
      <c r="Q379" s="28"/>
      <c r="R379" s="28"/>
    </row>
    <row r="380" spans="1:18">
      <c r="A380" s="2"/>
      <c r="B380" s="126"/>
      <c r="C380" s="66"/>
      <c r="D380" s="4"/>
      <c r="E380" s="6"/>
      <c r="F380" s="29"/>
      <c r="G380" s="26"/>
      <c r="H380" s="26"/>
      <c r="I380" s="7"/>
      <c r="J380" s="8"/>
      <c r="K380" s="29"/>
      <c r="L380" s="28"/>
      <c r="M380" s="26"/>
      <c r="N380" s="8"/>
      <c r="O380" s="6"/>
      <c r="P380" s="29"/>
      <c r="Q380" s="28"/>
      <c r="R380" s="28"/>
    </row>
    <row r="381" spans="1:18">
      <c r="A381" s="2"/>
      <c r="B381" s="5"/>
      <c r="C381" s="66"/>
      <c r="D381" s="4"/>
      <c r="E381" s="9"/>
      <c r="F381" s="30"/>
      <c r="G381" s="27"/>
      <c r="H381" s="27"/>
      <c r="I381" s="9"/>
      <c r="J381" s="10"/>
      <c r="K381" s="30"/>
      <c r="L381" s="28"/>
      <c r="M381" s="28"/>
      <c r="N381" s="8"/>
      <c r="O381" s="6"/>
      <c r="P381" s="30"/>
      <c r="Q381" s="28"/>
      <c r="R381" s="28"/>
    </row>
    <row r="382" spans="1:18">
      <c r="A382" s="2"/>
      <c r="B382" s="11"/>
      <c r="C382" s="66"/>
      <c r="D382" s="12"/>
      <c r="E382" s="59"/>
      <c r="F382" s="13"/>
      <c r="G382" s="13" t="s">
        <v>20</v>
      </c>
      <c r="H382" s="25">
        <f>SUM(H372:H381)</f>
        <v>6830</v>
      </c>
      <c r="I382" s="703"/>
      <c r="J382" s="703"/>
      <c r="K382" s="14"/>
      <c r="L382" s="13" t="s">
        <v>21</v>
      </c>
      <c r="M382" s="25">
        <f>SUM(M372:M381)</f>
        <v>14879.096549999998</v>
      </c>
      <c r="N382" s="3"/>
      <c r="O382" s="14"/>
      <c r="P382" s="14"/>
      <c r="Q382" s="13" t="s">
        <v>22</v>
      </c>
      <c r="R382" s="25">
        <f>SUM(R372:R381)</f>
        <v>27.04</v>
      </c>
    </row>
    <row r="383" spans="1:18">
      <c r="A383" s="2"/>
      <c r="B383" s="16" t="s">
        <v>13</v>
      </c>
      <c r="C383" s="67"/>
      <c r="D383" s="14"/>
      <c r="E383" s="14"/>
      <c r="F383" s="14"/>
      <c r="G383" s="13"/>
      <c r="H383" s="35">
        <f>M382+R382+H382</f>
        <v>21736.136549999999</v>
      </c>
      <c r="I383" s="17"/>
      <c r="J383" s="14"/>
      <c r="K383" s="14"/>
      <c r="L383" s="13"/>
      <c r="M383" s="15"/>
      <c r="N383" s="14"/>
      <c r="O383" s="14"/>
      <c r="P383" s="14"/>
      <c r="Q383" s="14"/>
      <c r="R383" s="17"/>
    </row>
    <row r="384" spans="1:18">
      <c r="A384" s="2"/>
      <c r="B384" s="11" t="s">
        <v>25</v>
      </c>
      <c r="C384" s="68"/>
      <c r="D384" s="4"/>
      <c r="E384" s="4"/>
      <c r="F384" s="4"/>
      <c r="G384" s="18"/>
      <c r="H384" s="36">
        <v>0</v>
      </c>
      <c r="I384" s="20"/>
      <c r="J384" s="4" t="s">
        <v>26</v>
      </c>
      <c r="K384" s="4"/>
      <c r="L384" s="18"/>
      <c r="M384" s="19"/>
      <c r="N384" s="4"/>
      <c r="O384" s="4"/>
      <c r="P384" s="4"/>
      <c r="Q384" s="4"/>
      <c r="R384" s="20"/>
    </row>
    <row r="385" spans="1:18">
      <c r="A385" s="23"/>
      <c r="B385" s="11" t="s">
        <v>14</v>
      </c>
      <c r="C385" s="68"/>
      <c r="D385" s="4"/>
      <c r="E385" s="4"/>
      <c r="F385" s="4"/>
      <c r="G385" s="18"/>
      <c r="H385" s="36">
        <f>SUM(H383:H384)</f>
        <v>21736.136549999999</v>
      </c>
      <c r="I385" s="20"/>
      <c r="J385" s="704"/>
      <c r="K385" s="705"/>
      <c r="L385" s="705"/>
      <c r="M385" s="705"/>
      <c r="N385" s="705"/>
      <c r="O385" s="705"/>
      <c r="P385" s="705"/>
      <c r="Q385" s="705"/>
      <c r="R385" s="706"/>
    </row>
    <row r="386" spans="1:18">
      <c r="A386" s="23"/>
      <c r="B386" s="11" t="s">
        <v>24</v>
      </c>
      <c r="C386" s="68"/>
      <c r="D386" s="4"/>
      <c r="E386" s="4"/>
      <c r="F386" s="4"/>
      <c r="G386" s="18"/>
      <c r="H386" s="36">
        <f>H385*15%</f>
        <v>3260.4204824999997</v>
      </c>
      <c r="I386" s="20"/>
      <c r="J386" s="707"/>
      <c r="K386" s="708"/>
      <c r="L386" s="708"/>
      <c r="M386" s="708"/>
      <c r="N386" s="708"/>
      <c r="O386" s="708"/>
      <c r="P386" s="708"/>
      <c r="Q386" s="708"/>
      <c r="R386" s="709"/>
    </row>
    <row r="387" spans="1:18">
      <c r="A387" s="23"/>
      <c r="B387" s="11" t="s">
        <v>15</v>
      </c>
      <c r="C387" s="68"/>
      <c r="D387" s="4"/>
      <c r="E387" s="4"/>
      <c r="F387" s="4"/>
      <c r="G387" s="21" t="s">
        <v>16</v>
      </c>
      <c r="H387" s="37">
        <f>H386+H385</f>
        <v>24996.557032500001</v>
      </c>
      <c r="I387" s="38" t="str">
        <f>CONCATENATE("per ",C372)</f>
        <v>per cum</v>
      </c>
      <c r="J387" s="707"/>
      <c r="K387" s="708"/>
      <c r="L387" s="708"/>
      <c r="M387" s="708"/>
      <c r="N387" s="708"/>
      <c r="O387" s="708"/>
      <c r="P387" s="708"/>
      <c r="Q387" s="708"/>
      <c r="R387" s="709"/>
    </row>
    <row r="388" spans="1:18">
      <c r="A388" s="23"/>
      <c r="B388" s="11" t="s">
        <v>18</v>
      </c>
      <c r="C388" s="125" t="s">
        <v>19</v>
      </c>
      <c r="D388" s="4"/>
      <c r="E388" s="4"/>
      <c r="F388" s="4"/>
      <c r="G388" s="21" t="s">
        <v>16</v>
      </c>
      <c r="H388" s="37">
        <f>CEILING(H387,0.5)</f>
        <v>24997</v>
      </c>
      <c r="I388" s="38" t="str">
        <f>CONCATENATE("per ",C372)</f>
        <v>per cum</v>
      </c>
      <c r="J388" s="707"/>
      <c r="K388" s="708"/>
      <c r="L388" s="708"/>
      <c r="M388" s="708"/>
      <c r="N388" s="708"/>
      <c r="O388" s="708"/>
      <c r="P388" s="708"/>
      <c r="Q388" s="708"/>
      <c r="R388" s="709"/>
    </row>
    <row r="389" spans="1:18">
      <c r="A389" s="23"/>
      <c r="B389" s="11"/>
      <c r="C389" s="68"/>
      <c r="D389" s="4"/>
      <c r="E389" s="4"/>
      <c r="F389" s="4"/>
      <c r="G389" s="24" t="s">
        <v>17</v>
      </c>
      <c r="H389" s="37">
        <f>H388/exr</f>
        <v>192.28461538461539</v>
      </c>
      <c r="I389" s="38" t="str">
        <f>CONCATENATE("per ",C372)</f>
        <v>per cum</v>
      </c>
      <c r="J389" s="710"/>
      <c r="K389" s="711"/>
      <c r="L389" s="711"/>
      <c r="M389" s="711"/>
      <c r="N389" s="711"/>
      <c r="O389" s="711"/>
      <c r="P389" s="711"/>
      <c r="Q389" s="711"/>
      <c r="R389" s="712"/>
    </row>
    <row r="390" spans="1:18">
      <c r="A390" s="39"/>
      <c r="B390" s="40"/>
      <c r="C390" s="69"/>
      <c r="D390" s="41"/>
      <c r="E390" s="41"/>
      <c r="F390" s="41"/>
      <c r="G390" s="149" t="s">
        <v>460</v>
      </c>
      <c r="H390" s="150">
        <f>CEILING(SUM(R374)/H383,0.0025)</f>
        <v>2.5000000000000001E-3</v>
      </c>
      <c r="I390" s="42"/>
      <c r="J390" s="43"/>
      <c r="K390" s="43"/>
      <c r="L390" s="43"/>
      <c r="M390" s="43"/>
      <c r="N390" s="43"/>
      <c r="O390" s="43"/>
      <c r="P390" s="43"/>
      <c r="Q390" s="43"/>
      <c r="R390" s="44"/>
    </row>
    <row r="392" spans="1:18">
      <c r="A392" s="1" t="s">
        <v>0</v>
      </c>
      <c r="B392" s="1" t="s">
        <v>1</v>
      </c>
      <c r="C392" s="71" t="s">
        <v>2</v>
      </c>
      <c r="D392" s="1" t="s">
        <v>3</v>
      </c>
      <c r="I392" s="1" t="s">
        <v>4</v>
      </c>
      <c r="N392" s="1" t="s">
        <v>5</v>
      </c>
    </row>
    <row r="393" spans="1:18">
      <c r="D393" s="1" t="s">
        <v>6</v>
      </c>
      <c r="E393" s="1" t="s">
        <v>2</v>
      </c>
      <c r="F393" s="1" t="s">
        <v>7</v>
      </c>
      <c r="G393" s="1" t="s">
        <v>8</v>
      </c>
      <c r="H393" s="1" t="s">
        <v>9</v>
      </c>
      <c r="I393" s="1" t="s">
        <v>10</v>
      </c>
      <c r="J393" s="1" t="s">
        <v>2</v>
      </c>
      <c r="K393" s="1" t="s">
        <v>7</v>
      </c>
      <c r="L393" s="1" t="s">
        <v>8</v>
      </c>
      <c r="M393" s="1" t="s">
        <v>9</v>
      </c>
      <c r="N393" s="1" t="s">
        <v>10</v>
      </c>
      <c r="O393" s="1" t="s">
        <v>2</v>
      </c>
      <c r="P393" s="1" t="s">
        <v>7</v>
      </c>
      <c r="Q393" s="1" t="s">
        <v>8</v>
      </c>
      <c r="R393" s="1" t="s">
        <v>9</v>
      </c>
    </row>
    <row r="394" spans="1:18">
      <c r="A394" s="1">
        <v>8</v>
      </c>
      <c r="B394" s="767" t="s">
        <v>927</v>
      </c>
      <c r="C394" s="71" t="s">
        <v>11</v>
      </c>
    </row>
    <row r="395" spans="1:18">
      <c r="B395" s="767"/>
      <c r="D395" s="1" t="s">
        <v>768</v>
      </c>
      <c r="E395" s="1" t="s">
        <v>766</v>
      </c>
      <c r="F395" s="1">
        <v>3</v>
      </c>
      <c r="G395" s="1">
        <v>630</v>
      </c>
      <c r="H395" s="1">
        <f>G395*F395</f>
        <v>1890</v>
      </c>
      <c r="I395" s="1" t="s">
        <v>31</v>
      </c>
      <c r="J395" s="1" t="s">
        <v>928</v>
      </c>
      <c r="K395" s="1">
        <v>0.16900000000000001</v>
      </c>
      <c r="L395" s="1">
        <f>L376</f>
        <v>1050</v>
      </c>
      <c r="M395" s="1">
        <f>K395*L395</f>
        <v>177.45000000000002</v>
      </c>
      <c r="N395" s="1" t="s">
        <v>378</v>
      </c>
      <c r="O395" s="1" t="s">
        <v>101</v>
      </c>
      <c r="P395" s="1">
        <v>0.5</v>
      </c>
      <c r="Q395" s="1">
        <f>Q271</f>
        <v>0</v>
      </c>
      <c r="R395" s="1">
        <f>P395*Q395</f>
        <v>0</v>
      </c>
    </row>
    <row r="396" spans="1:18">
      <c r="B396" s="767"/>
      <c r="D396" s="1" t="s">
        <v>747</v>
      </c>
      <c r="E396" s="1" t="s">
        <v>766</v>
      </c>
      <c r="F396" s="1">
        <v>0.3</v>
      </c>
      <c r="G396" s="1">
        <v>760</v>
      </c>
      <c r="H396" s="1">
        <f>F396*G396</f>
        <v>228</v>
      </c>
      <c r="I396" s="1" t="s">
        <v>929</v>
      </c>
      <c r="J396" s="1" t="s">
        <v>930</v>
      </c>
      <c r="K396" s="1">
        <v>0.44</v>
      </c>
      <c r="L396" s="1">
        <f>L377</f>
        <v>0</v>
      </c>
      <c r="M396" s="1">
        <f>K396*L396</f>
        <v>0</v>
      </c>
      <c r="N396" s="1" t="s">
        <v>257</v>
      </c>
      <c r="O396" s="1" t="s">
        <v>101</v>
      </c>
      <c r="P396" s="1">
        <v>0.1</v>
      </c>
      <c r="Q396" s="1">
        <f>Q272</f>
        <v>0</v>
      </c>
      <c r="R396" s="1">
        <f>P396*Q396</f>
        <v>0</v>
      </c>
    </row>
    <row r="397" spans="1:18">
      <c r="B397" s="767"/>
      <c r="I397" s="1" t="s">
        <v>399</v>
      </c>
    </row>
    <row r="398" spans="1:18">
      <c r="B398" s="767"/>
      <c r="I398" s="1" t="s">
        <v>931</v>
      </c>
      <c r="J398" s="1" t="s">
        <v>930</v>
      </c>
      <c r="K398" s="1">
        <v>0.34499999999999997</v>
      </c>
      <c r="L398" s="1">
        <f t="shared" ref="L398:L403" si="10">L379</f>
        <v>0</v>
      </c>
      <c r="M398" s="1">
        <f t="shared" ref="M398:M404" si="11">K398*L398</f>
        <v>0</v>
      </c>
    </row>
    <row r="399" spans="1:18">
      <c r="B399" s="767"/>
      <c r="I399" s="1" t="s">
        <v>932</v>
      </c>
      <c r="J399" s="1" t="s">
        <v>930</v>
      </c>
      <c r="K399" s="1">
        <v>0.156</v>
      </c>
      <c r="L399" s="1">
        <f t="shared" si="10"/>
        <v>0</v>
      </c>
      <c r="M399" s="1">
        <f t="shared" si="11"/>
        <v>0</v>
      </c>
    </row>
    <row r="400" spans="1:18">
      <c r="I400" s="1" t="s">
        <v>933</v>
      </c>
      <c r="J400" s="1" t="s">
        <v>930</v>
      </c>
      <c r="K400" s="1">
        <v>7.1999999999999995E-2</v>
      </c>
      <c r="L400" s="1">
        <f t="shared" si="10"/>
        <v>0</v>
      </c>
      <c r="M400" s="1">
        <f t="shared" si="11"/>
        <v>0</v>
      </c>
    </row>
    <row r="401" spans="1:18">
      <c r="I401" s="1" t="s">
        <v>254</v>
      </c>
      <c r="J401" s="1" t="s">
        <v>930</v>
      </c>
      <c r="K401" s="1">
        <v>0.29899999999999999</v>
      </c>
      <c r="L401" s="1" t="str">
        <f t="shared" si="10"/>
        <v>Total of B</v>
      </c>
      <c r="M401" s="1" t="e">
        <f t="shared" si="11"/>
        <v>#VALUE!</v>
      </c>
    </row>
    <row r="402" spans="1:18">
      <c r="I402" s="1" t="s">
        <v>70</v>
      </c>
      <c r="J402" s="1" t="s">
        <v>68</v>
      </c>
      <c r="K402" s="1">
        <v>0.1</v>
      </c>
      <c r="L402" s="1">
        <f t="shared" si="10"/>
        <v>0</v>
      </c>
      <c r="M402" s="1">
        <f t="shared" si="11"/>
        <v>0</v>
      </c>
    </row>
    <row r="403" spans="1:18">
      <c r="I403" s="1" t="s">
        <v>67</v>
      </c>
      <c r="J403" s="1" t="s">
        <v>68</v>
      </c>
      <c r="K403" s="1">
        <v>3</v>
      </c>
      <c r="L403" s="1">
        <f t="shared" si="10"/>
        <v>0</v>
      </c>
      <c r="M403" s="1">
        <f t="shared" si="11"/>
        <v>0</v>
      </c>
    </row>
    <row r="404" spans="1:18">
      <c r="I404" s="1" t="s">
        <v>255</v>
      </c>
      <c r="J404" s="1" t="s">
        <v>68</v>
      </c>
      <c r="K404" s="1">
        <v>132</v>
      </c>
      <c r="L404" s="1">
        <v>0.5</v>
      </c>
      <c r="M404" s="1">
        <f t="shared" si="11"/>
        <v>66</v>
      </c>
    </row>
    <row r="405" spans="1:18">
      <c r="F405" s="1" t="s">
        <v>780</v>
      </c>
      <c r="H405" s="1">
        <f>SUM(H394:H401)</f>
        <v>2118</v>
      </c>
      <c r="I405" s="1" t="s">
        <v>781</v>
      </c>
      <c r="M405" s="1" t="e">
        <f>SUM(M394:M404)</f>
        <v>#VALUE!</v>
      </c>
      <c r="P405" s="1" t="s">
        <v>782</v>
      </c>
      <c r="R405" s="1">
        <f>SUM(R394:R403)</f>
        <v>0</v>
      </c>
    </row>
    <row r="406" spans="1:18">
      <c r="B406" s="1" t="s">
        <v>13</v>
      </c>
      <c r="H406" s="1" t="e">
        <f>M405+R405+H405</f>
        <v>#VALUE!</v>
      </c>
    </row>
    <row r="407" spans="1:18">
      <c r="B407" s="1" t="s">
        <v>14</v>
      </c>
      <c r="H407" s="1" t="e">
        <f>SUM(H406:H406)*1.025</f>
        <v>#VALUE!</v>
      </c>
      <c r="I407" s="1" t="s">
        <v>934</v>
      </c>
    </row>
    <row r="408" spans="1:18">
      <c r="B408" s="1" t="s">
        <v>24</v>
      </c>
      <c r="H408" s="1" t="e">
        <f>H407*15%</f>
        <v>#VALUE!</v>
      </c>
    </row>
    <row r="409" spans="1:18">
      <c r="B409" s="1" t="s">
        <v>15</v>
      </c>
      <c r="G409" s="1" t="s">
        <v>16</v>
      </c>
      <c r="H409" s="1" t="e">
        <f>H408+H407</f>
        <v>#VALUE!</v>
      </c>
      <c r="I409" s="1" t="s">
        <v>17</v>
      </c>
      <c r="J409" s="1" t="e">
        <v>#VALUE!</v>
      </c>
      <c r="M409" s="1" t="s">
        <v>783</v>
      </c>
      <c r="N409" s="1" t="e">
        <f>ROUND(H409*100%,2)</f>
        <v>#VALUE!</v>
      </c>
      <c r="Q409" s="1" t="s">
        <v>784</v>
      </c>
      <c r="R409" s="1" t="e">
        <f>ROUND(H409-N409,2)</f>
        <v>#VALUE!</v>
      </c>
    </row>
    <row r="413" spans="1:18">
      <c r="A413" s="693" t="s">
        <v>0</v>
      </c>
      <c r="B413" s="695" t="s">
        <v>1</v>
      </c>
      <c r="C413" s="695" t="s">
        <v>2</v>
      </c>
      <c r="D413" s="697" t="s">
        <v>3</v>
      </c>
      <c r="E413" s="698"/>
      <c r="F413" s="698"/>
      <c r="G413" s="698"/>
      <c r="H413" s="698"/>
      <c r="I413" s="699" t="s">
        <v>4</v>
      </c>
      <c r="J413" s="700"/>
      <c r="K413" s="700"/>
      <c r="L413" s="700"/>
      <c r="M413" s="700"/>
      <c r="N413" s="698" t="s">
        <v>5</v>
      </c>
      <c r="O413" s="698"/>
      <c r="P413" s="698"/>
      <c r="Q413" s="698"/>
      <c r="R413" s="698"/>
    </row>
    <row r="414" spans="1:18">
      <c r="A414" s="694"/>
      <c r="B414" s="696"/>
      <c r="C414" s="696"/>
      <c r="D414" s="45" t="s">
        <v>6</v>
      </c>
      <c r="E414" s="46" t="s">
        <v>2</v>
      </c>
      <c r="F414" s="46" t="s">
        <v>7</v>
      </c>
      <c r="G414" s="46" t="s">
        <v>8</v>
      </c>
      <c r="H414" s="46" t="s">
        <v>9</v>
      </c>
      <c r="I414" s="46" t="s">
        <v>10</v>
      </c>
      <c r="J414" s="46" t="s">
        <v>2</v>
      </c>
      <c r="K414" s="46" t="s">
        <v>7</v>
      </c>
      <c r="L414" s="46" t="s">
        <v>8</v>
      </c>
      <c r="M414" s="47" t="s">
        <v>9</v>
      </c>
      <c r="N414" s="46" t="s">
        <v>10</v>
      </c>
      <c r="O414" s="46" t="s">
        <v>2</v>
      </c>
      <c r="P414" s="46" t="s">
        <v>7</v>
      </c>
      <c r="Q414" s="46" t="s">
        <v>8</v>
      </c>
      <c r="R414" s="46" t="s">
        <v>9</v>
      </c>
    </row>
    <row r="415" spans="1:18">
      <c r="A415" s="33" t="s">
        <v>23</v>
      </c>
      <c r="B415" s="73"/>
      <c r="C415" s="65"/>
      <c r="D415" s="31"/>
      <c r="E415" s="31"/>
      <c r="F415" s="31"/>
      <c r="G415" s="31"/>
      <c r="H415" s="31"/>
      <c r="I415" s="31"/>
      <c r="J415" s="31"/>
      <c r="K415" s="31"/>
      <c r="L415" s="31"/>
      <c r="M415" s="31"/>
      <c r="N415" s="31"/>
      <c r="O415" s="31"/>
      <c r="P415" s="31"/>
      <c r="Q415" s="31"/>
      <c r="R415" s="32"/>
    </row>
    <row r="416" spans="1:18">
      <c r="A416" s="34">
        <f>A372+1</f>
        <v>17</v>
      </c>
      <c r="B416" s="713" t="s">
        <v>927</v>
      </c>
      <c r="C416" s="66" t="s">
        <v>11</v>
      </c>
      <c r="D416" s="4"/>
      <c r="E416" s="6"/>
      <c r="F416" s="29"/>
      <c r="G416" s="26"/>
      <c r="H416" s="26"/>
      <c r="I416" s="6"/>
      <c r="J416" s="6"/>
      <c r="K416" s="29"/>
      <c r="L416" s="26"/>
      <c r="M416" s="26"/>
      <c r="N416" s="6"/>
      <c r="O416" s="6"/>
      <c r="P416" s="29"/>
      <c r="Q416" s="26"/>
      <c r="R416" s="26"/>
    </row>
    <row r="417" spans="1:18">
      <c r="A417" s="2"/>
      <c r="B417" s="714"/>
      <c r="C417" s="66"/>
      <c r="D417" s="4" t="s">
        <v>251</v>
      </c>
      <c r="E417" s="6" t="s">
        <v>81</v>
      </c>
      <c r="F417" s="29">
        <v>0.3</v>
      </c>
      <c r="G417" s="26">
        <f>sr</f>
        <v>1100</v>
      </c>
      <c r="H417" s="26">
        <f>F417*G417</f>
        <v>330</v>
      </c>
      <c r="I417" s="7" t="s">
        <v>252</v>
      </c>
      <c r="J417" s="8" t="s">
        <v>32</v>
      </c>
      <c r="K417" s="29">
        <v>0.16900000000000001</v>
      </c>
      <c r="L417" s="28">
        <f>cement</f>
        <v>24049.69</v>
      </c>
      <c r="M417" s="26">
        <f>K417*L417</f>
        <v>4064.39761</v>
      </c>
      <c r="N417" s="8"/>
      <c r="O417" s="6"/>
      <c r="P417" s="29"/>
      <c r="Q417" s="28"/>
      <c r="R417" s="26"/>
    </row>
    <row r="418" spans="1:18">
      <c r="A418" s="2"/>
      <c r="B418" s="714"/>
      <c r="C418" s="66"/>
      <c r="D418" s="4" t="s">
        <v>97</v>
      </c>
      <c r="E418" s="6" t="s">
        <v>81</v>
      </c>
      <c r="F418" s="29">
        <v>3</v>
      </c>
      <c r="G418" s="26">
        <f>ur</f>
        <v>850</v>
      </c>
      <c r="H418" s="26">
        <f>F418*G418</f>
        <v>2550</v>
      </c>
      <c r="I418" s="7" t="s">
        <v>258</v>
      </c>
      <c r="J418" s="8" t="s">
        <v>34</v>
      </c>
      <c r="K418" s="29">
        <v>0.156</v>
      </c>
      <c r="L418" s="28">
        <f>Agg_20</f>
        <v>2700</v>
      </c>
      <c r="M418" s="26">
        <f t="shared" ref="M418:M425" si="12">K418*L418</f>
        <v>421.2</v>
      </c>
      <c r="N418" s="8" t="s">
        <v>257</v>
      </c>
      <c r="O418" s="6" t="s">
        <v>101</v>
      </c>
      <c r="P418" s="29">
        <v>0.4</v>
      </c>
      <c r="Q418" s="28">
        <f>vibrator_concrete</f>
        <v>108.16</v>
      </c>
      <c r="R418" s="26">
        <f>P418*Q418</f>
        <v>43.264000000000003</v>
      </c>
    </row>
    <row r="419" spans="1:18">
      <c r="A419" s="2"/>
      <c r="B419" s="714"/>
      <c r="C419" s="66"/>
      <c r="D419" s="4"/>
      <c r="E419" s="6"/>
      <c r="F419" s="29"/>
      <c r="G419" s="26"/>
      <c r="H419" s="26"/>
      <c r="I419" s="7" t="s">
        <v>259</v>
      </c>
      <c r="J419" s="8" t="s">
        <v>34</v>
      </c>
      <c r="K419" s="29">
        <v>7.1999999999999995E-2</v>
      </c>
      <c r="L419" s="28">
        <f>Agg_10</f>
        <v>2950</v>
      </c>
      <c r="M419" s="26">
        <f t="shared" si="12"/>
        <v>212.39999999999998</v>
      </c>
      <c r="N419" s="8" t="s">
        <v>378</v>
      </c>
      <c r="O419" s="6" t="s">
        <v>101</v>
      </c>
      <c r="P419" s="29">
        <v>0.5</v>
      </c>
      <c r="Q419" s="28">
        <f>mixer</f>
        <v>216.32</v>
      </c>
      <c r="R419" s="26">
        <f>P419*Q419</f>
        <v>108.16</v>
      </c>
    </row>
    <row r="420" spans="1:18">
      <c r="A420" s="2"/>
      <c r="B420" s="714"/>
      <c r="C420" s="66"/>
      <c r="D420" s="4"/>
      <c r="E420" s="6"/>
      <c r="F420" s="29"/>
      <c r="G420" s="26"/>
      <c r="H420" s="26"/>
      <c r="I420" s="7" t="s">
        <v>254</v>
      </c>
      <c r="J420" s="8" t="s">
        <v>34</v>
      </c>
      <c r="K420" s="29">
        <v>0.29899999999999999</v>
      </c>
      <c r="L420" s="28">
        <f>sand</f>
        <v>1050</v>
      </c>
      <c r="M420" s="26">
        <f t="shared" si="12"/>
        <v>313.95</v>
      </c>
      <c r="N420" s="8"/>
      <c r="O420" s="6"/>
      <c r="P420" s="29"/>
      <c r="Q420" s="28"/>
      <c r="R420" s="28"/>
    </row>
    <row r="421" spans="1:18">
      <c r="A421" s="2"/>
      <c r="B421" s="126"/>
      <c r="C421" s="66"/>
      <c r="D421" s="4"/>
      <c r="E421" s="6"/>
      <c r="F421" s="29"/>
      <c r="G421" s="26"/>
      <c r="H421" s="26"/>
      <c r="I421" s="7" t="s">
        <v>255</v>
      </c>
      <c r="J421" s="8" t="s">
        <v>250</v>
      </c>
      <c r="K421" s="29">
        <v>297</v>
      </c>
      <c r="L421" s="28"/>
      <c r="M421" s="26">
        <f t="shared" si="12"/>
        <v>0</v>
      </c>
      <c r="N421" s="8"/>
      <c r="O421" s="6"/>
      <c r="P421" s="29"/>
      <c r="Q421" s="28"/>
      <c r="R421" s="28"/>
    </row>
    <row r="422" spans="1:18">
      <c r="A422" s="2"/>
      <c r="B422" s="126"/>
      <c r="C422" s="66"/>
      <c r="D422" s="4"/>
      <c r="E422" s="6"/>
      <c r="F422" s="29"/>
      <c r="G422" s="26"/>
      <c r="H422" s="26"/>
      <c r="I422" s="7" t="s">
        <v>935</v>
      </c>
      <c r="J422" s="8" t="s">
        <v>34</v>
      </c>
      <c r="K422" s="29">
        <v>0.44</v>
      </c>
      <c r="L422" s="28">
        <f>Block_Stone</f>
        <v>1350</v>
      </c>
      <c r="M422" s="26">
        <f t="shared" si="12"/>
        <v>594</v>
      </c>
      <c r="N422" s="8"/>
      <c r="O422" s="6"/>
      <c r="P422" s="29"/>
      <c r="Q422" s="28"/>
      <c r="R422" s="28"/>
    </row>
    <row r="423" spans="1:18">
      <c r="A423" s="2"/>
      <c r="B423" s="126"/>
      <c r="C423" s="66"/>
      <c r="D423" s="4"/>
      <c r="E423" s="6"/>
      <c r="F423" s="29"/>
      <c r="G423" s="26"/>
      <c r="H423" s="26"/>
      <c r="I423" s="7" t="s">
        <v>70</v>
      </c>
      <c r="J423" s="8" t="s">
        <v>68</v>
      </c>
      <c r="K423" s="29">
        <v>0.1</v>
      </c>
      <c r="L423" s="28">
        <f>petrol</f>
        <v>188.6</v>
      </c>
      <c r="M423" s="26">
        <f t="shared" si="12"/>
        <v>18.86</v>
      </c>
      <c r="N423" s="8"/>
      <c r="O423" s="6"/>
      <c r="P423" s="29"/>
      <c r="Q423" s="28"/>
      <c r="R423" s="28"/>
    </row>
    <row r="424" spans="1:18">
      <c r="A424" s="2"/>
      <c r="B424" s="126"/>
      <c r="C424" s="66"/>
      <c r="D424" s="4"/>
      <c r="E424" s="6"/>
      <c r="F424" s="29"/>
      <c r="G424" s="26"/>
      <c r="H424" s="26"/>
      <c r="I424" s="7" t="s">
        <v>67</v>
      </c>
      <c r="J424" s="8" t="s">
        <v>68</v>
      </c>
      <c r="K424" s="29">
        <v>3</v>
      </c>
      <c r="L424" s="28">
        <f>diesel</f>
        <v>177.6</v>
      </c>
      <c r="M424" s="26">
        <f t="shared" si="12"/>
        <v>532.79999999999995</v>
      </c>
      <c r="N424" s="8"/>
      <c r="O424" s="6"/>
      <c r="P424" s="29"/>
      <c r="Q424" s="28"/>
      <c r="R424" s="28"/>
    </row>
    <row r="425" spans="1:18">
      <c r="A425" s="2"/>
      <c r="B425" s="126"/>
      <c r="C425" s="66"/>
      <c r="D425" s="4"/>
      <c r="E425" s="6"/>
      <c r="F425" s="29"/>
      <c r="G425" s="26"/>
      <c r="H425" s="26"/>
      <c r="I425" s="7" t="s">
        <v>936</v>
      </c>
      <c r="J425" s="8" t="s">
        <v>34</v>
      </c>
      <c r="K425" s="29">
        <v>0.34499999999999997</v>
      </c>
      <c r="L425" s="28">
        <f>Agg_40</f>
        <v>2450</v>
      </c>
      <c r="M425" s="26">
        <f t="shared" si="12"/>
        <v>845.24999999999989</v>
      </c>
      <c r="N425" s="8"/>
      <c r="O425" s="6"/>
      <c r="P425" s="29"/>
      <c r="Q425" s="28"/>
      <c r="R425" s="28"/>
    </row>
    <row r="426" spans="1:18">
      <c r="A426" s="2"/>
      <c r="B426" s="5"/>
      <c r="C426" s="66"/>
      <c r="D426" s="4"/>
      <c r="E426" s="9"/>
      <c r="F426" s="30"/>
      <c r="G426" s="27"/>
      <c r="H426" s="27"/>
      <c r="I426" s="9"/>
      <c r="J426" s="10"/>
      <c r="K426" s="30"/>
      <c r="L426" s="28"/>
      <c r="M426" s="28"/>
      <c r="N426" s="8"/>
      <c r="O426" s="6"/>
      <c r="P426" s="30"/>
      <c r="Q426" s="28"/>
      <c r="R426" s="28"/>
    </row>
    <row r="427" spans="1:18">
      <c r="A427" s="2"/>
      <c r="B427" s="11"/>
      <c r="C427" s="66"/>
      <c r="D427" s="12"/>
      <c r="E427" s="565"/>
      <c r="F427" s="13"/>
      <c r="G427" s="13" t="s">
        <v>20</v>
      </c>
      <c r="H427" s="25">
        <f>SUM(H416:H426)</f>
        <v>2880</v>
      </c>
      <c r="I427" s="703"/>
      <c r="J427" s="703"/>
      <c r="K427" s="14"/>
      <c r="L427" s="13" t="s">
        <v>21</v>
      </c>
      <c r="M427" s="25">
        <f>SUM(M416:M426)</f>
        <v>7002.8576099999991</v>
      </c>
      <c r="N427" s="3"/>
      <c r="O427" s="14"/>
      <c r="P427" s="14"/>
      <c r="Q427" s="13" t="s">
        <v>22</v>
      </c>
      <c r="R427" s="25">
        <f>SUM(R416:R426)</f>
        <v>151.42400000000001</v>
      </c>
    </row>
    <row r="428" spans="1:18">
      <c r="A428" s="2"/>
      <c r="B428" s="16" t="s">
        <v>13</v>
      </c>
      <c r="C428" s="67"/>
      <c r="D428" s="14"/>
      <c r="E428" s="14"/>
      <c r="F428" s="14"/>
      <c r="G428" s="13"/>
      <c r="H428" s="35">
        <f>M427+R427+H427</f>
        <v>10034.281609999998</v>
      </c>
      <c r="I428" s="17"/>
      <c r="J428" s="14"/>
      <c r="K428" s="14"/>
      <c r="L428" s="13"/>
      <c r="M428" s="15"/>
      <c r="N428" s="14"/>
      <c r="O428" s="14"/>
      <c r="P428" s="14"/>
      <c r="Q428" s="14"/>
      <c r="R428" s="17"/>
    </row>
    <row r="429" spans="1:18">
      <c r="A429" s="2"/>
      <c r="B429" s="11" t="s">
        <v>25</v>
      </c>
      <c r="C429" s="68"/>
      <c r="D429" s="4"/>
      <c r="E429" s="4"/>
      <c r="F429" s="4"/>
      <c r="G429" s="18"/>
      <c r="H429" s="36">
        <v>0</v>
      </c>
      <c r="I429" s="20"/>
      <c r="J429" s="4" t="s">
        <v>26</v>
      </c>
      <c r="K429" s="4"/>
      <c r="L429" s="18"/>
      <c r="M429" s="19"/>
      <c r="N429" s="4"/>
      <c r="O429" s="4"/>
      <c r="P429" s="4"/>
      <c r="Q429" s="4"/>
      <c r="R429" s="20"/>
    </row>
    <row r="430" spans="1:18">
      <c r="A430" s="23"/>
      <c r="B430" s="11" t="s">
        <v>14</v>
      </c>
      <c r="C430" s="68"/>
      <c r="D430" s="4"/>
      <c r="E430" s="4"/>
      <c r="F430" s="4"/>
      <c r="G430" s="18"/>
      <c r="H430" s="36">
        <f>SUM(H428:H429)</f>
        <v>10034.281609999998</v>
      </c>
      <c r="I430" s="20"/>
      <c r="J430" s="704"/>
      <c r="K430" s="705"/>
      <c r="L430" s="705"/>
      <c r="M430" s="705"/>
      <c r="N430" s="705"/>
      <c r="O430" s="705"/>
      <c r="P430" s="705"/>
      <c r="Q430" s="705"/>
      <c r="R430" s="706"/>
    </row>
    <row r="431" spans="1:18">
      <c r="A431" s="23"/>
      <c r="B431" s="11" t="s">
        <v>24</v>
      </c>
      <c r="C431" s="68"/>
      <c r="D431" s="4"/>
      <c r="E431" s="4"/>
      <c r="F431" s="4"/>
      <c r="G431" s="18"/>
      <c r="H431" s="36">
        <f>H430*15%</f>
        <v>1505.1422414999997</v>
      </c>
      <c r="I431" s="20"/>
      <c r="J431" s="707"/>
      <c r="K431" s="708"/>
      <c r="L431" s="708"/>
      <c r="M431" s="708"/>
      <c r="N431" s="708"/>
      <c r="O431" s="708"/>
      <c r="P431" s="708"/>
      <c r="Q431" s="708"/>
      <c r="R431" s="709"/>
    </row>
    <row r="432" spans="1:18">
      <c r="A432" s="23"/>
      <c r="B432" s="11" t="s">
        <v>15</v>
      </c>
      <c r="C432" s="68"/>
      <c r="D432" s="4"/>
      <c r="E432" s="4"/>
      <c r="F432" s="4"/>
      <c r="G432" s="21" t="s">
        <v>16</v>
      </c>
      <c r="H432" s="37">
        <f>H431+H430</f>
        <v>11539.423851499998</v>
      </c>
      <c r="I432" s="38" t="str">
        <f>CONCATENATE("per ",C416)</f>
        <v>per cum</v>
      </c>
      <c r="J432" s="707"/>
      <c r="K432" s="708"/>
      <c r="L432" s="708"/>
      <c r="M432" s="708"/>
      <c r="N432" s="708"/>
      <c r="O432" s="708"/>
      <c r="P432" s="708"/>
      <c r="Q432" s="708"/>
      <c r="R432" s="709"/>
    </row>
    <row r="433" spans="1:18">
      <c r="A433" s="23"/>
      <c r="B433" s="11" t="s">
        <v>18</v>
      </c>
      <c r="C433" s="125" t="s">
        <v>19</v>
      </c>
      <c r="D433" s="4"/>
      <c r="E433" s="4"/>
      <c r="F433" s="4"/>
      <c r="G433" s="21" t="s">
        <v>16</v>
      </c>
      <c r="H433" s="37">
        <f>CEILING(H432,0.5)</f>
        <v>11539.5</v>
      </c>
      <c r="I433" s="38" t="str">
        <f>CONCATENATE("per ",C416)</f>
        <v>per cum</v>
      </c>
      <c r="J433" s="707"/>
      <c r="K433" s="708"/>
      <c r="L433" s="708"/>
      <c r="M433" s="708"/>
      <c r="N433" s="708"/>
      <c r="O433" s="708"/>
      <c r="P433" s="708"/>
      <c r="Q433" s="708"/>
      <c r="R433" s="709"/>
    </row>
    <row r="434" spans="1:18">
      <c r="A434" s="23"/>
      <c r="B434" s="11"/>
      <c r="C434" s="68"/>
      <c r="D434" s="4"/>
      <c r="E434" s="4"/>
      <c r="F434" s="4"/>
      <c r="G434" s="24" t="s">
        <v>17</v>
      </c>
      <c r="H434" s="37">
        <f>H433/exr</f>
        <v>88.765384615384619</v>
      </c>
      <c r="I434" s="38" t="str">
        <f>CONCATENATE("per ",C416)</f>
        <v>per cum</v>
      </c>
      <c r="J434" s="710"/>
      <c r="K434" s="711"/>
      <c r="L434" s="711"/>
      <c r="M434" s="711"/>
      <c r="N434" s="711"/>
      <c r="O434" s="711"/>
      <c r="P434" s="711"/>
      <c r="Q434" s="711"/>
      <c r="R434" s="712"/>
    </row>
    <row r="435" spans="1:18">
      <c r="A435" s="39"/>
      <c r="B435" s="40"/>
      <c r="C435" s="69"/>
      <c r="D435" s="41"/>
      <c r="E435" s="41"/>
      <c r="F435" s="41"/>
      <c r="G435" s="149" t="s">
        <v>460</v>
      </c>
      <c r="H435" s="150">
        <f>CEILING(SUM(R418)/H428,0.0025)</f>
        <v>5.0000000000000001E-3</v>
      </c>
      <c r="I435" s="42"/>
      <c r="J435" s="43"/>
      <c r="K435" s="43"/>
      <c r="L435" s="43"/>
      <c r="M435" s="43"/>
      <c r="N435" s="43"/>
      <c r="O435" s="43"/>
      <c r="P435" s="43"/>
      <c r="Q435" s="43"/>
      <c r="R435" s="44"/>
    </row>
  </sheetData>
  <mergeCells count="163">
    <mergeCell ref="B394:B399"/>
    <mergeCell ref="A413:A414"/>
    <mergeCell ref="B413:B414"/>
    <mergeCell ref="C413:C414"/>
    <mergeCell ref="D413:H413"/>
    <mergeCell ref="I413:M413"/>
    <mergeCell ref="N413:R413"/>
    <mergeCell ref="B416:B420"/>
    <mergeCell ref="I427:J427"/>
    <mergeCell ref="J430:R434"/>
    <mergeCell ref="B96:B100"/>
    <mergeCell ref="I106:J106"/>
    <mergeCell ref="J109:R113"/>
    <mergeCell ref="B73:B77"/>
    <mergeCell ref="I83:J83"/>
    <mergeCell ref="J86:R90"/>
    <mergeCell ref="D70:H70"/>
    <mergeCell ref="I70:M70"/>
    <mergeCell ref="N70:R70"/>
    <mergeCell ref="B326:B330"/>
    <mergeCell ref="B303:B307"/>
    <mergeCell ref="I244:J244"/>
    <mergeCell ref="B234:B238"/>
    <mergeCell ref="I198:J198"/>
    <mergeCell ref="B188:B192"/>
    <mergeCell ref="B165:B169"/>
    <mergeCell ref="N162:R162"/>
    <mergeCell ref="I175:J175"/>
    <mergeCell ref="J178:R182"/>
    <mergeCell ref="N185:R185"/>
    <mergeCell ref="J201:R205"/>
    <mergeCell ref="D277:H277"/>
    <mergeCell ref="I277:M277"/>
    <mergeCell ref="A93:A94"/>
    <mergeCell ref="B93:B94"/>
    <mergeCell ref="C93:C94"/>
    <mergeCell ref="D93:H93"/>
    <mergeCell ref="I93:M93"/>
    <mergeCell ref="N93:R93"/>
    <mergeCell ref="B27:B31"/>
    <mergeCell ref="I37:J37"/>
    <mergeCell ref="J40:R44"/>
    <mergeCell ref="B50:B54"/>
    <mergeCell ref="A70:A71"/>
    <mergeCell ref="I60:J60"/>
    <mergeCell ref="J63:R67"/>
    <mergeCell ref="B70:B71"/>
    <mergeCell ref="C70:C71"/>
    <mergeCell ref="A24:A25"/>
    <mergeCell ref="B24:B25"/>
    <mergeCell ref="C24:C25"/>
    <mergeCell ref="D24:H24"/>
    <mergeCell ref="I24:M24"/>
    <mergeCell ref="N24:R24"/>
    <mergeCell ref="A47:A48"/>
    <mergeCell ref="B47:B48"/>
    <mergeCell ref="C47:C48"/>
    <mergeCell ref="D47:H47"/>
    <mergeCell ref="I47:M47"/>
    <mergeCell ref="N47:R47"/>
    <mergeCell ref="C323:C324"/>
    <mergeCell ref="D323:H323"/>
    <mergeCell ref="I323:M323"/>
    <mergeCell ref="A185:A186"/>
    <mergeCell ref="B185:B186"/>
    <mergeCell ref="C185:C186"/>
    <mergeCell ref="D185:H185"/>
    <mergeCell ref="I185:M185"/>
    <mergeCell ref="N231:R231"/>
    <mergeCell ref="N208:R208"/>
    <mergeCell ref="N323:R323"/>
    <mergeCell ref="J247:R251"/>
    <mergeCell ref="A300:A301"/>
    <mergeCell ref="B300:B301"/>
    <mergeCell ref="C300:C301"/>
    <mergeCell ref="D300:H300"/>
    <mergeCell ref="I300:M300"/>
    <mergeCell ref="N300:R300"/>
    <mergeCell ref="A254:A255"/>
    <mergeCell ref="B254:B255"/>
    <mergeCell ref="C254:C255"/>
    <mergeCell ref="D254:H254"/>
    <mergeCell ref="I254:M254"/>
    <mergeCell ref="N254:R254"/>
    <mergeCell ref="A162:A163"/>
    <mergeCell ref="B162:B163"/>
    <mergeCell ref="C162:C163"/>
    <mergeCell ref="D162:H162"/>
    <mergeCell ref="I162:M162"/>
    <mergeCell ref="A231:A232"/>
    <mergeCell ref="B231:B232"/>
    <mergeCell ref="C231:C232"/>
    <mergeCell ref="D231:H231"/>
    <mergeCell ref="I231:M231"/>
    <mergeCell ref="A208:A209"/>
    <mergeCell ref="B208:B209"/>
    <mergeCell ref="C208:C209"/>
    <mergeCell ref="D208:H208"/>
    <mergeCell ref="I208:M208"/>
    <mergeCell ref="B211:B215"/>
    <mergeCell ref="I221:J221"/>
    <mergeCell ref="J224:R228"/>
    <mergeCell ref="B257:B261"/>
    <mergeCell ref="I267:J267"/>
    <mergeCell ref="J270:R274"/>
    <mergeCell ref="J293:R297"/>
    <mergeCell ref="A277:A278"/>
    <mergeCell ref="B277:B278"/>
    <mergeCell ref="C277:C278"/>
    <mergeCell ref="N277:R277"/>
    <mergeCell ref="B280:B284"/>
    <mergeCell ref="I290:J290"/>
    <mergeCell ref="B142:B146"/>
    <mergeCell ref="I152:J152"/>
    <mergeCell ref="J155:R159"/>
    <mergeCell ref="N116:R116"/>
    <mergeCell ref="B119:B123"/>
    <mergeCell ref="I129:J129"/>
    <mergeCell ref="J132:R136"/>
    <mergeCell ref="J339:R343"/>
    <mergeCell ref="A139:A140"/>
    <mergeCell ref="B139:B140"/>
    <mergeCell ref="C139:C140"/>
    <mergeCell ref="D139:H139"/>
    <mergeCell ref="I139:M139"/>
    <mergeCell ref="N139:R139"/>
    <mergeCell ref="A116:A117"/>
    <mergeCell ref="B116:B117"/>
    <mergeCell ref="C116:C117"/>
    <mergeCell ref="D116:H116"/>
    <mergeCell ref="I116:M116"/>
    <mergeCell ref="I336:J336"/>
    <mergeCell ref="I313:J313"/>
    <mergeCell ref="J316:R320"/>
    <mergeCell ref="A323:A324"/>
    <mergeCell ref="B323:B324"/>
    <mergeCell ref="A346:A347"/>
    <mergeCell ref="B346:B347"/>
    <mergeCell ref="C346:C347"/>
    <mergeCell ref="D346:H346"/>
    <mergeCell ref="I346:M346"/>
    <mergeCell ref="N346:R346"/>
    <mergeCell ref="B349:B353"/>
    <mergeCell ref="I359:J359"/>
    <mergeCell ref="J362:R366"/>
    <mergeCell ref="A369:A370"/>
    <mergeCell ref="B369:B370"/>
    <mergeCell ref="C369:C370"/>
    <mergeCell ref="D369:H369"/>
    <mergeCell ref="I369:M369"/>
    <mergeCell ref="N369:R369"/>
    <mergeCell ref="B372:B376"/>
    <mergeCell ref="I382:J382"/>
    <mergeCell ref="J385:R389"/>
    <mergeCell ref="B4:B8"/>
    <mergeCell ref="I14:J14"/>
    <mergeCell ref="J17:R21"/>
    <mergeCell ref="A1:A2"/>
    <mergeCell ref="B1:B2"/>
    <mergeCell ref="C1:C2"/>
    <mergeCell ref="D1:H1"/>
    <mergeCell ref="I1:M1"/>
    <mergeCell ref="N1:R1"/>
  </mergeCells>
  <printOptions horizontalCentered="1"/>
  <pageMargins left="0.7" right="0.7" top="0.75" bottom="0.75" header="0.3" footer="0.3"/>
  <pageSetup paperSize="9" scale="66"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3" manualBreakCount="3">
    <brk id="161" max="16383" man="1"/>
    <brk id="206" max="16383" man="1"/>
    <brk id="25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90"/>
  <sheetViews>
    <sheetView workbookViewId="0">
      <selection sqref="A1:A2"/>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28515625" style="1" bestFit="1" customWidth="1"/>
    <col min="8" max="8" width="10.7109375" style="1" customWidth="1"/>
    <col min="9" max="9" width="18.42578125" style="1" customWidth="1"/>
    <col min="10" max="10" width="5.28515625" style="1" customWidth="1"/>
    <col min="11" max="11" width="9.28515625" style="1" bestFit="1" customWidth="1"/>
    <col min="12" max="12" width="9.42578125" style="1" bestFit="1" customWidth="1"/>
    <col min="13" max="13" width="10.7109375" style="1" customWidth="1"/>
    <col min="14" max="14" width="16.42578125" style="1" customWidth="1"/>
    <col min="15" max="15" width="5.28515625" style="1" customWidth="1"/>
    <col min="16" max="17" width="9.28515625" style="1" bestFit="1" customWidth="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c r="A3" s="33" t="s">
        <v>23</v>
      </c>
      <c r="B3" s="73" t="s">
        <v>815</v>
      </c>
      <c r="C3" s="65"/>
      <c r="D3" s="31"/>
      <c r="E3" s="31"/>
      <c r="F3" s="31"/>
      <c r="G3" s="31"/>
      <c r="H3" s="31"/>
      <c r="I3" s="31"/>
      <c r="J3" s="31"/>
      <c r="K3" s="31"/>
      <c r="L3" s="31"/>
      <c r="M3" s="31"/>
      <c r="N3" s="31"/>
      <c r="O3" s="31"/>
      <c r="P3" s="31"/>
      <c r="Q3" s="31"/>
      <c r="R3" s="32"/>
    </row>
    <row r="4" spans="1:18">
      <c r="A4" s="34">
        <v>1</v>
      </c>
      <c r="B4" s="713" t="s">
        <v>816</v>
      </c>
      <c r="C4" s="66" t="s">
        <v>11</v>
      </c>
      <c r="D4" s="4"/>
      <c r="E4" s="6"/>
      <c r="F4" s="29"/>
      <c r="G4" s="26"/>
      <c r="H4" s="26"/>
      <c r="I4" s="6"/>
      <c r="J4" s="6"/>
      <c r="K4" s="29"/>
      <c r="L4" s="26"/>
      <c r="M4" s="26"/>
      <c r="N4" s="6"/>
      <c r="O4" s="6"/>
      <c r="P4" s="29"/>
      <c r="Q4" s="26"/>
      <c r="R4" s="26"/>
    </row>
    <row r="5" spans="1:18">
      <c r="A5" s="2"/>
      <c r="B5" s="714"/>
      <c r="C5" s="66"/>
      <c r="D5" s="4" t="s">
        <v>251</v>
      </c>
      <c r="E5" s="6" t="s">
        <v>81</v>
      </c>
      <c r="F5" s="29">
        <v>0.5</v>
      </c>
      <c r="G5" s="26">
        <f>sr</f>
        <v>1100</v>
      </c>
      <c r="H5" s="26">
        <f>F5*G5</f>
        <v>550</v>
      </c>
      <c r="I5" s="7" t="s">
        <v>252</v>
      </c>
      <c r="J5" s="8" t="s">
        <v>32</v>
      </c>
      <c r="K5" s="29">
        <v>0.22</v>
      </c>
      <c r="L5" s="28">
        <f>cement</f>
        <v>24049.69</v>
      </c>
      <c r="M5" s="26">
        <f t="shared" ref="M5:M11" si="0">K5*L5</f>
        <v>5290.9317999999994</v>
      </c>
      <c r="N5" s="8" t="s">
        <v>256</v>
      </c>
      <c r="O5" s="6" t="s">
        <v>101</v>
      </c>
      <c r="P5" s="29">
        <v>0.6</v>
      </c>
      <c r="Q5" s="28">
        <f>mixer</f>
        <v>216.32</v>
      </c>
      <c r="R5" s="26">
        <f>P5*Q5</f>
        <v>129.792</v>
      </c>
    </row>
    <row r="6" spans="1:18">
      <c r="A6" s="2"/>
      <c r="B6" s="714"/>
      <c r="C6" s="66"/>
      <c r="D6" s="4" t="s">
        <v>97</v>
      </c>
      <c r="E6" s="6" t="s">
        <v>81</v>
      </c>
      <c r="F6" s="29">
        <v>3.5</v>
      </c>
      <c r="G6" s="26">
        <f>ur</f>
        <v>850</v>
      </c>
      <c r="H6" s="26">
        <f>F6*G6</f>
        <v>2975</v>
      </c>
      <c r="I6" s="7" t="s">
        <v>253</v>
      </c>
      <c r="J6" s="8" t="s">
        <v>34</v>
      </c>
      <c r="K6" s="29">
        <v>0.65</v>
      </c>
      <c r="L6" s="28">
        <f>Agg_40</f>
        <v>2450</v>
      </c>
      <c r="M6" s="26">
        <f t="shared" si="0"/>
        <v>1592.5</v>
      </c>
      <c r="N6" s="8" t="s">
        <v>257</v>
      </c>
      <c r="O6" s="6" t="s">
        <v>101</v>
      </c>
      <c r="P6" s="29">
        <v>0.25</v>
      </c>
      <c r="Q6" s="28">
        <f>vibrator_concrete</f>
        <v>108.16</v>
      </c>
      <c r="R6" s="26">
        <f>P6*Q6</f>
        <v>27.04</v>
      </c>
    </row>
    <row r="7" spans="1:18">
      <c r="A7" s="2"/>
      <c r="B7" s="714"/>
      <c r="C7" s="66"/>
      <c r="D7" s="4"/>
      <c r="E7" s="6"/>
      <c r="F7" s="29"/>
      <c r="G7" s="26"/>
      <c r="H7" s="26"/>
      <c r="I7" s="7" t="s">
        <v>258</v>
      </c>
      <c r="J7" s="8" t="s">
        <v>34</v>
      </c>
      <c r="K7" s="29">
        <v>0.25</v>
      </c>
      <c r="L7" s="28">
        <f>Agg_20</f>
        <v>2700</v>
      </c>
      <c r="M7" s="26">
        <f t="shared" si="0"/>
        <v>675</v>
      </c>
      <c r="N7" s="8"/>
      <c r="O7" s="6"/>
      <c r="P7" s="29"/>
      <c r="Q7" s="28"/>
      <c r="R7" s="28"/>
    </row>
    <row r="8" spans="1:18">
      <c r="A8" s="2"/>
      <c r="B8" s="714"/>
      <c r="C8" s="66"/>
      <c r="D8" s="4"/>
      <c r="E8" s="6"/>
      <c r="F8" s="29"/>
      <c r="G8" s="26"/>
      <c r="H8" s="26"/>
      <c r="I8" s="7" t="s">
        <v>254</v>
      </c>
      <c r="J8" s="8" t="s">
        <v>34</v>
      </c>
      <c r="K8" s="29">
        <v>0.48</v>
      </c>
      <c r="L8" s="28">
        <f>sand</f>
        <v>1050</v>
      </c>
      <c r="M8" s="26">
        <f t="shared" si="0"/>
        <v>504</v>
      </c>
      <c r="N8" s="8"/>
      <c r="O8" s="6"/>
      <c r="P8" s="29"/>
      <c r="Q8" s="28"/>
      <c r="R8" s="28"/>
    </row>
    <row r="9" spans="1:18">
      <c r="A9" s="2"/>
      <c r="B9" s="126"/>
      <c r="C9" s="66"/>
      <c r="D9" s="4"/>
      <c r="E9" s="6"/>
      <c r="F9" s="29"/>
      <c r="G9" s="26"/>
      <c r="H9" s="26"/>
      <c r="I9" s="7" t="s">
        <v>70</v>
      </c>
      <c r="J9" s="8" t="s">
        <v>250</v>
      </c>
      <c r="K9" s="29">
        <v>0.1</v>
      </c>
      <c r="L9" s="28">
        <f>petrol</f>
        <v>188.6</v>
      </c>
      <c r="M9" s="26">
        <f t="shared" si="0"/>
        <v>18.86</v>
      </c>
      <c r="N9" s="8"/>
      <c r="O9" s="6"/>
      <c r="P9" s="29"/>
      <c r="Q9" s="28"/>
      <c r="R9" s="28"/>
    </row>
    <row r="10" spans="1:18">
      <c r="A10" s="2"/>
      <c r="B10" s="126"/>
      <c r="C10" s="66"/>
      <c r="D10" s="4"/>
      <c r="E10" s="6"/>
      <c r="F10" s="29"/>
      <c r="G10" s="26"/>
      <c r="H10" s="26"/>
      <c r="I10" s="7" t="s">
        <v>67</v>
      </c>
      <c r="J10" s="8" t="s">
        <v>250</v>
      </c>
      <c r="K10" s="29">
        <v>3</v>
      </c>
      <c r="L10" s="28">
        <f>diesel</f>
        <v>177.6</v>
      </c>
      <c r="M10" s="26">
        <f t="shared" si="0"/>
        <v>532.79999999999995</v>
      </c>
      <c r="N10" s="8"/>
      <c r="O10" s="6"/>
      <c r="P10" s="29"/>
      <c r="Q10" s="28"/>
      <c r="R10" s="28"/>
    </row>
    <row r="11" spans="1:18">
      <c r="A11" s="2"/>
      <c r="B11" s="126"/>
      <c r="C11" s="66"/>
      <c r="D11" s="4"/>
      <c r="E11" s="6"/>
      <c r="F11" s="29"/>
      <c r="G11" s="26"/>
      <c r="H11" s="26"/>
      <c r="I11" s="7" t="s">
        <v>255</v>
      </c>
      <c r="J11" s="8" t="s">
        <v>250</v>
      </c>
      <c r="K11" s="29">
        <v>132</v>
      </c>
      <c r="L11" s="28"/>
      <c r="M11" s="26">
        <f t="shared" si="0"/>
        <v>0</v>
      </c>
      <c r="N11" s="8"/>
      <c r="O11" s="6"/>
      <c r="P11" s="29"/>
      <c r="Q11" s="28"/>
      <c r="R11" s="28"/>
    </row>
    <row r="12" spans="1:18">
      <c r="A12" s="2"/>
      <c r="B12" s="126"/>
      <c r="C12" s="66"/>
      <c r="D12" s="4"/>
      <c r="E12" s="6"/>
      <c r="F12" s="29"/>
      <c r="G12" s="26"/>
      <c r="H12" s="26"/>
      <c r="I12" s="7"/>
      <c r="J12" s="8"/>
      <c r="K12" s="29"/>
      <c r="L12" s="28"/>
      <c r="M12" s="26"/>
      <c r="N12" s="8"/>
      <c r="O12" s="6"/>
      <c r="P12" s="29"/>
      <c r="Q12" s="28"/>
      <c r="R12" s="28"/>
    </row>
    <row r="13" spans="1:18">
      <c r="A13" s="2"/>
      <c r="B13" s="5"/>
      <c r="C13" s="66"/>
      <c r="D13" s="4"/>
      <c r="E13" s="9"/>
      <c r="F13" s="30"/>
      <c r="G13" s="27"/>
      <c r="H13" s="27"/>
      <c r="I13" s="9"/>
      <c r="J13" s="10"/>
      <c r="K13" s="30"/>
      <c r="L13" s="28"/>
      <c r="M13" s="28"/>
      <c r="N13" s="8"/>
      <c r="O13" s="6"/>
      <c r="P13" s="30"/>
      <c r="Q13" s="28"/>
      <c r="R13" s="28"/>
    </row>
    <row r="14" spans="1:18">
      <c r="A14" s="2"/>
      <c r="B14" s="11"/>
      <c r="C14" s="66"/>
      <c r="D14" s="12"/>
      <c r="E14" s="524"/>
      <c r="F14" s="13"/>
      <c r="G14" s="13" t="s">
        <v>20</v>
      </c>
      <c r="H14" s="25">
        <f>SUM(H4:H13)</f>
        <v>3525</v>
      </c>
      <c r="I14" s="703"/>
      <c r="J14" s="703"/>
      <c r="K14" s="14"/>
      <c r="L14" s="13" t="s">
        <v>21</v>
      </c>
      <c r="M14" s="25">
        <f>SUM(M4:M13)</f>
        <v>8614.0917999999983</v>
      </c>
      <c r="N14" s="3"/>
      <c r="O14" s="14"/>
      <c r="P14" s="14"/>
      <c r="Q14" s="13" t="s">
        <v>22</v>
      </c>
      <c r="R14" s="25">
        <f>SUM(R4:R13)</f>
        <v>156.83199999999999</v>
      </c>
    </row>
    <row r="15" spans="1:18">
      <c r="A15" s="2"/>
      <c r="B15" s="16" t="s">
        <v>13</v>
      </c>
      <c r="C15" s="67"/>
      <c r="D15" s="14"/>
      <c r="E15" s="14"/>
      <c r="F15" s="14"/>
      <c r="G15" s="13"/>
      <c r="H15" s="35">
        <f>M14+R14+H14</f>
        <v>12295.923799999999</v>
      </c>
      <c r="I15" s="17"/>
      <c r="J15" s="14"/>
      <c r="K15" s="14"/>
      <c r="L15" s="13"/>
      <c r="M15" s="15"/>
      <c r="N15" s="14"/>
      <c r="O15" s="14"/>
      <c r="P15" s="14"/>
      <c r="Q15" s="14"/>
      <c r="R15" s="17"/>
    </row>
    <row r="16" spans="1:18">
      <c r="A16" s="2"/>
      <c r="B16" s="11" t="s">
        <v>25</v>
      </c>
      <c r="C16" s="4" t="s">
        <v>647</v>
      </c>
      <c r="D16" s="4"/>
      <c r="E16" s="4"/>
      <c r="F16" s="4"/>
      <c r="G16" s="18"/>
      <c r="H16" s="36">
        <f>20%*H14</f>
        <v>705</v>
      </c>
      <c r="I16" s="20"/>
      <c r="J16" s="4" t="s">
        <v>26</v>
      </c>
      <c r="K16" s="4"/>
      <c r="L16" s="18"/>
      <c r="M16" s="19"/>
      <c r="N16" s="4"/>
      <c r="O16" s="4"/>
      <c r="P16" s="4"/>
      <c r="Q16" s="4"/>
      <c r="R16" s="20"/>
    </row>
    <row r="17" spans="1:18">
      <c r="A17" s="23"/>
      <c r="B17" s="11" t="s">
        <v>14</v>
      </c>
      <c r="C17" s="68"/>
      <c r="D17" s="4"/>
      <c r="E17" s="4"/>
      <c r="F17" s="4"/>
      <c r="G17" s="18"/>
      <c r="H17" s="36">
        <f>SUM(H15:H16)</f>
        <v>13000.923799999999</v>
      </c>
      <c r="I17" s="20"/>
      <c r="J17" s="704"/>
      <c r="K17" s="705"/>
      <c r="L17" s="705"/>
      <c r="M17" s="705"/>
      <c r="N17" s="705"/>
      <c r="O17" s="705"/>
      <c r="P17" s="705"/>
      <c r="Q17" s="705"/>
      <c r="R17" s="706"/>
    </row>
    <row r="18" spans="1:18">
      <c r="A18" s="23"/>
      <c r="B18" s="11" t="s">
        <v>24</v>
      </c>
      <c r="C18" s="68"/>
      <c r="D18" s="4"/>
      <c r="E18" s="4"/>
      <c r="F18" s="4"/>
      <c r="G18" s="18"/>
      <c r="H18" s="36">
        <f>H17*15%</f>
        <v>1950.1385699999996</v>
      </c>
      <c r="I18" s="20"/>
      <c r="J18" s="707"/>
      <c r="K18" s="708"/>
      <c r="L18" s="708"/>
      <c r="M18" s="708"/>
      <c r="N18" s="708"/>
      <c r="O18" s="708"/>
      <c r="P18" s="708"/>
      <c r="Q18" s="708"/>
      <c r="R18" s="709"/>
    </row>
    <row r="19" spans="1:18">
      <c r="A19" s="23"/>
      <c r="B19" s="11" t="s">
        <v>15</v>
      </c>
      <c r="C19" s="68"/>
      <c r="D19" s="4"/>
      <c r="E19" s="4"/>
      <c r="F19" s="4"/>
      <c r="G19" s="21" t="s">
        <v>16</v>
      </c>
      <c r="H19" s="37">
        <f>H18+H17</f>
        <v>14951.062369999998</v>
      </c>
      <c r="I19" s="38" t="str">
        <f>CONCATENATE("per ",C4)</f>
        <v>per cum</v>
      </c>
      <c r="J19" s="707"/>
      <c r="K19" s="708"/>
      <c r="L19" s="708"/>
      <c r="M19" s="708"/>
      <c r="N19" s="708"/>
      <c r="O19" s="708"/>
      <c r="P19" s="708"/>
      <c r="Q19" s="708"/>
      <c r="R19" s="709"/>
    </row>
    <row r="20" spans="1:18">
      <c r="A20" s="23"/>
      <c r="B20" s="11" t="s">
        <v>18</v>
      </c>
      <c r="C20" s="125" t="s">
        <v>19</v>
      </c>
      <c r="D20" s="4"/>
      <c r="E20" s="4"/>
      <c r="F20" s="4"/>
      <c r="G20" s="21" t="s">
        <v>16</v>
      </c>
      <c r="H20" s="37">
        <f>CEILING(H19,0.5)</f>
        <v>14951.5</v>
      </c>
      <c r="I20" s="38" t="str">
        <f>CONCATENATE("per ",C4)</f>
        <v>per cum</v>
      </c>
      <c r="J20" s="707"/>
      <c r="K20" s="708"/>
      <c r="L20" s="708"/>
      <c r="M20" s="708"/>
      <c r="N20" s="708"/>
      <c r="O20" s="708"/>
      <c r="P20" s="708"/>
      <c r="Q20" s="708"/>
      <c r="R20" s="709"/>
    </row>
    <row r="21" spans="1:18">
      <c r="A21" s="23"/>
      <c r="B21" s="11"/>
      <c r="C21" s="68"/>
      <c r="D21" s="4"/>
      <c r="E21" s="4"/>
      <c r="F21" s="4"/>
      <c r="G21" s="24" t="s">
        <v>17</v>
      </c>
      <c r="H21" s="37">
        <f>H20/exr</f>
        <v>115.01153846153846</v>
      </c>
      <c r="I21" s="38" t="str">
        <f>CONCATENATE("per ",C4)</f>
        <v>per cum</v>
      </c>
      <c r="J21" s="710"/>
      <c r="K21" s="711"/>
      <c r="L21" s="711"/>
      <c r="M21" s="711"/>
      <c r="N21" s="711"/>
      <c r="O21" s="711"/>
      <c r="P21" s="711"/>
      <c r="Q21" s="711"/>
      <c r="R21" s="712"/>
    </row>
    <row r="22" spans="1:18">
      <c r="A22" s="39"/>
      <c r="B22" s="40"/>
      <c r="C22" s="69"/>
      <c r="D22" s="41"/>
      <c r="E22" s="41"/>
      <c r="F22" s="41"/>
      <c r="G22" s="149" t="s">
        <v>460</v>
      </c>
      <c r="H22" s="150">
        <f>CEILING(SUM(M10,M9,R5,R6)/H15,0.0025)</f>
        <v>0.06</v>
      </c>
      <c r="I22" s="42"/>
      <c r="J22" s="43"/>
      <c r="K22" s="43"/>
      <c r="L22" s="43"/>
      <c r="M22" s="43"/>
      <c r="N22" s="43"/>
      <c r="O22" s="43"/>
      <c r="P22" s="43"/>
      <c r="Q22" s="43"/>
      <c r="R22" s="44"/>
    </row>
    <row r="24" spans="1:18">
      <c r="A24" s="693" t="s">
        <v>0</v>
      </c>
      <c r="B24" s="695" t="s">
        <v>1</v>
      </c>
      <c r="C24" s="695" t="s">
        <v>2</v>
      </c>
      <c r="D24" s="697" t="s">
        <v>3</v>
      </c>
      <c r="E24" s="698"/>
      <c r="F24" s="698"/>
      <c r="G24" s="698"/>
      <c r="H24" s="698"/>
      <c r="I24" s="699" t="s">
        <v>4</v>
      </c>
      <c r="J24" s="700"/>
      <c r="K24" s="700"/>
      <c r="L24" s="700"/>
      <c r="M24" s="700"/>
      <c r="N24" s="698" t="s">
        <v>5</v>
      </c>
      <c r="O24" s="698"/>
      <c r="P24" s="698"/>
      <c r="Q24" s="698"/>
      <c r="R24" s="698"/>
    </row>
    <row r="25" spans="1:18">
      <c r="A25" s="694"/>
      <c r="B25" s="696"/>
      <c r="C25" s="696"/>
      <c r="D25" s="45" t="s">
        <v>6</v>
      </c>
      <c r="E25" s="46" t="s">
        <v>2</v>
      </c>
      <c r="F25" s="46" t="s">
        <v>7</v>
      </c>
      <c r="G25" s="46" t="s">
        <v>8</v>
      </c>
      <c r="H25" s="46" t="s">
        <v>9</v>
      </c>
      <c r="I25" s="46" t="s">
        <v>10</v>
      </c>
      <c r="J25" s="46" t="s">
        <v>2</v>
      </c>
      <c r="K25" s="46" t="s">
        <v>7</v>
      </c>
      <c r="L25" s="46" t="s">
        <v>8</v>
      </c>
      <c r="M25" s="47" t="s">
        <v>9</v>
      </c>
      <c r="N25" s="46" t="s">
        <v>10</v>
      </c>
      <c r="O25" s="46" t="s">
        <v>2</v>
      </c>
      <c r="P25" s="46" t="s">
        <v>7</v>
      </c>
      <c r="Q25" s="46" t="s">
        <v>8</v>
      </c>
      <c r="R25" s="46" t="s">
        <v>9</v>
      </c>
    </row>
    <row r="26" spans="1:18" ht="15.75" customHeight="1">
      <c r="A26" s="33" t="s">
        <v>23</v>
      </c>
      <c r="B26" s="73" t="s">
        <v>248</v>
      </c>
      <c r="C26" s="65"/>
      <c r="D26" s="31"/>
      <c r="E26" s="31"/>
      <c r="F26" s="31"/>
      <c r="G26" s="31"/>
      <c r="H26" s="31"/>
      <c r="I26" s="31"/>
      <c r="J26" s="31"/>
      <c r="K26" s="31"/>
      <c r="L26" s="31"/>
      <c r="M26" s="31"/>
      <c r="N26" s="31"/>
      <c r="O26" s="31"/>
      <c r="P26" s="31"/>
      <c r="Q26" s="31"/>
      <c r="R26" s="32"/>
    </row>
    <row r="27" spans="1:18" ht="15.75" customHeight="1">
      <c r="A27" s="34">
        <v>1</v>
      </c>
      <c r="B27" s="713" t="s">
        <v>249</v>
      </c>
      <c r="C27" s="66" t="s">
        <v>11</v>
      </c>
      <c r="D27" s="4"/>
      <c r="E27" s="6"/>
      <c r="F27" s="29"/>
      <c r="G27" s="26"/>
      <c r="H27" s="26"/>
      <c r="I27" s="6"/>
      <c r="J27" s="6"/>
      <c r="K27" s="29"/>
      <c r="L27" s="26"/>
      <c r="M27" s="26"/>
      <c r="N27" s="6"/>
      <c r="O27" s="6"/>
      <c r="P27" s="29"/>
      <c r="Q27" s="26"/>
      <c r="R27" s="26"/>
    </row>
    <row r="28" spans="1:18">
      <c r="A28" s="2"/>
      <c r="B28" s="714"/>
      <c r="C28" s="66"/>
      <c r="D28" s="4" t="s">
        <v>251</v>
      </c>
      <c r="E28" s="6" t="s">
        <v>81</v>
      </c>
      <c r="F28" s="29">
        <v>0.5</v>
      </c>
      <c r="G28" s="26">
        <f>sr</f>
        <v>1100</v>
      </c>
      <c r="H28" s="26">
        <f>F28*G28</f>
        <v>550</v>
      </c>
      <c r="I28" s="7" t="s">
        <v>252</v>
      </c>
      <c r="J28" s="8" t="s">
        <v>32</v>
      </c>
      <c r="K28" s="29">
        <v>0.26</v>
      </c>
      <c r="L28" s="28">
        <f>cement</f>
        <v>24049.69</v>
      </c>
      <c r="M28" s="26">
        <f t="shared" ref="M28:M35" si="1">K28*L28</f>
        <v>6252.9193999999998</v>
      </c>
      <c r="N28" s="8" t="s">
        <v>256</v>
      </c>
      <c r="O28" s="6" t="s">
        <v>101</v>
      </c>
      <c r="P28" s="29">
        <v>0.6</v>
      </c>
      <c r="Q28" s="28">
        <f>mixer</f>
        <v>216.32</v>
      </c>
      <c r="R28" s="26">
        <f>P28*Q28</f>
        <v>129.792</v>
      </c>
    </row>
    <row r="29" spans="1:18">
      <c r="A29" s="2"/>
      <c r="B29" s="714"/>
      <c r="C29" s="66"/>
      <c r="D29" s="4" t="s">
        <v>97</v>
      </c>
      <c r="E29" s="6" t="s">
        <v>81</v>
      </c>
      <c r="F29" s="29">
        <v>3.5</v>
      </c>
      <c r="G29" s="26">
        <f>ur</f>
        <v>850</v>
      </c>
      <c r="H29" s="26">
        <f>F29*G29</f>
        <v>2975</v>
      </c>
      <c r="I29" s="7" t="s">
        <v>253</v>
      </c>
      <c r="J29" s="8" t="s">
        <v>34</v>
      </c>
      <c r="K29" s="29">
        <v>0.53</v>
      </c>
      <c r="L29" s="28">
        <f>Agg_40</f>
        <v>2450</v>
      </c>
      <c r="M29" s="26">
        <f t="shared" si="1"/>
        <v>1298.5</v>
      </c>
      <c r="N29" s="8" t="s">
        <v>257</v>
      </c>
      <c r="O29" s="6" t="s">
        <v>101</v>
      </c>
      <c r="P29" s="29">
        <v>0.25</v>
      </c>
      <c r="Q29" s="28">
        <f>vibrator_concrete</f>
        <v>108.16</v>
      </c>
      <c r="R29" s="26">
        <f>P29*Q29</f>
        <v>27.04</v>
      </c>
    </row>
    <row r="30" spans="1:18">
      <c r="A30" s="2"/>
      <c r="B30" s="714"/>
      <c r="C30" s="66"/>
      <c r="D30" s="4"/>
      <c r="E30" s="6"/>
      <c r="F30" s="29"/>
      <c r="G30" s="26"/>
      <c r="H30" s="26"/>
      <c r="I30" s="7" t="s">
        <v>258</v>
      </c>
      <c r="J30" s="8" t="s">
        <v>34</v>
      </c>
      <c r="K30" s="29">
        <v>0.24</v>
      </c>
      <c r="L30" s="28">
        <f>Agg_20</f>
        <v>2700</v>
      </c>
      <c r="M30" s="26">
        <f t="shared" si="1"/>
        <v>648</v>
      </c>
      <c r="N30" s="8"/>
      <c r="O30" s="6"/>
      <c r="P30" s="29"/>
      <c r="Q30" s="28"/>
      <c r="R30" s="28"/>
    </row>
    <row r="31" spans="1:18">
      <c r="A31" s="2"/>
      <c r="B31" s="714"/>
      <c r="C31" s="66"/>
      <c r="D31" s="4"/>
      <c r="E31" s="6"/>
      <c r="F31" s="29"/>
      <c r="G31" s="26"/>
      <c r="H31" s="26"/>
      <c r="I31" s="7" t="s">
        <v>259</v>
      </c>
      <c r="J31" s="8" t="s">
        <v>34</v>
      </c>
      <c r="K31" s="29">
        <v>0.11</v>
      </c>
      <c r="L31" s="28">
        <f>Agg_10</f>
        <v>2950</v>
      </c>
      <c r="M31" s="26">
        <f t="shared" si="1"/>
        <v>324.5</v>
      </c>
      <c r="N31" s="8"/>
      <c r="O31" s="6"/>
      <c r="P31" s="29"/>
      <c r="Q31" s="28"/>
      <c r="R31" s="28"/>
    </row>
    <row r="32" spans="1:18">
      <c r="A32" s="2"/>
      <c r="B32" s="126"/>
      <c r="C32" s="66"/>
      <c r="D32" s="4"/>
      <c r="E32" s="6"/>
      <c r="F32" s="29"/>
      <c r="G32" s="26"/>
      <c r="H32" s="26"/>
      <c r="I32" s="7" t="s">
        <v>254</v>
      </c>
      <c r="J32" s="8" t="s">
        <v>34</v>
      </c>
      <c r="K32" s="29">
        <v>0.46</v>
      </c>
      <c r="L32" s="28">
        <f>sand</f>
        <v>1050</v>
      </c>
      <c r="M32" s="26">
        <f t="shared" si="1"/>
        <v>483</v>
      </c>
      <c r="N32" s="8"/>
      <c r="O32" s="6"/>
      <c r="P32" s="29"/>
      <c r="Q32" s="28"/>
      <c r="R32" s="28"/>
    </row>
    <row r="33" spans="1:18">
      <c r="A33" s="2"/>
      <c r="B33" s="126"/>
      <c r="C33" s="66"/>
      <c r="D33" s="4"/>
      <c r="E33" s="6"/>
      <c r="F33" s="29"/>
      <c r="G33" s="26"/>
      <c r="H33" s="26"/>
      <c r="I33" s="7" t="s">
        <v>70</v>
      </c>
      <c r="J33" s="8" t="s">
        <v>250</v>
      </c>
      <c r="K33" s="29">
        <v>0.1</v>
      </c>
      <c r="L33" s="28">
        <f>petrol</f>
        <v>188.6</v>
      </c>
      <c r="M33" s="26">
        <f t="shared" si="1"/>
        <v>18.86</v>
      </c>
      <c r="N33" s="8"/>
      <c r="O33" s="6"/>
      <c r="P33" s="29"/>
      <c r="Q33" s="28"/>
      <c r="R33" s="28"/>
    </row>
    <row r="34" spans="1:18">
      <c r="A34" s="2"/>
      <c r="B34" s="126"/>
      <c r="C34" s="66"/>
      <c r="D34" s="4"/>
      <c r="E34" s="6"/>
      <c r="F34" s="29"/>
      <c r="G34" s="26"/>
      <c r="H34" s="26"/>
      <c r="I34" s="7" t="s">
        <v>67</v>
      </c>
      <c r="J34" s="8" t="s">
        <v>250</v>
      </c>
      <c r="K34" s="29">
        <v>3</v>
      </c>
      <c r="L34" s="28">
        <f>diesel</f>
        <v>177.6</v>
      </c>
      <c r="M34" s="26">
        <f t="shared" si="1"/>
        <v>532.79999999999995</v>
      </c>
      <c r="N34" s="8"/>
      <c r="O34" s="6"/>
      <c r="P34" s="29"/>
      <c r="Q34" s="28"/>
      <c r="R34" s="28"/>
    </row>
    <row r="35" spans="1:18">
      <c r="A35" s="2"/>
      <c r="B35" s="126"/>
      <c r="C35" s="66"/>
      <c r="D35" s="4"/>
      <c r="E35" s="6"/>
      <c r="F35" s="29"/>
      <c r="G35" s="26"/>
      <c r="H35" s="26"/>
      <c r="I35" s="7" t="s">
        <v>255</v>
      </c>
      <c r="J35" s="8" t="s">
        <v>250</v>
      </c>
      <c r="K35" s="29">
        <v>156</v>
      </c>
      <c r="L35" s="28"/>
      <c r="M35" s="26">
        <f t="shared" si="1"/>
        <v>0</v>
      </c>
      <c r="N35" s="8"/>
      <c r="O35" s="6"/>
      <c r="P35" s="29"/>
      <c r="Q35" s="28"/>
      <c r="R35" s="28"/>
    </row>
    <row r="36" spans="1:18">
      <c r="A36" s="2"/>
      <c r="B36" s="5"/>
      <c r="C36" s="66"/>
      <c r="D36" s="4"/>
      <c r="E36" s="9"/>
      <c r="F36" s="30"/>
      <c r="G36" s="27"/>
      <c r="H36" s="27"/>
      <c r="I36" s="9"/>
      <c r="J36" s="10"/>
      <c r="K36" s="30"/>
      <c r="L36" s="28"/>
      <c r="M36" s="28"/>
      <c r="N36" s="8"/>
      <c r="O36" s="6"/>
      <c r="P36" s="30"/>
      <c r="Q36" s="28"/>
      <c r="R36" s="28"/>
    </row>
    <row r="37" spans="1:18">
      <c r="A37" s="2"/>
      <c r="B37" s="11"/>
      <c r="C37" s="66"/>
      <c r="D37" s="12"/>
      <c r="E37" s="524"/>
      <c r="F37" s="13"/>
      <c r="G37" s="13" t="s">
        <v>20</v>
      </c>
      <c r="H37" s="25">
        <f>SUM(H27:H36)</f>
        <v>3525</v>
      </c>
      <c r="I37" s="703"/>
      <c r="J37" s="703"/>
      <c r="K37" s="14"/>
      <c r="L37" s="13" t="s">
        <v>21</v>
      </c>
      <c r="M37" s="25">
        <f>SUM(M27:M36)</f>
        <v>9558.5793999999987</v>
      </c>
      <c r="N37" s="3"/>
      <c r="O37" s="14"/>
      <c r="P37" s="14"/>
      <c r="Q37" s="13" t="s">
        <v>22</v>
      </c>
      <c r="R37" s="25">
        <f>SUM(R27:R36)</f>
        <v>156.83199999999999</v>
      </c>
    </row>
    <row r="38" spans="1:18">
      <c r="A38" s="2"/>
      <c r="B38" s="16" t="s">
        <v>13</v>
      </c>
      <c r="C38" s="67"/>
      <c r="D38" s="14"/>
      <c r="E38" s="14"/>
      <c r="F38" s="14"/>
      <c r="G38" s="13"/>
      <c r="H38" s="35">
        <f>M37+R37+H37</f>
        <v>13240.411399999999</v>
      </c>
      <c r="I38" s="17"/>
      <c r="J38" s="14"/>
      <c r="K38" s="14"/>
      <c r="L38" s="13"/>
      <c r="M38" s="15"/>
      <c r="N38" s="14"/>
      <c r="O38" s="14"/>
      <c r="P38" s="14"/>
      <c r="Q38" s="14"/>
      <c r="R38" s="17"/>
    </row>
    <row r="39" spans="1:18">
      <c r="A39" s="2"/>
      <c r="B39" s="11" t="s">
        <v>25</v>
      </c>
      <c r="C39" s="4" t="s">
        <v>647</v>
      </c>
      <c r="D39" s="4"/>
      <c r="E39" s="4"/>
      <c r="F39" s="4"/>
      <c r="G39" s="18"/>
      <c r="H39" s="36">
        <f>20%*H37</f>
        <v>705</v>
      </c>
      <c r="I39" s="20"/>
      <c r="J39" s="4" t="s">
        <v>26</v>
      </c>
      <c r="K39" s="4"/>
      <c r="L39" s="18"/>
      <c r="M39" s="19"/>
      <c r="N39" s="4"/>
      <c r="O39" s="4"/>
      <c r="P39" s="4"/>
      <c r="Q39" s="4"/>
      <c r="R39" s="20"/>
    </row>
    <row r="40" spans="1:18">
      <c r="A40" s="23"/>
      <c r="B40" s="11" t="s">
        <v>14</v>
      </c>
      <c r="C40" s="68"/>
      <c r="D40" s="4"/>
      <c r="E40" s="4"/>
      <c r="F40" s="4"/>
      <c r="G40" s="18"/>
      <c r="H40" s="36">
        <f>SUM(H38:H39)</f>
        <v>13945.411399999999</v>
      </c>
      <c r="I40" s="20"/>
      <c r="J40" s="704"/>
      <c r="K40" s="705"/>
      <c r="L40" s="705"/>
      <c r="M40" s="705"/>
      <c r="N40" s="705"/>
      <c r="O40" s="705"/>
      <c r="P40" s="705"/>
      <c r="Q40" s="705"/>
      <c r="R40" s="706"/>
    </row>
    <row r="41" spans="1:18">
      <c r="A41" s="23"/>
      <c r="B41" s="11" t="s">
        <v>24</v>
      </c>
      <c r="C41" s="68"/>
      <c r="D41" s="4"/>
      <c r="E41" s="4"/>
      <c r="F41" s="4"/>
      <c r="G41" s="18"/>
      <c r="H41" s="36">
        <f>H40*15%</f>
        <v>2091.8117099999999</v>
      </c>
      <c r="I41" s="20"/>
      <c r="J41" s="707"/>
      <c r="K41" s="708"/>
      <c r="L41" s="708"/>
      <c r="M41" s="708"/>
      <c r="N41" s="708"/>
      <c r="O41" s="708"/>
      <c r="P41" s="708"/>
      <c r="Q41" s="708"/>
      <c r="R41" s="709"/>
    </row>
    <row r="42" spans="1:18">
      <c r="A42" s="23"/>
      <c r="B42" s="11" t="s">
        <v>15</v>
      </c>
      <c r="C42" s="68"/>
      <c r="D42" s="4"/>
      <c r="E42" s="4"/>
      <c r="F42" s="4"/>
      <c r="G42" s="21" t="s">
        <v>16</v>
      </c>
      <c r="H42" s="37">
        <f>H41+H40</f>
        <v>16037.223109999999</v>
      </c>
      <c r="I42" s="38" t="str">
        <f>CONCATENATE("per ",C27)</f>
        <v>per cum</v>
      </c>
      <c r="J42" s="707"/>
      <c r="K42" s="708"/>
      <c r="L42" s="708"/>
      <c r="M42" s="708"/>
      <c r="N42" s="708"/>
      <c r="O42" s="708"/>
      <c r="P42" s="708"/>
      <c r="Q42" s="708"/>
      <c r="R42" s="709"/>
    </row>
    <row r="43" spans="1:18">
      <c r="A43" s="23"/>
      <c r="B43" s="11" t="s">
        <v>18</v>
      </c>
      <c r="C43" s="125" t="s">
        <v>19</v>
      </c>
      <c r="D43" s="4"/>
      <c r="E43" s="4"/>
      <c r="F43" s="4"/>
      <c r="G43" s="21" t="s">
        <v>16</v>
      </c>
      <c r="H43" s="37">
        <f>CEILING(H42,0.5)</f>
        <v>16037.5</v>
      </c>
      <c r="I43" s="38" t="str">
        <f>CONCATENATE("per ",C27)</f>
        <v>per cum</v>
      </c>
      <c r="J43" s="707"/>
      <c r="K43" s="708"/>
      <c r="L43" s="708"/>
      <c r="M43" s="708"/>
      <c r="N43" s="708"/>
      <c r="O43" s="708"/>
      <c r="P43" s="708"/>
      <c r="Q43" s="708"/>
      <c r="R43" s="709"/>
    </row>
    <row r="44" spans="1:18">
      <c r="A44" s="23"/>
      <c r="B44" s="11"/>
      <c r="C44" s="68"/>
      <c r="D44" s="4"/>
      <c r="E44" s="4"/>
      <c r="F44" s="4"/>
      <c r="G44" s="24" t="s">
        <v>17</v>
      </c>
      <c r="H44" s="37">
        <f>H43/exr</f>
        <v>123.36538461538461</v>
      </c>
      <c r="I44" s="38" t="str">
        <f>CONCATENATE("per ",C27)</f>
        <v>per cum</v>
      </c>
      <c r="J44" s="710"/>
      <c r="K44" s="711"/>
      <c r="L44" s="711"/>
      <c r="M44" s="711"/>
      <c r="N44" s="711"/>
      <c r="O44" s="711"/>
      <c r="P44" s="711"/>
      <c r="Q44" s="711"/>
      <c r="R44" s="712"/>
    </row>
    <row r="45" spans="1:18">
      <c r="A45" s="39"/>
      <c r="B45" s="40"/>
      <c r="C45" s="69"/>
      <c r="D45" s="41"/>
      <c r="E45" s="41"/>
      <c r="F45" s="41"/>
      <c r="G45" s="149" t="s">
        <v>460</v>
      </c>
      <c r="H45" s="150">
        <f>CEILING(SUM(M33,M34,R28,R29)/H38,0.0025)</f>
        <v>5.5E-2</v>
      </c>
      <c r="I45" s="42"/>
      <c r="J45" s="43"/>
      <c r="K45" s="43"/>
      <c r="L45" s="43"/>
      <c r="M45" s="43"/>
      <c r="N45" s="43"/>
      <c r="O45" s="43"/>
      <c r="P45" s="43"/>
      <c r="Q45" s="43"/>
      <c r="R45" s="44"/>
    </row>
    <row r="46" spans="1:18">
      <c r="A46" s="22"/>
      <c r="B46" s="22"/>
      <c r="C46" s="70"/>
      <c r="D46" s="22"/>
      <c r="E46" s="22"/>
      <c r="F46" s="22"/>
      <c r="G46" s="22"/>
      <c r="H46" s="22"/>
      <c r="I46" s="22"/>
      <c r="J46" s="22"/>
      <c r="K46" s="22"/>
      <c r="L46" s="22"/>
      <c r="M46" s="22"/>
      <c r="N46" s="22"/>
      <c r="O46" s="22"/>
      <c r="P46" s="22"/>
      <c r="Q46" s="22"/>
      <c r="R46" s="22"/>
    </row>
    <row r="47" spans="1:18">
      <c r="A47" s="693" t="s">
        <v>0</v>
      </c>
      <c r="B47" s="695" t="s">
        <v>1</v>
      </c>
      <c r="C47" s="695" t="s">
        <v>2</v>
      </c>
      <c r="D47" s="697" t="s">
        <v>3</v>
      </c>
      <c r="E47" s="698"/>
      <c r="F47" s="698"/>
      <c r="G47" s="698"/>
      <c r="H47" s="698"/>
      <c r="I47" s="699" t="s">
        <v>4</v>
      </c>
      <c r="J47" s="700"/>
      <c r="K47" s="700"/>
      <c r="L47" s="700"/>
      <c r="M47" s="700"/>
      <c r="N47" s="698" t="s">
        <v>5</v>
      </c>
      <c r="O47" s="698"/>
      <c r="P47" s="698"/>
      <c r="Q47" s="698"/>
      <c r="R47" s="698"/>
    </row>
    <row r="48" spans="1:18">
      <c r="A48" s="694"/>
      <c r="B48" s="696"/>
      <c r="C48" s="696"/>
      <c r="D48" s="45" t="s">
        <v>6</v>
      </c>
      <c r="E48" s="46" t="s">
        <v>2</v>
      </c>
      <c r="F48" s="46" t="s">
        <v>7</v>
      </c>
      <c r="G48" s="46" t="s">
        <v>8</v>
      </c>
      <c r="H48" s="46" t="s">
        <v>9</v>
      </c>
      <c r="I48" s="46" t="s">
        <v>10</v>
      </c>
      <c r="J48" s="46" t="s">
        <v>2</v>
      </c>
      <c r="K48" s="46" t="s">
        <v>7</v>
      </c>
      <c r="L48" s="46" t="s">
        <v>8</v>
      </c>
      <c r="M48" s="47" t="s">
        <v>9</v>
      </c>
      <c r="N48" s="46" t="s">
        <v>10</v>
      </c>
      <c r="O48" s="46" t="s">
        <v>2</v>
      </c>
      <c r="P48" s="46" t="s">
        <v>7</v>
      </c>
      <c r="Q48" s="46" t="s">
        <v>8</v>
      </c>
      <c r="R48" s="46" t="s">
        <v>9</v>
      </c>
    </row>
    <row r="49" spans="1:18">
      <c r="A49" s="33" t="s">
        <v>23</v>
      </c>
      <c r="B49" s="73" t="s">
        <v>261</v>
      </c>
      <c r="C49" s="65"/>
      <c r="D49" s="31"/>
      <c r="E49" s="31"/>
      <c r="F49" s="31"/>
      <c r="G49" s="31"/>
      <c r="H49" s="31"/>
      <c r="I49" s="31"/>
      <c r="J49" s="31"/>
      <c r="K49" s="31"/>
      <c r="L49" s="31"/>
      <c r="M49" s="31"/>
      <c r="N49" s="31"/>
      <c r="O49" s="31"/>
      <c r="P49" s="31"/>
      <c r="Q49" s="31"/>
      <c r="R49" s="32"/>
    </row>
    <row r="50" spans="1:18">
      <c r="A50" s="34">
        <f>A27+1</f>
        <v>2</v>
      </c>
      <c r="B50" s="713" t="s">
        <v>260</v>
      </c>
      <c r="C50" s="66" t="s">
        <v>11</v>
      </c>
      <c r="D50" s="4"/>
      <c r="E50" s="6"/>
      <c r="F50" s="29"/>
      <c r="G50" s="26"/>
      <c r="H50" s="26"/>
      <c r="I50" s="6"/>
      <c r="J50" s="6"/>
      <c r="K50" s="29"/>
      <c r="L50" s="26"/>
      <c r="M50" s="26"/>
      <c r="N50" s="6"/>
      <c r="O50" s="6"/>
      <c r="P50" s="29"/>
      <c r="Q50" s="26"/>
      <c r="R50" s="26"/>
    </row>
    <row r="51" spans="1:18">
      <c r="A51" s="2"/>
      <c r="B51" s="714"/>
      <c r="C51" s="66"/>
      <c r="D51" s="4" t="s">
        <v>251</v>
      </c>
      <c r="E51" s="6" t="s">
        <v>81</v>
      </c>
      <c r="F51" s="29">
        <v>1</v>
      </c>
      <c r="G51" s="26">
        <f>sr</f>
        <v>1100</v>
      </c>
      <c r="H51" s="26">
        <f>F51*G51</f>
        <v>1100</v>
      </c>
      <c r="I51" s="7" t="s">
        <v>252</v>
      </c>
      <c r="J51" s="8" t="s">
        <v>32</v>
      </c>
      <c r="K51" s="29">
        <v>0.28499999999999998</v>
      </c>
      <c r="L51" s="28">
        <f>cement</f>
        <v>24049.69</v>
      </c>
      <c r="M51" s="26">
        <f t="shared" ref="M51:M56" si="2">K51*L51</f>
        <v>6854.1616499999991</v>
      </c>
      <c r="N51" s="8"/>
      <c r="O51" s="6"/>
      <c r="P51" s="29"/>
      <c r="Q51" s="28"/>
      <c r="R51" s="26"/>
    </row>
    <row r="52" spans="1:18">
      <c r="A52" s="2"/>
      <c r="B52" s="714"/>
      <c r="C52" s="66"/>
      <c r="D52" s="4" t="s">
        <v>97</v>
      </c>
      <c r="E52" s="6" t="s">
        <v>81</v>
      </c>
      <c r="F52" s="29">
        <v>4</v>
      </c>
      <c r="G52" s="26">
        <f>ur</f>
        <v>850</v>
      </c>
      <c r="H52" s="26">
        <f>F52*G52</f>
        <v>3400</v>
      </c>
      <c r="I52" s="7" t="s">
        <v>253</v>
      </c>
      <c r="J52" s="8" t="s">
        <v>34</v>
      </c>
      <c r="K52" s="29">
        <v>0.53</v>
      </c>
      <c r="L52" s="28">
        <f>Agg_40</f>
        <v>2450</v>
      </c>
      <c r="M52" s="26">
        <f t="shared" si="2"/>
        <v>1298.5</v>
      </c>
      <c r="N52" s="8" t="s">
        <v>257</v>
      </c>
      <c r="O52" s="6" t="s">
        <v>101</v>
      </c>
      <c r="P52" s="29">
        <v>0.25</v>
      </c>
      <c r="Q52" s="28">
        <f>vibrator_concrete</f>
        <v>108.16</v>
      </c>
      <c r="R52" s="26">
        <f>P52*Q52</f>
        <v>27.04</v>
      </c>
    </row>
    <row r="53" spans="1:18">
      <c r="A53" s="2"/>
      <c r="B53" s="714"/>
      <c r="C53" s="66"/>
      <c r="D53" s="4"/>
      <c r="E53" s="6"/>
      <c r="F53" s="29"/>
      <c r="G53" s="26"/>
      <c r="H53" s="26"/>
      <c r="I53" s="7" t="s">
        <v>258</v>
      </c>
      <c r="J53" s="8" t="s">
        <v>34</v>
      </c>
      <c r="K53" s="29">
        <v>0.24</v>
      </c>
      <c r="L53" s="28">
        <f>Agg_20</f>
        <v>2700</v>
      </c>
      <c r="M53" s="26">
        <f t="shared" si="2"/>
        <v>648</v>
      </c>
      <c r="N53" s="8"/>
      <c r="O53" s="6"/>
      <c r="P53" s="29"/>
      <c r="Q53" s="28"/>
      <c r="R53" s="28"/>
    </row>
    <row r="54" spans="1:18">
      <c r="A54" s="2"/>
      <c r="B54" s="714"/>
      <c r="C54" s="66"/>
      <c r="D54" s="4"/>
      <c r="E54" s="6"/>
      <c r="F54" s="29"/>
      <c r="G54" s="26"/>
      <c r="H54" s="26"/>
      <c r="I54" s="7" t="s">
        <v>259</v>
      </c>
      <c r="J54" s="8" t="s">
        <v>34</v>
      </c>
      <c r="K54" s="29">
        <v>0.11</v>
      </c>
      <c r="L54" s="28">
        <f>Agg_10</f>
        <v>2950</v>
      </c>
      <c r="M54" s="26">
        <f t="shared" si="2"/>
        <v>324.5</v>
      </c>
      <c r="N54" s="8"/>
      <c r="O54" s="6"/>
      <c r="P54" s="29"/>
      <c r="Q54" s="28"/>
      <c r="R54" s="28"/>
    </row>
    <row r="55" spans="1:18">
      <c r="A55" s="2"/>
      <c r="B55" s="126"/>
      <c r="C55" s="66"/>
      <c r="D55" s="4"/>
      <c r="E55" s="6"/>
      <c r="F55" s="29"/>
      <c r="G55" s="26"/>
      <c r="H55" s="26"/>
      <c r="I55" s="7" t="s">
        <v>254</v>
      </c>
      <c r="J55" s="8" t="s">
        <v>34</v>
      </c>
      <c r="K55" s="29">
        <v>0.46</v>
      </c>
      <c r="L55" s="28">
        <f>sand</f>
        <v>1050</v>
      </c>
      <c r="M55" s="26">
        <f t="shared" si="2"/>
        <v>483</v>
      </c>
      <c r="N55" s="8"/>
      <c r="O55" s="6"/>
      <c r="P55" s="29"/>
      <c r="Q55" s="28"/>
      <c r="R55" s="28"/>
    </row>
    <row r="56" spans="1:18">
      <c r="A56" s="2"/>
      <c r="B56" s="126"/>
      <c r="C56" s="66"/>
      <c r="D56" s="4"/>
      <c r="E56" s="6"/>
      <c r="F56" s="29"/>
      <c r="G56" s="26"/>
      <c r="H56" s="26"/>
      <c r="I56" s="7" t="s">
        <v>255</v>
      </c>
      <c r="J56" s="8" t="s">
        <v>250</v>
      </c>
      <c r="K56" s="29">
        <v>171</v>
      </c>
      <c r="L56" s="28"/>
      <c r="M56" s="26">
        <f t="shared" si="2"/>
        <v>0</v>
      </c>
      <c r="N56" s="8"/>
      <c r="O56" s="6"/>
      <c r="P56" s="29"/>
      <c r="Q56" s="28"/>
      <c r="R56" s="28"/>
    </row>
    <row r="57" spans="1:18">
      <c r="A57" s="2"/>
      <c r="B57" s="126"/>
      <c r="C57" s="66"/>
      <c r="D57" s="4"/>
      <c r="E57" s="6"/>
      <c r="F57" s="29"/>
      <c r="G57" s="26"/>
      <c r="H57" s="26"/>
      <c r="I57" s="7"/>
      <c r="J57" s="8"/>
      <c r="K57" s="29"/>
      <c r="L57" s="28"/>
      <c r="M57" s="26"/>
      <c r="N57" s="8"/>
      <c r="O57" s="6"/>
      <c r="P57" s="29"/>
      <c r="Q57" s="28"/>
      <c r="R57" s="28"/>
    </row>
    <row r="58" spans="1:18">
      <c r="A58" s="2"/>
      <c r="B58" s="126"/>
      <c r="C58" s="66"/>
      <c r="D58" s="4"/>
      <c r="E58" s="6"/>
      <c r="F58" s="29"/>
      <c r="G58" s="26"/>
      <c r="H58" s="26"/>
      <c r="I58" s="7"/>
      <c r="J58" s="8"/>
      <c r="K58" s="29"/>
      <c r="L58" s="28"/>
      <c r="M58" s="26"/>
      <c r="N58" s="8"/>
      <c r="O58" s="6"/>
      <c r="P58" s="29"/>
      <c r="Q58" s="28"/>
      <c r="R58" s="28"/>
    </row>
    <row r="59" spans="1:18">
      <c r="A59" s="2"/>
      <c r="B59" s="5"/>
      <c r="C59" s="66"/>
      <c r="D59" s="4"/>
      <c r="E59" s="9"/>
      <c r="F59" s="30"/>
      <c r="G59" s="27"/>
      <c r="H59" s="27"/>
      <c r="I59" s="9"/>
      <c r="J59" s="10"/>
      <c r="K59" s="30"/>
      <c r="L59" s="28"/>
      <c r="M59" s="28"/>
      <c r="N59" s="8"/>
      <c r="O59" s="6"/>
      <c r="P59" s="30"/>
      <c r="Q59" s="28"/>
      <c r="R59" s="28"/>
    </row>
    <row r="60" spans="1:18">
      <c r="A60" s="2"/>
      <c r="B60" s="11"/>
      <c r="C60" s="66"/>
      <c r="D60" s="12"/>
      <c r="E60" s="524"/>
      <c r="F60" s="13"/>
      <c r="G60" s="13" t="s">
        <v>20</v>
      </c>
      <c r="H60" s="25">
        <f>SUM(H50:H59)</f>
        <v>4500</v>
      </c>
      <c r="I60" s="703"/>
      <c r="J60" s="703"/>
      <c r="K60" s="14"/>
      <c r="L60" s="13" t="s">
        <v>21</v>
      </c>
      <c r="M60" s="25">
        <f>SUM(M50:M59)</f>
        <v>9608.1616499999982</v>
      </c>
      <c r="N60" s="3"/>
      <c r="O60" s="14"/>
      <c r="P60" s="14"/>
      <c r="Q60" s="13" t="s">
        <v>22</v>
      </c>
      <c r="R60" s="25">
        <f>SUM(R50:R59)</f>
        <v>27.04</v>
      </c>
    </row>
    <row r="61" spans="1:18">
      <c r="A61" s="2"/>
      <c r="B61" s="16" t="s">
        <v>13</v>
      </c>
      <c r="C61" s="67"/>
      <c r="D61" s="14"/>
      <c r="E61" s="14"/>
      <c r="F61" s="14"/>
      <c r="G61" s="13"/>
      <c r="H61" s="35">
        <f>M60+R60+H60</f>
        <v>14135.201649999999</v>
      </c>
      <c r="I61" s="17"/>
      <c r="J61" s="14"/>
      <c r="K61" s="14"/>
      <c r="L61" s="13"/>
      <c r="M61" s="15"/>
      <c r="N61" s="14"/>
      <c r="O61" s="14"/>
      <c r="P61" s="14"/>
      <c r="Q61" s="14"/>
      <c r="R61" s="17"/>
    </row>
    <row r="62" spans="1:18">
      <c r="A62" s="2"/>
      <c r="B62" s="11" t="s">
        <v>25</v>
      </c>
      <c r="C62" s="4" t="s">
        <v>647</v>
      </c>
      <c r="D62" s="4"/>
      <c r="E62" s="4"/>
      <c r="F62" s="4"/>
      <c r="G62" s="18"/>
      <c r="H62" s="36">
        <f>20%*H60</f>
        <v>900</v>
      </c>
      <c r="I62" s="20"/>
      <c r="J62" s="4" t="s">
        <v>26</v>
      </c>
      <c r="K62" s="4"/>
      <c r="L62" s="18"/>
      <c r="M62" s="19"/>
      <c r="N62" s="4"/>
      <c r="O62" s="4"/>
      <c r="P62" s="4"/>
      <c r="Q62" s="4"/>
      <c r="R62" s="20"/>
    </row>
    <row r="63" spans="1:18">
      <c r="A63" s="23"/>
      <c r="B63" s="11" t="s">
        <v>14</v>
      </c>
      <c r="C63" s="68"/>
      <c r="D63" s="4"/>
      <c r="E63" s="4"/>
      <c r="F63" s="4"/>
      <c r="G63" s="18"/>
      <c r="H63" s="36">
        <f>SUM(H61:H62)</f>
        <v>15035.201649999999</v>
      </c>
      <c r="I63" s="20"/>
      <c r="J63" s="704"/>
      <c r="K63" s="705"/>
      <c r="L63" s="705"/>
      <c r="M63" s="705"/>
      <c r="N63" s="705"/>
      <c r="O63" s="705"/>
      <c r="P63" s="705"/>
      <c r="Q63" s="705"/>
      <c r="R63" s="706"/>
    </row>
    <row r="64" spans="1:18">
      <c r="A64" s="23"/>
      <c r="B64" s="11" t="s">
        <v>24</v>
      </c>
      <c r="C64" s="68"/>
      <c r="D64" s="4"/>
      <c r="E64" s="4"/>
      <c r="F64" s="4"/>
      <c r="G64" s="18"/>
      <c r="H64" s="36">
        <f>H63*15%</f>
        <v>2255.2802474999999</v>
      </c>
      <c r="I64" s="20"/>
      <c r="J64" s="707"/>
      <c r="K64" s="708"/>
      <c r="L64" s="708"/>
      <c r="M64" s="708"/>
      <c r="N64" s="708"/>
      <c r="O64" s="708"/>
      <c r="P64" s="708"/>
      <c r="Q64" s="708"/>
      <c r="R64" s="709"/>
    </row>
    <row r="65" spans="1:18">
      <c r="A65" s="23"/>
      <c r="B65" s="11" t="s">
        <v>15</v>
      </c>
      <c r="C65" s="68"/>
      <c r="D65" s="4"/>
      <c r="E65" s="4"/>
      <c r="F65" s="4"/>
      <c r="G65" s="21" t="s">
        <v>16</v>
      </c>
      <c r="H65" s="37">
        <f>H64+H63</f>
        <v>17290.481897499998</v>
      </c>
      <c r="I65" s="38" t="str">
        <f>CONCATENATE("per ",C50)</f>
        <v>per cum</v>
      </c>
      <c r="J65" s="707"/>
      <c r="K65" s="708"/>
      <c r="L65" s="708"/>
      <c r="M65" s="708"/>
      <c r="N65" s="708"/>
      <c r="O65" s="708"/>
      <c r="P65" s="708"/>
      <c r="Q65" s="708"/>
      <c r="R65" s="709"/>
    </row>
    <row r="66" spans="1:18">
      <c r="A66" s="23"/>
      <c r="B66" s="11" t="s">
        <v>18</v>
      </c>
      <c r="C66" s="125" t="s">
        <v>19</v>
      </c>
      <c r="D66" s="4"/>
      <c r="E66" s="4"/>
      <c r="F66" s="4"/>
      <c r="G66" s="21" t="s">
        <v>16</v>
      </c>
      <c r="H66" s="37">
        <f>CEILING(H65,0.5)</f>
        <v>17290.5</v>
      </c>
      <c r="I66" s="38" t="str">
        <f>CONCATENATE("per ",C50)</f>
        <v>per cum</v>
      </c>
      <c r="J66" s="707"/>
      <c r="K66" s="708"/>
      <c r="L66" s="708"/>
      <c r="M66" s="708"/>
      <c r="N66" s="708"/>
      <c r="O66" s="708"/>
      <c r="P66" s="708"/>
      <c r="Q66" s="708"/>
      <c r="R66" s="709"/>
    </row>
    <row r="67" spans="1:18">
      <c r="A67" s="23"/>
      <c r="B67" s="11"/>
      <c r="C67" s="68"/>
      <c r="D67" s="4"/>
      <c r="E67" s="4"/>
      <c r="F67" s="4"/>
      <c r="G67" s="24" t="s">
        <v>17</v>
      </c>
      <c r="H67" s="37">
        <f>H66/exr</f>
        <v>133.00384615384615</v>
      </c>
      <c r="I67" s="38" t="str">
        <f>CONCATENATE("per ",C50)</f>
        <v>per cum</v>
      </c>
      <c r="J67" s="710"/>
      <c r="K67" s="711"/>
      <c r="L67" s="711"/>
      <c r="M67" s="711"/>
      <c r="N67" s="711"/>
      <c r="O67" s="711"/>
      <c r="P67" s="711"/>
      <c r="Q67" s="711"/>
      <c r="R67" s="712"/>
    </row>
    <row r="68" spans="1:18">
      <c r="A68" s="39"/>
      <c r="B68" s="40"/>
      <c r="C68" s="69"/>
      <c r="D68" s="41"/>
      <c r="E68" s="41"/>
      <c r="F68" s="41"/>
      <c r="G68" s="149" t="s">
        <v>460</v>
      </c>
      <c r="H68" s="150">
        <f>CEILING(SUM(R52)/H61,0.0025)</f>
        <v>2.5000000000000001E-3</v>
      </c>
      <c r="I68" s="42"/>
      <c r="J68" s="43"/>
      <c r="K68" s="43"/>
      <c r="L68" s="43"/>
      <c r="M68" s="43"/>
      <c r="N68" s="43"/>
      <c r="O68" s="43"/>
      <c r="P68" s="43"/>
      <c r="Q68" s="43"/>
      <c r="R68" s="44"/>
    </row>
    <row r="70" spans="1:18">
      <c r="A70" s="693" t="s">
        <v>0</v>
      </c>
      <c r="B70" s="695" t="s">
        <v>1</v>
      </c>
      <c r="C70" s="695" t="s">
        <v>2</v>
      </c>
      <c r="D70" s="697" t="s">
        <v>3</v>
      </c>
      <c r="E70" s="698"/>
      <c r="F70" s="698"/>
      <c r="G70" s="698"/>
      <c r="H70" s="698"/>
      <c r="I70" s="699" t="s">
        <v>4</v>
      </c>
      <c r="J70" s="700"/>
      <c r="K70" s="700"/>
      <c r="L70" s="700"/>
      <c r="M70" s="700"/>
      <c r="N70" s="698" t="s">
        <v>5</v>
      </c>
      <c r="O70" s="698"/>
      <c r="P70" s="698"/>
      <c r="Q70" s="698"/>
      <c r="R70" s="698"/>
    </row>
    <row r="71" spans="1:18">
      <c r="A71" s="694"/>
      <c r="B71" s="696"/>
      <c r="C71" s="696"/>
      <c r="D71" s="45" t="s">
        <v>6</v>
      </c>
      <c r="E71" s="46" t="s">
        <v>2</v>
      </c>
      <c r="F71" s="46" t="s">
        <v>7</v>
      </c>
      <c r="G71" s="46" t="s">
        <v>8</v>
      </c>
      <c r="H71" s="46" t="s">
        <v>9</v>
      </c>
      <c r="I71" s="46" t="s">
        <v>10</v>
      </c>
      <c r="J71" s="46" t="s">
        <v>2</v>
      </c>
      <c r="K71" s="46" t="s">
        <v>7</v>
      </c>
      <c r="L71" s="46" t="s">
        <v>8</v>
      </c>
      <c r="M71" s="47" t="s">
        <v>9</v>
      </c>
      <c r="N71" s="46" t="s">
        <v>10</v>
      </c>
      <c r="O71" s="46" t="s">
        <v>2</v>
      </c>
      <c r="P71" s="46" t="s">
        <v>7</v>
      </c>
      <c r="Q71" s="46" t="s">
        <v>8</v>
      </c>
      <c r="R71" s="46" t="s">
        <v>9</v>
      </c>
    </row>
    <row r="72" spans="1:18">
      <c r="A72" s="33" t="s">
        <v>23</v>
      </c>
      <c r="B72" s="73" t="s">
        <v>587</v>
      </c>
      <c r="C72" s="65"/>
      <c r="D72" s="31"/>
      <c r="E72" s="31"/>
      <c r="F72" s="31"/>
      <c r="G72" s="31"/>
      <c r="H72" s="31"/>
      <c r="I72" s="31"/>
      <c r="J72" s="31"/>
      <c r="K72" s="31"/>
      <c r="L72" s="31"/>
      <c r="M72" s="31"/>
      <c r="N72" s="31"/>
      <c r="O72" s="31"/>
      <c r="P72" s="31"/>
      <c r="Q72" s="31"/>
      <c r="R72" s="32"/>
    </row>
    <row r="73" spans="1:18" ht="15.75" customHeight="1">
      <c r="A73" s="34">
        <f>A50+1</f>
        <v>3</v>
      </c>
      <c r="B73" s="765" t="s">
        <v>585</v>
      </c>
      <c r="C73" s="66" t="s">
        <v>11</v>
      </c>
      <c r="D73" s="4"/>
      <c r="E73" s="6"/>
      <c r="F73" s="29"/>
      <c r="G73" s="26"/>
      <c r="H73" s="26"/>
      <c r="I73" s="6"/>
      <c r="J73" s="6"/>
      <c r="K73" s="29"/>
      <c r="L73" s="26"/>
      <c r="M73" s="26"/>
      <c r="N73" s="6"/>
      <c r="O73" s="6"/>
      <c r="P73" s="29"/>
      <c r="Q73" s="26"/>
      <c r="R73" s="26"/>
    </row>
    <row r="74" spans="1:18">
      <c r="A74" s="2"/>
      <c r="B74" s="766"/>
      <c r="C74" s="66"/>
      <c r="D74" s="4" t="s">
        <v>251</v>
      </c>
      <c r="E74" s="6" t="s">
        <v>81</v>
      </c>
      <c r="F74" s="157">
        <v>0.5</v>
      </c>
      <c r="G74" s="26">
        <f>sr</f>
        <v>1100</v>
      </c>
      <c r="H74" s="26">
        <f>F74*G74</f>
        <v>550</v>
      </c>
      <c r="I74" s="7" t="s">
        <v>252</v>
      </c>
      <c r="J74" s="8" t="s">
        <v>32</v>
      </c>
      <c r="K74" s="157">
        <v>0.33</v>
      </c>
      <c r="L74" s="28">
        <f>cement</f>
        <v>24049.69</v>
      </c>
      <c r="M74" s="26">
        <f t="shared" ref="M74:M80" si="3">K74*L74</f>
        <v>7936.3976999999995</v>
      </c>
      <c r="N74" s="8" t="s">
        <v>256</v>
      </c>
      <c r="O74" s="6" t="s">
        <v>101</v>
      </c>
      <c r="P74" s="29">
        <v>0.6</v>
      </c>
      <c r="Q74" s="28">
        <f>mixer</f>
        <v>216.32</v>
      </c>
      <c r="R74" s="26">
        <f>P74*Q74</f>
        <v>129.792</v>
      </c>
    </row>
    <row r="75" spans="1:18">
      <c r="A75" s="2"/>
      <c r="B75" s="766"/>
      <c r="C75" s="66"/>
      <c r="D75" s="4" t="s">
        <v>97</v>
      </c>
      <c r="E75" s="6" t="s">
        <v>81</v>
      </c>
      <c r="F75" s="157">
        <v>3.5</v>
      </c>
      <c r="G75" s="26">
        <f>ur</f>
        <v>850</v>
      </c>
      <c r="H75" s="26">
        <f>F75*G75</f>
        <v>2975</v>
      </c>
      <c r="I75" s="158" t="s">
        <v>253</v>
      </c>
      <c r="J75" s="8" t="s">
        <v>34</v>
      </c>
      <c r="K75" s="29">
        <v>0.57999999999999996</v>
      </c>
      <c r="L75" s="28">
        <f>Agg_40</f>
        <v>2450</v>
      </c>
      <c r="M75" s="26">
        <f t="shared" si="3"/>
        <v>1421</v>
      </c>
      <c r="N75" s="8" t="s">
        <v>257</v>
      </c>
      <c r="O75" s="6" t="s">
        <v>101</v>
      </c>
      <c r="P75" s="29">
        <v>0.25</v>
      </c>
      <c r="Q75" s="28">
        <f>vibrator_concrete</f>
        <v>108.16</v>
      </c>
      <c r="R75" s="26">
        <f>P75*Q75</f>
        <v>27.04</v>
      </c>
    </row>
    <row r="76" spans="1:18">
      <c r="A76" s="2"/>
      <c r="B76" s="766"/>
      <c r="C76" s="66"/>
      <c r="D76" s="4"/>
      <c r="E76" s="6"/>
      <c r="F76" s="29"/>
      <c r="G76" s="26"/>
      <c r="H76" s="26"/>
      <c r="I76" s="158" t="s">
        <v>258</v>
      </c>
      <c r="J76" s="8" t="s">
        <v>34</v>
      </c>
      <c r="K76" s="29">
        <v>0.3</v>
      </c>
      <c r="L76" s="28">
        <f>Agg_20</f>
        <v>2700</v>
      </c>
      <c r="M76" s="26">
        <f t="shared" si="3"/>
        <v>810</v>
      </c>
      <c r="N76" s="8"/>
      <c r="O76" s="6"/>
      <c r="P76" s="29"/>
      <c r="Q76" s="28"/>
      <c r="R76" s="28"/>
    </row>
    <row r="77" spans="1:18">
      <c r="A77" s="2"/>
      <c r="B77" s="766"/>
      <c r="C77" s="66"/>
      <c r="D77" s="4"/>
      <c r="E77" s="6"/>
      <c r="F77" s="29"/>
      <c r="G77" s="26"/>
      <c r="H77" s="26"/>
      <c r="I77" s="7" t="s">
        <v>254</v>
      </c>
      <c r="J77" s="8" t="s">
        <v>34</v>
      </c>
      <c r="K77" s="157">
        <v>0.44</v>
      </c>
      <c r="L77" s="28">
        <f>sand</f>
        <v>1050</v>
      </c>
      <c r="M77" s="26">
        <f t="shared" si="3"/>
        <v>462</v>
      </c>
      <c r="N77" s="8"/>
      <c r="O77" s="6"/>
      <c r="P77" s="29"/>
      <c r="Q77" s="28"/>
      <c r="R77" s="28"/>
    </row>
    <row r="78" spans="1:18">
      <c r="A78" s="2"/>
      <c r="B78" s="126"/>
      <c r="C78" s="66"/>
      <c r="D78" s="4"/>
      <c r="E78" s="6"/>
      <c r="F78" s="29"/>
      <c r="G78" s="26"/>
      <c r="H78" s="26"/>
      <c r="I78" s="7" t="s">
        <v>70</v>
      </c>
      <c r="J78" s="8" t="s">
        <v>250</v>
      </c>
      <c r="K78" s="29">
        <v>0.1</v>
      </c>
      <c r="L78" s="28">
        <f>petrol</f>
        <v>188.6</v>
      </c>
      <c r="M78" s="26">
        <f t="shared" si="3"/>
        <v>18.86</v>
      </c>
      <c r="N78" s="8"/>
      <c r="O78" s="6"/>
      <c r="P78" s="29"/>
      <c r="Q78" s="28"/>
      <c r="R78" s="28"/>
    </row>
    <row r="79" spans="1:18">
      <c r="A79" s="2"/>
      <c r="B79" s="126"/>
      <c r="C79" s="66"/>
      <c r="D79" s="4"/>
      <c r="E79" s="6"/>
      <c r="F79" s="29"/>
      <c r="G79" s="26"/>
      <c r="H79" s="26"/>
      <c r="I79" s="7" t="s">
        <v>67</v>
      </c>
      <c r="J79" s="8" t="s">
        <v>250</v>
      </c>
      <c r="K79" s="157">
        <v>3</v>
      </c>
      <c r="L79" s="28">
        <f>diesel</f>
        <v>177.6</v>
      </c>
      <c r="M79" s="26">
        <f t="shared" si="3"/>
        <v>532.79999999999995</v>
      </c>
      <c r="N79" s="8"/>
      <c r="O79" s="6"/>
      <c r="P79" s="29"/>
      <c r="Q79" s="28"/>
      <c r="R79" s="28"/>
    </row>
    <row r="80" spans="1:18">
      <c r="A80" s="2"/>
      <c r="B80" s="126"/>
      <c r="C80" s="66"/>
      <c r="D80" s="4"/>
      <c r="E80" s="6"/>
      <c r="F80" s="29"/>
      <c r="G80" s="26"/>
      <c r="H80" s="26"/>
      <c r="I80" s="7" t="s">
        <v>255</v>
      </c>
      <c r="J80" s="8" t="s">
        <v>250</v>
      </c>
      <c r="K80" s="29">
        <v>198</v>
      </c>
      <c r="L80" s="28"/>
      <c r="M80" s="26">
        <f t="shared" si="3"/>
        <v>0</v>
      </c>
      <c r="N80" s="8"/>
      <c r="O80" s="6"/>
      <c r="P80" s="29"/>
      <c r="Q80" s="28"/>
      <c r="R80" s="28"/>
    </row>
    <row r="81" spans="1:18">
      <c r="A81" s="2"/>
      <c r="B81" s="126"/>
      <c r="C81" s="66"/>
      <c r="D81" s="4"/>
      <c r="E81" s="6"/>
      <c r="F81" s="29"/>
      <c r="G81" s="26"/>
      <c r="H81" s="26"/>
      <c r="I81" s="7"/>
      <c r="J81" s="8"/>
      <c r="K81" s="29"/>
      <c r="L81" s="28"/>
      <c r="M81" s="26"/>
      <c r="N81" s="8"/>
      <c r="O81" s="6"/>
      <c r="P81" s="29"/>
      <c r="Q81" s="28"/>
      <c r="R81" s="28"/>
    </row>
    <row r="82" spans="1:18">
      <c r="A82" s="2"/>
      <c r="B82" s="5"/>
      <c r="C82" s="66"/>
      <c r="D82" s="4"/>
      <c r="E82" s="9"/>
      <c r="F82" s="30"/>
      <c r="G82" s="27"/>
      <c r="H82" s="27"/>
      <c r="I82" s="9"/>
      <c r="J82" s="10"/>
      <c r="K82" s="30"/>
      <c r="L82" s="28"/>
      <c r="M82" s="28"/>
      <c r="N82" s="8"/>
      <c r="O82" s="6"/>
      <c r="P82" s="30"/>
      <c r="Q82" s="28"/>
      <c r="R82" s="28"/>
    </row>
    <row r="83" spans="1:18">
      <c r="A83" s="2"/>
      <c r="B83" s="11"/>
      <c r="C83" s="66"/>
      <c r="D83" s="12"/>
      <c r="E83" s="524"/>
      <c r="F83" s="13"/>
      <c r="G83" s="13" t="s">
        <v>20</v>
      </c>
      <c r="H83" s="25">
        <f>SUM(H73:H82)</f>
        <v>3525</v>
      </c>
      <c r="I83" s="703"/>
      <c r="J83" s="703"/>
      <c r="K83" s="14"/>
      <c r="L83" s="13" t="s">
        <v>21</v>
      </c>
      <c r="M83" s="25">
        <f>SUM(M73:M82)</f>
        <v>11181.057699999999</v>
      </c>
      <c r="N83" s="3"/>
      <c r="O83" s="14"/>
      <c r="P83" s="14"/>
      <c r="Q83" s="13" t="s">
        <v>22</v>
      </c>
      <c r="R83" s="25">
        <f>SUM(R73:R82)</f>
        <v>156.83199999999999</v>
      </c>
    </row>
    <row r="84" spans="1:18">
      <c r="A84" s="2"/>
      <c r="B84" s="16" t="s">
        <v>13</v>
      </c>
      <c r="C84" s="67"/>
      <c r="D84" s="14"/>
      <c r="E84" s="14"/>
      <c r="F84" s="14"/>
      <c r="G84" s="13"/>
      <c r="H84" s="35">
        <f>M83+R83+H83</f>
        <v>14862.8897</v>
      </c>
      <c r="I84" s="17"/>
      <c r="J84" s="14"/>
      <c r="K84" s="14"/>
      <c r="L84" s="13"/>
      <c r="M84" s="15"/>
      <c r="N84" s="14"/>
      <c r="O84" s="14"/>
      <c r="P84" s="14"/>
      <c r="Q84" s="14"/>
      <c r="R84" s="17"/>
    </row>
    <row r="85" spans="1:18">
      <c r="A85" s="2"/>
      <c r="B85" s="11" t="s">
        <v>25</v>
      </c>
      <c r="C85" s="4" t="s">
        <v>647</v>
      </c>
      <c r="D85" s="4"/>
      <c r="E85" s="4"/>
      <c r="F85" s="4"/>
      <c r="G85" s="18"/>
      <c r="H85" s="36">
        <f>20%*H83</f>
        <v>705</v>
      </c>
      <c r="I85" s="20"/>
      <c r="J85" s="4" t="s">
        <v>26</v>
      </c>
      <c r="K85" s="4"/>
      <c r="L85" s="18"/>
      <c r="M85" s="19"/>
      <c r="N85" s="4"/>
      <c r="O85" s="4"/>
      <c r="P85" s="4"/>
      <c r="Q85" s="4"/>
      <c r="R85" s="20"/>
    </row>
    <row r="86" spans="1:18">
      <c r="A86" s="23"/>
      <c r="B86" s="11" t="s">
        <v>14</v>
      </c>
      <c r="C86" s="68"/>
      <c r="D86" s="4"/>
      <c r="E86" s="4"/>
      <c r="F86" s="4"/>
      <c r="G86" s="18"/>
      <c r="H86" s="36">
        <f>SUM(H84:H85)</f>
        <v>15567.8897</v>
      </c>
      <c r="I86" s="20"/>
      <c r="J86" s="704"/>
      <c r="K86" s="705"/>
      <c r="L86" s="705"/>
      <c r="M86" s="705"/>
      <c r="N86" s="705"/>
      <c r="O86" s="705"/>
      <c r="P86" s="705"/>
      <c r="Q86" s="705"/>
      <c r="R86" s="706"/>
    </row>
    <row r="87" spans="1:18">
      <c r="A87" s="23"/>
      <c r="B87" s="11" t="s">
        <v>24</v>
      </c>
      <c r="C87" s="68"/>
      <c r="D87" s="4"/>
      <c r="E87" s="4"/>
      <c r="F87" s="4"/>
      <c r="G87" s="18"/>
      <c r="H87" s="36">
        <f>H86*15%</f>
        <v>2335.1834549999999</v>
      </c>
      <c r="I87" s="20"/>
      <c r="J87" s="707"/>
      <c r="K87" s="708"/>
      <c r="L87" s="708"/>
      <c r="M87" s="708"/>
      <c r="N87" s="708"/>
      <c r="O87" s="708"/>
      <c r="P87" s="708"/>
      <c r="Q87" s="708"/>
      <c r="R87" s="709"/>
    </row>
    <row r="88" spans="1:18">
      <c r="A88" s="23"/>
      <c r="B88" s="11" t="s">
        <v>15</v>
      </c>
      <c r="C88" s="68"/>
      <c r="D88" s="4"/>
      <c r="E88" s="4"/>
      <c r="F88" s="4"/>
      <c r="G88" s="21" t="s">
        <v>16</v>
      </c>
      <c r="H88" s="37">
        <f>H87+H86</f>
        <v>17903.073154999998</v>
      </c>
      <c r="I88" s="38" t="str">
        <f>CONCATENATE("per ",C73)</f>
        <v>per cum</v>
      </c>
      <c r="J88" s="707"/>
      <c r="K88" s="708"/>
      <c r="L88" s="708"/>
      <c r="M88" s="708"/>
      <c r="N88" s="708"/>
      <c r="O88" s="708"/>
      <c r="P88" s="708"/>
      <c r="Q88" s="708"/>
      <c r="R88" s="709"/>
    </row>
    <row r="89" spans="1:18">
      <c r="A89" s="23"/>
      <c r="B89" s="11" t="s">
        <v>18</v>
      </c>
      <c r="C89" s="125" t="s">
        <v>19</v>
      </c>
      <c r="D89" s="4"/>
      <c r="E89" s="4"/>
      <c r="F89" s="4"/>
      <c r="G89" s="21" t="s">
        <v>16</v>
      </c>
      <c r="H89" s="37">
        <f>CEILING(H88,0.5)</f>
        <v>17903.5</v>
      </c>
      <c r="I89" s="38" t="str">
        <f>CONCATENATE("per ",C73)</f>
        <v>per cum</v>
      </c>
      <c r="J89" s="707"/>
      <c r="K89" s="708"/>
      <c r="L89" s="708"/>
      <c r="M89" s="708"/>
      <c r="N89" s="708"/>
      <c r="O89" s="708"/>
      <c r="P89" s="708"/>
      <c r="Q89" s="708"/>
      <c r="R89" s="709"/>
    </row>
    <row r="90" spans="1:18">
      <c r="A90" s="23"/>
      <c r="B90" s="11"/>
      <c r="C90" s="68"/>
      <c r="D90" s="4"/>
      <c r="E90" s="4"/>
      <c r="F90" s="4"/>
      <c r="G90" s="24" t="s">
        <v>17</v>
      </c>
      <c r="H90" s="37">
        <f>H89/exr</f>
        <v>137.71923076923076</v>
      </c>
      <c r="I90" s="38" t="str">
        <f>CONCATENATE("per ",C73)</f>
        <v>per cum</v>
      </c>
      <c r="J90" s="710"/>
      <c r="K90" s="711"/>
      <c r="L90" s="711"/>
      <c r="M90" s="711"/>
      <c r="N90" s="711"/>
      <c r="O90" s="711"/>
      <c r="P90" s="711"/>
      <c r="Q90" s="711"/>
      <c r="R90" s="712"/>
    </row>
    <row r="91" spans="1:18">
      <c r="A91" s="39"/>
      <c r="B91" s="40"/>
      <c r="C91" s="69"/>
      <c r="D91" s="41"/>
      <c r="E91" s="41"/>
      <c r="F91" s="41"/>
      <c r="G91" s="149" t="s">
        <v>460</v>
      </c>
      <c r="H91" s="150">
        <f>CEILING(SUM(M78,M79,R74,R75)/H84,0.0025)</f>
        <v>0.05</v>
      </c>
      <c r="I91" s="42"/>
      <c r="J91" s="43"/>
      <c r="K91" s="43"/>
      <c r="L91" s="43"/>
      <c r="M91" s="43"/>
      <c r="N91" s="43"/>
      <c r="O91" s="43"/>
      <c r="P91" s="43"/>
      <c r="Q91" s="43"/>
      <c r="R91" s="44"/>
    </row>
    <row r="93" spans="1:18">
      <c r="A93" s="693" t="s">
        <v>0</v>
      </c>
      <c r="B93" s="695" t="s">
        <v>1</v>
      </c>
      <c r="C93" s="695" t="s">
        <v>2</v>
      </c>
      <c r="D93" s="697" t="s">
        <v>3</v>
      </c>
      <c r="E93" s="698"/>
      <c r="F93" s="698"/>
      <c r="G93" s="698"/>
      <c r="H93" s="698"/>
      <c r="I93" s="699" t="s">
        <v>4</v>
      </c>
      <c r="J93" s="700"/>
      <c r="K93" s="700"/>
      <c r="L93" s="700"/>
      <c r="M93" s="700"/>
      <c r="N93" s="698" t="s">
        <v>5</v>
      </c>
      <c r="O93" s="698"/>
      <c r="P93" s="698"/>
      <c r="Q93" s="698"/>
      <c r="R93" s="698"/>
    </row>
    <row r="94" spans="1:18">
      <c r="A94" s="694"/>
      <c r="B94" s="696"/>
      <c r="C94" s="696"/>
      <c r="D94" s="45" t="s">
        <v>6</v>
      </c>
      <c r="E94" s="46" t="s">
        <v>2</v>
      </c>
      <c r="F94" s="46" t="s">
        <v>7</v>
      </c>
      <c r="G94" s="46" t="s">
        <v>8</v>
      </c>
      <c r="H94" s="46" t="s">
        <v>9</v>
      </c>
      <c r="I94" s="46" t="s">
        <v>10</v>
      </c>
      <c r="J94" s="46" t="s">
        <v>2</v>
      </c>
      <c r="K94" s="46" t="s">
        <v>7</v>
      </c>
      <c r="L94" s="46" t="s">
        <v>8</v>
      </c>
      <c r="M94" s="47" t="s">
        <v>9</v>
      </c>
      <c r="N94" s="46" t="s">
        <v>10</v>
      </c>
      <c r="O94" s="46" t="s">
        <v>2</v>
      </c>
      <c r="P94" s="46" t="s">
        <v>7</v>
      </c>
      <c r="Q94" s="46" t="s">
        <v>8</v>
      </c>
      <c r="R94" s="46" t="s">
        <v>9</v>
      </c>
    </row>
    <row r="95" spans="1:18">
      <c r="A95" s="33" t="s">
        <v>23</v>
      </c>
      <c r="B95" s="73" t="s">
        <v>588</v>
      </c>
      <c r="C95" s="65"/>
      <c r="D95" s="31"/>
      <c r="E95" s="31"/>
      <c r="F95" s="31"/>
      <c r="G95" s="31"/>
      <c r="H95" s="31"/>
      <c r="I95" s="31"/>
      <c r="J95" s="31"/>
      <c r="K95" s="31"/>
      <c r="L95" s="31"/>
      <c r="M95" s="31"/>
      <c r="N95" s="31"/>
      <c r="O95" s="31"/>
      <c r="P95" s="31"/>
      <c r="Q95" s="31"/>
      <c r="R95" s="32"/>
    </row>
    <row r="96" spans="1:18" ht="15.75" customHeight="1">
      <c r="A96" s="34">
        <f>A73+1</f>
        <v>4</v>
      </c>
      <c r="B96" s="765" t="s">
        <v>586</v>
      </c>
      <c r="C96" s="66" t="s">
        <v>11</v>
      </c>
      <c r="D96" s="4"/>
      <c r="E96" s="6"/>
      <c r="F96" s="29"/>
      <c r="G96" s="26"/>
      <c r="H96" s="26"/>
      <c r="I96" s="6"/>
      <c r="J96" s="6"/>
      <c r="K96" s="29"/>
      <c r="L96" s="26"/>
      <c r="M96" s="26"/>
      <c r="N96" s="6"/>
      <c r="O96" s="6"/>
      <c r="P96" s="29"/>
      <c r="Q96" s="26"/>
      <c r="R96" s="26"/>
    </row>
    <row r="97" spans="1:18">
      <c r="A97" s="2"/>
      <c r="B97" s="766"/>
      <c r="C97" s="66"/>
      <c r="D97" s="4" t="s">
        <v>251</v>
      </c>
      <c r="E97" s="6" t="s">
        <v>81</v>
      </c>
      <c r="F97" s="157">
        <v>1</v>
      </c>
      <c r="G97" s="26">
        <f>sr</f>
        <v>1100</v>
      </c>
      <c r="H97" s="26">
        <f>F97*G97</f>
        <v>1100</v>
      </c>
      <c r="I97" s="7" t="s">
        <v>252</v>
      </c>
      <c r="J97" s="8" t="s">
        <v>32</v>
      </c>
      <c r="K97" s="157">
        <v>0.36499999999999999</v>
      </c>
      <c r="L97" s="28">
        <f>cement</f>
        <v>24049.69</v>
      </c>
      <c r="M97" s="26">
        <f>K97*L97</f>
        <v>8778.136849999999</v>
      </c>
      <c r="N97" s="8"/>
      <c r="O97" s="6"/>
      <c r="P97" s="29"/>
      <c r="Q97" s="28"/>
      <c r="R97" s="26"/>
    </row>
    <row r="98" spans="1:18">
      <c r="A98" s="2"/>
      <c r="B98" s="766"/>
      <c r="C98" s="66"/>
      <c r="D98" s="4" t="s">
        <v>97</v>
      </c>
      <c r="E98" s="6" t="s">
        <v>81</v>
      </c>
      <c r="F98" s="157">
        <v>4</v>
      </c>
      <c r="G98" s="26">
        <f>ur</f>
        <v>850</v>
      </c>
      <c r="H98" s="26">
        <f>F98*G98</f>
        <v>3400</v>
      </c>
      <c r="I98" s="7" t="s">
        <v>258</v>
      </c>
      <c r="J98" s="8" t="s">
        <v>34</v>
      </c>
      <c r="K98" s="29">
        <v>0.57999999999999996</v>
      </c>
      <c r="L98" s="28">
        <f>Agg_20</f>
        <v>2700</v>
      </c>
      <c r="M98" s="26">
        <f>K98*L98</f>
        <v>1566</v>
      </c>
      <c r="N98" s="8" t="s">
        <v>257</v>
      </c>
      <c r="O98" s="6" t="s">
        <v>101</v>
      </c>
      <c r="P98" s="29">
        <v>0.25</v>
      </c>
      <c r="Q98" s="28">
        <f>vibrator_concrete</f>
        <v>108.16</v>
      </c>
      <c r="R98" s="26">
        <f>P98*Q98</f>
        <v>27.04</v>
      </c>
    </row>
    <row r="99" spans="1:18">
      <c r="A99" s="2"/>
      <c r="B99" s="766"/>
      <c r="C99" s="66"/>
      <c r="D99" s="4"/>
      <c r="E99" s="6"/>
      <c r="F99" s="29"/>
      <c r="G99" s="26"/>
      <c r="H99" s="26"/>
      <c r="I99" s="7" t="s">
        <v>259</v>
      </c>
      <c r="J99" s="8" t="s">
        <v>34</v>
      </c>
      <c r="K99" s="29">
        <v>0.3</v>
      </c>
      <c r="L99" s="28">
        <f>Agg_10</f>
        <v>2950</v>
      </c>
      <c r="M99" s="26">
        <f>K99*L99</f>
        <v>885</v>
      </c>
      <c r="N99" s="8"/>
      <c r="O99" s="6"/>
      <c r="P99" s="29"/>
      <c r="Q99" s="28"/>
      <c r="R99" s="28"/>
    </row>
    <row r="100" spans="1:18">
      <c r="A100" s="2"/>
      <c r="B100" s="766"/>
      <c r="C100" s="66"/>
      <c r="D100" s="4"/>
      <c r="E100" s="6"/>
      <c r="F100" s="29"/>
      <c r="G100" s="26"/>
      <c r="H100" s="26"/>
      <c r="I100" s="7" t="s">
        <v>254</v>
      </c>
      <c r="J100" s="8" t="s">
        <v>34</v>
      </c>
      <c r="K100" s="157">
        <v>0.44</v>
      </c>
      <c r="L100" s="28">
        <f>sand</f>
        <v>1050</v>
      </c>
      <c r="M100" s="26">
        <f>K100*L100</f>
        <v>462</v>
      </c>
      <c r="N100" s="8"/>
      <c r="O100" s="6"/>
      <c r="P100" s="29"/>
      <c r="Q100" s="28"/>
      <c r="R100" s="28"/>
    </row>
    <row r="101" spans="1:18">
      <c r="A101" s="2"/>
      <c r="B101" s="126"/>
      <c r="C101" s="66"/>
      <c r="D101" s="4"/>
      <c r="E101" s="6"/>
      <c r="F101" s="29"/>
      <c r="G101" s="26"/>
      <c r="H101" s="26"/>
      <c r="I101" s="7" t="s">
        <v>255</v>
      </c>
      <c r="J101" s="8" t="s">
        <v>250</v>
      </c>
      <c r="K101" s="29">
        <v>219</v>
      </c>
      <c r="L101" s="28"/>
      <c r="M101" s="26">
        <f>K101*L101</f>
        <v>0</v>
      </c>
      <c r="N101" s="8"/>
      <c r="O101" s="6"/>
      <c r="P101" s="29"/>
      <c r="Q101" s="28"/>
      <c r="R101" s="28"/>
    </row>
    <row r="102" spans="1:18">
      <c r="A102" s="2"/>
      <c r="B102" s="126"/>
      <c r="C102" s="66"/>
      <c r="D102" s="4"/>
      <c r="E102" s="6"/>
      <c r="F102" s="29"/>
      <c r="G102" s="26"/>
      <c r="H102" s="26"/>
      <c r="I102" s="7"/>
      <c r="J102" s="8"/>
      <c r="K102" s="29"/>
      <c r="L102" s="28"/>
      <c r="M102" s="26"/>
      <c r="N102" s="8"/>
      <c r="O102" s="6"/>
      <c r="P102" s="29"/>
      <c r="Q102" s="28"/>
      <c r="R102" s="28"/>
    </row>
    <row r="103" spans="1:18">
      <c r="A103" s="2"/>
      <c r="B103" s="126"/>
      <c r="C103" s="66"/>
      <c r="D103" s="4"/>
      <c r="E103" s="6"/>
      <c r="F103" s="29"/>
      <c r="G103" s="26"/>
      <c r="H103" s="26"/>
      <c r="I103" s="7"/>
      <c r="J103" s="8"/>
      <c r="K103" s="29"/>
      <c r="L103" s="28"/>
      <c r="M103" s="26"/>
      <c r="N103" s="8"/>
      <c r="O103" s="6"/>
      <c r="P103" s="29"/>
      <c r="Q103" s="28"/>
      <c r="R103" s="28"/>
    </row>
    <row r="104" spans="1:18">
      <c r="A104" s="2"/>
      <c r="B104" s="126"/>
      <c r="C104" s="66"/>
      <c r="D104" s="4"/>
      <c r="E104" s="6"/>
      <c r="F104" s="29"/>
      <c r="G104" s="26"/>
      <c r="H104" s="26"/>
      <c r="I104" s="7"/>
      <c r="J104" s="8"/>
      <c r="K104" s="29"/>
      <c r="L104" s="28"/>
      <c r="M104" s="26"/>
      <c r="N104" s="8"/>
      <c r="O104" s="6"/>
      <c r="P104" s="29"/>
      <c r="Q104" s="28"/>
      <c r="R104" s="28"/>
    </row>
    <row r="105" spans="1:18">
      <c r="A105" s="2"/>
      <c r="B105" s="5"/>
      <c r="C105" s="66"/>
      <c r="D105" s="4"/>
      <c r="E105" s="9"/>
      <c r="F105" s="30"/>
      <c r="G105" s="27"/>
      <c r="H105" s="27"/>
      <c r="I105" s="9"/>
      <c r="J105" s="10"/>
      <c r="K105" s="30"/>
      <c r="L105" s="28"/>
      <c r="M105" s="28"/>
      <c r="N105" s="8"/>
      <c r="O105" s="6"/>
      <c r="P105" s="30"/>
      <c r="Q105" s="28"/>
      <c r="R105" s="28"/>
    </row>
    <row r="106" spans="1:18">
      <c r="A106" s="2"/>
      <c r="B106" s="11"/>
      <c r="C106" s="66"/>
      <c r="D106" s="12"/>
      <c r="E106" s="524"/>
      <c r="F106" s="13"/>
      <c r="G106" s="13" t="s">
        <v>20</v>
      </c>
      <c r="H106" s="25">
        <f>SUM(H96:H105)</f>
        <v>4500</v>
      </c>
      <c r="I106" s="703"/>
      <c r="J106" s="703"/>
      <c r="K106" s="14"/>
      <c r="L106" s="13" t="s">
        <v>21</v>
      </c>
      <c r="M106" s="25">
        <f>SUM(M96:M105)</f>
        <v>11691.136849999999</v>
      </c>
      <c r="N106" s="3"/>
      <c r="O106" s="14"/>
      <c r="P106" s="14"/>
      <c r="Q106" s="13" t="s">
        <v>22</v>
      </c>
      <c r="R106" s="25">
        <f>SUM(R96:R105)</f>
        <v>27.04</v>
      </c>
    </row>
    <row r="107" spans="1:18">
      <c r="A107" s="2"/>
      <c r="B107" s="16" t="s">
        <v>13</v>
      </c>
      <c r="C107" s="67"/>
      <c r="D107" s="14"/>
      <c r="E107" s="14"/>
      <c r="F107" s="14"/>
      <c r="G107" s="13"/>
      <c r="H107" s="35">
        <f>M106+R106+H106</f>
        <v>16218.17685</v>
      </c>
      <c r="I107" s="17"/>
      <c r="J107" s="14"/>
      <c r="K107" s="14"/>
      <c r="L107" s="13"/>
      <c r="M107" s="15"/>
      <c r="N107" s="14"/>
      <c r="O107" s="14"/>
      <c r="P107" s="14"/>
      <c r="Q107" s="14"/>
      <c r="R107" s="17"/>
    </row>
    <row r="108" spans="1:18">
      <c r="A108" s="2"/>
      <c r="B108" s="11" t="s">
        <v>25</v>
      </c>
      <c r="C108" s="4" t="s">
        <v>647</v>
      </c>
      <c r="D108" s="4"/>
      <c r="E108" s="4"/>
      <c r="F108" s="4"/>
      <c r="G108" s="18"/>
      <c r="H108" s="36">
        <f>20%*H106</f>
        <v>900</v>
      </c>
      <c r="I108" s="20"/>
      <c r="J108" s="4" t="s">
        <v>26</v>
      </c>
      <c r="K108" s="4"/>
      <c r="L108" s="18"/>
      <c r="M108" s="19"/>
      <c r="N108" s="4"/>
      <c r="O108" s="4"/>
      <c r="P108" s="4"/>
      <c r="Q108" s="4"/>
      <c r="R108" s="20"/>
    </row>
    <row r="109" spans="1:18">
      <c r="A109" s="23"/>
      <c r="B109" s="11" t="s">
        <v>14</v>
      </c>
      <c r="C109" s="68"/>
      <c r="D109" s="4"/>
      <c r="E109" s="4"/>
      <c r="F109" s="4"/>
      <c r="G109" s="18"/>
      <c r="H109" s="36">
        <f>SUM(H107:H108)</f>
        <v>17118.17685</v>
      </c>
      <c r="I109" s="20"/>
      <c r="J109" s="704"/>
      <c r="K109" s="705"/>
      <c r="L109" s="705"/>
      <c r="M109" s="705"/>
      <c r="N109" s="705"/>
      <c r="O109" s="705"/>
      <c r="P109" s="705"/>
      <c r="Q109" s="705"/>
      <c r="R109" s="706"/>
    </row>
    <row r="110" spans="1:18">
      <c r="A110" s="23"/>
      <c r="B110" s="11" t="s">
        <v>24</v>
      </c>
      <c r="C110" s="68"/>
      <c r="D110" s="4"/>
      <c r="E110" s="4"/>
      <c r="F110" s="4"/>
      <c r="G110" s="18"/>
      <c r="H110" s="36">
        <f>H109*15%</f>
        <v>2567.7265275</v>
      </c>
      <c r="I110" s="20"/>
      <c r="J110" s="707"/>
      <c r="K110" s="708"/>
      <c r="L110" s="708"/>
      <c r="M110" s="708"/>
      <c r="N110" s="708"/>
      <c r="O110" s="708"/>
      <c r="P110" s="708"/>
      <c r="Q110" s="708"/>
      <c r="R110" s="709"/>
    </row>
    <row r="111" spans="1:18">
      <c r="A111" s="23"/>
      <c r="B111" s="11" t="s">
        <v>15</v>
      </c>
      <c r="C111" s="68"/>
      <c r="D111" s="4"/>
      <c r="E111" s="4"/>
      <c r="F111" s="4"/>
      <c r="G111" s="21" t="s">
        <v>16</v>
      </c>
      <c r="H111" s="37">
        <f>H110+H109</f>
        <v>19685.903377499999</v>
      </c>
      <c r="I111" s="38" t="str">
        <f>CONCATENATE("per ",C96)</f>
        <v>per cum</v>
      </c>
      <c r="J111" s="707"/>
      <c r="K111" s="708"/>
      <c r="L111" s="708"/>
      <c r="M111" s="708"/>
      <c r="N111" s="708"/>
      <c r="O111" s="708"/>
      <c r="P111" s="708"/>
      <c r="Q111" s="708"/>
      <c r="R111" s="709"/>
    </row>
    <row r="112" spans="1:18">
      <c r="A112" s="23"/>
      <c r="B112" s="11" t="s">
        <v>18</v>
      </c>
      <c r="C112" s="125" t="s">
        <v>19</v>
      </c>
      <c r="D112" s="4"/>
      <c r="E112" s="4"/>
      <c r="F112" s="4"/>
      <c r="G112" s="21" t="s">
        <v>16</v>
      </c>
      <c r="H112" s="37">
        <f>CEILING(H111,0.5)</f>
        <v>19686</v>
      </c>
      <c r="I112" s="38" t="str">
        <f>CONCATENATE("per ",C96)</f>
        <v>per cum</v>
      </c>
      <c r="J112" s="707"/>
      <c r="K112" s="708"/>
      <c r="L112" s="708"/>
      <c r="M112" s="708"/>
      <c r="N112" s="708"/>
      <c r="O112" s="708"/>
      <c r="P112" s="708"/>
      <c r="Q112" s="708"/>
      <c r="R112" s="709"/>
    </row>
    <row r="113" spans="1:18">
      <c r="A113" s="23"/>
      <c r="B113" s="11"/>
      <c r="C113" s="68"/>
      <c r="D113" s="4"/>
      <c r="E113" s="4"/>
      <c r="F113" s="4"/>
      <c r="G113" s="24" t="s">
        <v>17</v>
      </c>
      <c r="H113" s="37">
        <f>H112/exr</f>
        <v>151.43076923076924</v>
      </c>
      <c r="I113" s="38" t="str">
        <f>CONCATENATE("per ",C96)</f>
        <v>per cum</v>
      </c>
      <c r="J113" s="710"/>
      <c r="K113" s="711"/>
      <c r="L113" s="711"/>
      <c r="M113" s="711"/>
      <c r="N113" s="711"/>
      <c r="O113" s="711"/>
      <c r="P113" s="711"/>
      <c r="Q113" s="711"/>
      <c r="R113" s="712"/>
    </row>
    <row r="114" spans="1:18">
      <c r="A114" s="39"/>
      <c r="B114" s="40"/>
      <c r="C114" s="69"/>
      <c r="D114" s="41"/>
      <c r="E114" s="41"/>
      <c r="F114" s="41"/>
      <c r="G114" s="149" t="s">
        <v>460</v>
      </c>
      <c r="H114" s="150">
        <f>CEILING(SUM(R98)/H107,0.0025)</f>
        <v>2.5000000000000001E-3</v>
      </c>
      <c r="I114" s="42"/>
      <c r="J114" s="43"/>
      <c r="K114" s="43"/>
      <c r="L114" s="43"/>
      <c r="M114" s="43"/>
      <c r="N114" s="43"/>
      <c r="O114" s="43"/>
      <c r="P114" s="43"/>
      <c r="Q114" s="43"/>
      <c r="R114" s="44"/>
    </row>
    <row r="116" spans="1:18">
      <c r="A116" s="693" t="s">
        <v>0</v>
      </c>
      <c r="B116" s="695" t="s">
        <v>1</v>
      </c>
      <c r="C116" s="695" t="s">
        <v>2</v>
      </c>
      <c r="D116" s="697" t="s">
        <v>3</v>
      </c>
      <c r="E116" s="698"/>
      <c r="F116" s="698"/>
      <c r="G116" s="698"/>
      <c r="H116" s="698"/>
      <c r="I116" s="699" t="s">
        <v>4</v>
      </c>
      <c r="J116" s="700"/>
      <c r="K116" s="700"/>
      <c r="L116" s="700"/>
      <c r="M116" s="700"/>
      <c r="N116" s="698" t="s">
        <v>5</v>
      </c>
      <c r="O116" s="698"/>
      <c r="P116" s="698"/>
      <c r="Q116" s="698"/>
      <c r="R116" s="698"/>
    </row>
    <row r="117" spans="1:18">
      <c r="A117" s="694"/>
      <c r="B117" s="696"/>
      <c r="C117" s="696"/>
      <c r="D117" s="45" t="s">
        <v>6</v>
      </c>
      <c r="E117" s="46" t="s">
        <v>2</v>
      </c>
      <c r="F117" s="46" t="s">
        <v>7</v>
      </c>
      <c r="G117" s="46" t="s">
        <v>8</v>
      </c>
      <c r="H117" s="46" t="s">
        <v>9</v>
      </c>
      <c r="I117" s="46" t="s">
        <v>10</v>
      </c>
      <c r="J117" s="46" t="s">
        <v>2</v>
      </c>
      <c r="K117" s="46" t="s">
        <v>7</v>
      </c>
      <c r="L117" s="46" t="s">
        <v>8</v>
      </c>
      <c r="M117" s="47" t="s">
        <v>9</v>
      </c>
      <c r="N117" s="46" t="s">
        <v>10</v>
      </c>
      <c r="O117" s="46" t="s">
        <v>2</v>
      </c>
      <c r="P117" s="46" t="s">
        <v>7</v>
      </c>
      <c r="Q117" s="46" t="s">
        <v>8</v>
      </c>
      <c r="R117" s="46" t="s">
        <v>9</v>
      </c>
    </row>
    <row r="118" spans="1:18">
      <c r="A118" s="33" t="s">
        <v>23</v>
      </c>
      <c r="B118" s="73" t="s">
        <v>583</v>
      </c>
      <c r="C118" s="65"/>
      <c r="D118" s="31"/>
      <c r="E118" s="31"/>
      <c r="F118" s="31"/>
      <c r="G118" s="31"/>
      <c r="H118" s="31"/>
      <c r="I118" s="31"/>
      <c r="J118" s="31"/>
      <c r="K118" s="31"/>
      <c r="L118" s="31"/>
      <c r="M118" s="31"/>
      <c r="N118" s="31"/>
      <c r="O118" s="31"/>
      <c r="P118" s="31"/>
      <c r="Q118" s="31"/>
      <c r="R118" s="32"/>
    </row>
    <row r="119" spans="1:18" ht="15.75" customHeight="1">
      <c r="A119" s="34">
        <f>A96+1</f>
        <v>5</v>
      </c>
      <c r="B119" s="763" t="s">
        <v>644</v>
      </c>
      <c r="C119" s="66" t="s">
        <v>11</v>
      </c>
      <c r="D119" s="4"/>
      <c r="E119" s="6"/>
      <c r="F119" s="29"/>
      <c r="G119" s="26"/>
      <c r="H119" s="26"/>
      <c r="I119" s="6"/>
      <c r="J119" s="6"/>
      <c r="K119" s="29"/>
      <c r="L119" s="26"/>
      <c r="M119" s="26"/>
      <c r="N119" s="6"/>
      <c r="O119" s="6"/>
      <c r="P119" s="29"/>
      <c r="Q119" s="26"/>
      <c r="R119" s="26"/>
    </row>
    <row r="120" spans="1:18">
      <c r="A120" s="2"/>
      <c r="B120" s="764"/>
      <c r="C120" s="66"/>
      <c r="D120" s="4" t="s">
        <v>251</v>
      </c>
      <c r="E120" s="6" t="s">
        <v>81</v>
      </c>
      <c r="F120" s="156">
        <v>0.8</v>
      </c>
      <c r="G120" s="26">
        <f>sr</f>
        <v>1100</v>
      </c>
      <c r="H120" s="26">
        <f>F120*G120</f>
        <v>880</v>
      </c>
      <c r="I120" s="7" t="s">
        <v>252</v>
      </c>
      <c r="J120" s="8" t="s">
        <v>32</v>
      </c>
      <c r="K120" s="156">
        <v>0.33</v>
      </c>
      <c r="L120" s="28">
        <f>cement</f>
        <v>24049.69</v>
      </c>
      <c r="M120" s="26">
        <f t="shared" ref="M120:M126" si="4">K120*L120</f>
        <v>7936.3976999999995</v>
      </c>
      <c r="N120" s="8" t="s">
        <v>256</v>
      </c>
      <c r="O120" s="6" t="s">
        <v>101</v>
      </c>
      <c r="P120" s="29">
        <v>0.6</v>
      </c>
      <c r="Q120" s="28">
        <f>mixer</f>
        <v>216.32</v>
      </c>
      <c r="R120" s="26">
        <f>P120*Q120</f>
        <v>129.792</v>
      </c>
    </row>
    <row r="121" spans="1:18">
      <c r="A121" s="2"/>
      <c r="B121" s="764"/>
      <c r="C121" s="66"/>
      <c r="D121" s="4" t="s">
        <v>97</v>
      </c>
      <c r="E121" s="6" t="s">
        <v>81</v>
      </c>
      <c r="F121" s="156">
        <v>6</v>
      </c>
      <c r="G121" s="26">
        <f>ur</f>
        <v>850</v>
      </c>
      <c r="H121" s="26">
        <f>F121*G121</f>
        <v>5100</v>
      </c>
      <c r="I121" s="7" t="s">
        <v>258</v>
      </c>
      <c r="J121" s="8" t="s">
        <v>34</v>
      </c>
      <c r="K121" s="29">
        <v>0.57999999999999996</v>
      </c>
      <c r="L121" s="28">
        <f>Agg_20</f>
        <v>2700</v>
      </c>
      <c r="M121" s="26">
        <f t="shared" si="4"/>
        <v>1566</v>
      </c>
      <c r="N121" s="8" t="s">
        <v>257</v>
      </c>
      <c r="O121" s="6" t="s">
        <v>101</v>
      </c>
      <c r="P121" s="29">
        <v>0.25</v>
      </c>
      <c r="Q121" s="28">
        <f>vibrator_concrete</f>
        <v>108.16</v>
      </c>
      <c r="R121" s="26">
        <f>P121*Q121</f>
        <v>27.04</v>
      </c>
    </row>
    <row r="122" spans="1:18">
      <c r="A122" s="2"/>
      <c r="B122" s="764"/>
      <c r="C122" s="66"/>
      <c r="D122" s="4"/>
      <c r="E122" s="6"/>
      <c r="F122" s="29"/>
      <c r="G122" s="26"/>
      <c r="H122" s="26"/>
      <c r="I122" s="7" t="s">
        <v>259</v>
      </c>
      <c r="J122" s="8" t="s">
        <v>34</v>
      </c>
      <c r="K122" s="29">
        <v>0.3</v>
      </c>
      <c r="L122" s="28">
        <f>Agg_10</f>
        <v>2950</v>
      </c>
      <c r="M122" s="26">
        <f t="shared" si="4"/>
        <v>885</v>
      </c>
      <c r="N122" s="8"/>
      <c r="O122" s="6"/>
      <c r="P122" s="29"/>
      <c r="Q122" s="28"/>
      <c r="R122" s="28"/>
    </row>
    <row r="123" spans="1:18">
      <c r="A123" s="2"/>
      <c r="B123" s="764"/>
      <c r="C123" s="66"/>
      <c r="D123" s="4"/>
      <c r="E123" s="6"/>
      <c r="F123" s="29"/>
      <c r="G123" s="26"/>
      <c r="H123" s="26"/>
      <c r="I123" s="7" t="s">
        <v>254</v>
      </c>
      <c r="J123" s="8" t="s">
        <v>34</v>
      </c>
      <c r="K123" s="156">
        <v>0.44</v>
      </c>
      <c r="L123" s="28">
        <f>sand</f>
        <v>1050</v>
      </c>
      <c r="M123" s="26">
        <f t="shared" si="4"/>
        <v>462</v>
      </c>
      <c r="N123" s="8"/>
      <c r="O123" s="6"/>
      <c r="P123" s="29"/>
      <c r="Q123" s="28"/>
      <c r="R123" s="28"/>
    </row>
    <row r="124" spans="1:18">
      <c r="A124" s="2"/>
      <c r="B124" s="126"/>
      <c r="C124" s="66"/>
      <c r="D124" s="4"/>
      <c r="E124" s="6"/>
      <c r="F124" s="29"/>
      <c r="G124" s="26"/>
      <c r="H124" s="26"/>
      <c r="I124" s="7" t="s">
        <v>70</v>
      </c>
      <c r="J124" s="8" t="s">
        <v>250</v>
      </c>
      <c r="K124" s="29">
        <v>0.1</v>
      </c>
      <c r="L124" s="28">
        <f>petrol</f>
        <v>188.6</v>
      </c>
      <c r="M124" s="26">
        <f>K124*L124</f>
        <v>18.86</v>
      </c>
      <c r="N124" s="8"/>
      <c r="O124" s="6"/>
      <c r="P124" s="29"/>
      <c r="Q124" s="28"/>
      <c r="R124" s="28"/>
    </row>
    <row r="125" spans="1:18">
      <c r="A125" s="2"/>
      <c r="B125" s="126"/>
      <c r="C125" s="66"/>
      <c r="D125" s="4"/>
      <c r="E125" s="6"/>
      <c r="F125" s="29"/>
      <c r="G125" s="26"/>
      <c r="H125" s="26"/>
      <c r="I125" s="7" t="s">
        <v>67</v>
      </c>
      <c r="J125" s="8" t="s">
        <v>250</v>
      </c>
      <c r="K125" s="156">
        <v>3</v>
      </c>
      <c r="L125" s="28">
        <f>diesel</f>
        <v>177.6</v>
      </c>
      <c r="M125" s="26">
        <f t="shared" si="4"/>
        <v>532.79999999999995</v>
      </c>
      <c r="N125" s="8"/>
      <c r="O125" s="6"/>
      <c r="P125" s="29"/>
      <c r="Q125" s="28"/>
      <c r="R125" s="28"/>
    </row>
    <row r="126" spans="1:18">
      <c r="A126" s="2"/>
      <c r="B126" s="126"/>
      <c r="C126" s="66"/>
      <c r="D126" s="4"/>
      <c r="E126" s="6"/>
      <c r="F126" s="29"/>
      <c r="G126" s="26"/>
      <c r="H126" s="26"/>
      <c r="I126" s="7" t="s">
        <v>255</v>
      </c>
      <c r="J126" s="8" t="s">
        <v>250</v>
      </c>
      <c r="K126" s="29">
        <v>225</v>
      </c>
      <c r="L126" s="28"/>
      <c r="M126" s="26">
        <f t="shared" si="4"/>
        <v>0</v>
      </c>
      <c r="N126" s="8"/>
      <c r="O126" s="6"/>
      <c r="P126" s="29"/>
      <c r="Q126" s="28"/>
      <c r="R126" s="28"/>
    </row>
    <row r="127" spans="1:18">
      <c r="A127" s="2"/>
      <c r="B127" s="126"/>
      <c r="C127" s="66"/>
      <c r="D127" s="4"/>
      <c r="E127" s="6"/>
      <c r="F127" s="29"/>
      <c r="G127" s="26"/>
      <c r="H127" s="26"/>
      <c r="I127" s="7"/>
      <c r="J127" s="8"/>
      <c r="K127" s="29"/>
      <c r="L127" s="28"/>
      <c r="M127" s="26"/>
      <c r="N127" s="8"/>
      <c r="O127" s="6"/>
      <c r="P127" s="29"/>
      <c r="Q127" s="28"/>
      <c r="R127" s="28"/>
    </row>
    <row r="128" spans="1:18">
      <c r="A128" s="2"/>
      <c r="B128" s="5"/>
      <c r="C128" s="66"/>
      <c r="D128" s="4"/>
      <c r="E128" s="9"/>
      <c r="F128" s="30"/>
      <c r="G128" s="27"/>
      <c r="H128" s="27"/>
      <c r="I128" s="9"/>
      <c r="J128" s="10"/>
      <c r="K128" s="30"/>
      <c r="L128" s="28"/>
      <c r="M128" s="28"/>
      <c r="N128" s="8"/>
      <c r="O128" s="6"/>
      <c r="P128" s="30"/>
      <c r="Q128" s="28"/>
      <c r="R128" s="28"/>
    </row>
    <row r="129" spans="1:18">
      <c r="A129" s="2"/>
      <c r="B129" s="11"/>
      <c r="C129" s="66"/>
      <c r="D129" s="12"/>
      <c r="E129" s="524"/>
      <c r="F129" s="13"/>
      <c r="G129" s="13" t="s">
        <v>20</v>
      </c>
      <c r="H129" s="25">
        <f>SUM(H119:H128)</f>
        <v>5980</v>
      </c>
      <c r="I129" s="703"/>
      <c r="J129" s="703"/>
      <c r="K129" s="14"/>
      <c r="L129" s="13" t="s">
        <v>21</v>
      </c>
      <c r="M129" s="25">
        <f>SUM(M119:M128)</f>
        <v>11401.057699999999</v>
      </c>
      <c r="N129" s="3"/>
      <c r="O129" s="14"/>
      <c r="P129" s="14"/>
      <c r="Q129" s="13" t="s">
        <v>22</v>
      </c>
      <c r="R129" s="25">
        <f>SUM(R119:R128)</f>
        <v>156.83199999999999</v>
      </c>
    </row>
    <row r="130" spans="1:18">
      <c r="A130" s="2"/>
      <c r="B130" s="16" t="s">
        <v>13</v>
      </c>
      <c r="C130" s="67"/>
      <c r="D130" s="14"/>
      <c r="E130" s="14"/>
      <c r="F130" s="14"/>
      <c r="G130" s="13"/>
      <c r="H130" s="35">
        <f>M129+R129+H129</f>
        <v>17537.8897</v>
      </c>
      <c r="I130" s="17"/>
      <c r="J130" s="14"/>
      <c r="K130" s="14"/>
      <c r="L130" s="13"/>
      <c r="M130" s="15"/>
      <c r="N130" s="14"/>
      <c r="O130" s="14"/>
      <c r="P130" s="14"/>
      <c r="Q130" s="14"/>
      <c r="R130" s="17"/>
    </row>
    <row r="131" spans="1:18">
      <c r="A131" s="2"/>
      <c r="B131" s="11" t="s">
        <v>25</v>
      </c>
      <c r="C131" s="4" t="s">
        <v>647</v>
      </c>
      <c r="D131" s="4"/>
      <c r="E131" s="4"/>
      <c r="F131" s="4"/>
      <c r="G131" s="18"/>
      <c r="H131" s="36">
        <f>20%*H129</f>
        <v>1196</v>
      </c>
      <c r="I131" s="20"/>
      <c r="J131" s="4" t="s">
        <v>26</v>
      </c>
      <c r="K131" s="4"/>
      <c r="L131" s="18"/>
      <c r="M131" s="19"/>
      <c r="N131" s="4"/>
      <c r="O131" s="4"/>
      <c r="P131" s="4"/>
      <c r="Q131" s="4"/>
      <c r="R131" s="20"/>
    </row>
    <row r="132" spans="1:18">
      <c r="A132" s="23"/>
      <c r="B132" s="11" t="s">
        <v>14</v>
      </c>
      <c r="C132" s="68"/>
      <c r="D132" s="4"/>
      <c r="E132" s="4"/>
      <c r="F132" s="4"/>
      <c r="G132" s="18"/>
      <c r="H132" s="36">
        <f>SUM(H130:H131)</f>
        <v>18733.8897</v>
      </c>
      <c r="I132" s="20"/>
      <c r="J132" s="704"/>
      <c r="K132" s="705"/>
      <c r="L132" s="705"/>
      <c r="M132" s="705"/>
      <c r="N132" s="705"/>
      <c r="O132" s="705"/>
      <c r="P132" s="705"/>
      <c r="Q132" s="705"/>
      <c r="R132" s="706"/>
    </row>
    <row r="133" spans="1:18">
      <c r="A133" s="23"/>
      <c r="B133" s="11" t="s">
        <v>24</v>
      </c>
      <c r="C133" s="68"/>
      <c r="D133" s="4"/>
      <c r="E133" s="4"/>
      <c r="F133" s="4"/>
      <c r="G133" s="18"/>
      <c r="H133" s="36">
        <f>H132*15%</f>
        <v>2810.083455</v>
      </c>
      <c r="I133" s="20"/>
      <c r="J133" s="707"/>
      <c r="K133" s="708"/>
      <c r="L133" s="708"/>
      <c r="M133" s="708"/>
      <c r="N133" s="708"/>
      <c r="O133" s="708"/>
      <c r="P133" s="708"/>
      <c r="Q133" s="708"/>
      <c r="R133" s="709"/>
    </row>
    <row r="134" spans="1:18">
      <c r="A134" s="23"/>
      <c r="B134" s="11" t="s">
        <v>15</v>
      </c>
      <c r="C134" s="68"/>
      <c r="D134" s="4"/>
      <c r="E134" s="4"/>
      <c r="F134" s="4"/>
      <c r="G134" s="21" t="s">
        <v>16</v>
      </c>
      <c r="H134" s="37">
        <f>H133+H132</f>
        <v>21543.973155</v>
      </c>
      <c r="I134" s="38" t="str">
        <f>CONCATENATE("per ",C119)</f>
        <v>per cum</v>
      </c>
      <c r="J134" s="707"/>
      <c r="K134" s="708"/>
      <c r="L134" s="708"/>
      <c r="M134" s="708"/>
      <c r="N134" s="708"/>
      <c r="O134" s="708"/>
      <c r="P134" s="708"/>
      <c r="Q134" s="708"/>
      <c r="R134" s="709"/>
    </row>
    <row r="135" spans="1:18">
      <c r="A135" s="23"/>
      <c r="B135" s="11" t="s">
        <v>18</v>
      </c>
      <c r="C135" s="125" t="s">
        <v>19</v>
      </c>
      <c r="D135" s="4"/>
      <c r="E135" s="4"/>
      <c r="F135" s="4"/>
      <c r="G135" s="21" t="s">
        <v>16</v>
      </c>
      <c r="H135" s="37">
        <f>CEILING(H134,0.5)</f>
        <v>21544</v>
      </c>
      <c r="I135" s="38" t="str">
        <f>CONCATENATE("per ",C119)</f>
        <v>per cum</v>
      </c>
      <c r="J135" s="707"/>
      <c r="K135" s="708"/>
      <c r="L135" s="708"/>
      <c r="M135" s="708"/>
      <c r="N135" s="708"/>
      <c r="O135" s="708"/>
      <c r="P135" s="708"/>
      <c r="Q135" s="708"/>
      <c r="R135" s="709"/>
    </row>
    <row r="136" spans="1:18">
      <c r="A136" s="23"/>
      <c r="B136" s="11"/>
      <c r="C136" s="68"/>
      <c r="D136" s="4"/>
      <c r="E136" s="4"/>
      <c r="F136" s="4"/>
      <c r="G136" s="24" t="s">
        <v>17</v>
      </c>
      <c r="H136" s="37">
        <f>H135/exr</f>
        <v>165.72307692307692</v>
      </c>
      <c r="I136" s="38" t="str">
        <f>CONCATENATE("per ",C119)</f>
        <v>per cum</v>
      </c>
      <c r="J136" s="710"/>
      <c r="K136" s="711"/>
      <c r="L136" s="711"/>
      <c r="M136" s="711"/>
      <c r="N136" s="711"/>
      <c r="O136" s="711"/>
      <c r="P136" s="711"/>
      <c r="Q136" s="711"/>
      <c r="R136" s="712"/>
    </row>
    <row r="137" spans="1:18">
      <c r="A137" s="39"/>
      <c r="B137" s="40"/>
      <c r="C137" s="69"/>
      <c r="D137" s="41"/>
      <c r="E137" s="41"/>
      <c r="F137" s="41"/>
      <c r="G137" s="149" t="s">
        <v>460</v>
      </c>
      <c r="H137" s="150">
        <f>CEILING(SUM(M124,M125,R120,R121)/H130,0.0025)</f>
        <v>4.2500000000000003E-2</v>
      </c>
      <c r="I137" s="42"/>
      <c r="J137" s="43"/>
      <c r="K137" s="43"/>
      <c r="L137" s="43"/>
      <c r="M137" s="43"/>
      <c r="N137" s="43"/>
      <c r="O137" s="43"/>
      <c r="P137" s="43"/>
      <c r="Q137" s="43"/>
      <c r="R137" s="44"/>
    </row>
    <row r="139" spans="1:18">
      <c r="A139" s="693" t="s">
        <v>0</v>
      </c>
      <c r="B139" s="695" t="s">
        <v>1</v>
      </c>
      <c r="C139" s="695" t="s">
        <v>2</v>
      </c>
      <c r="D139" s="697" t="s">
        <v>3</v>
      </c>
      <c r="E139" s="698"/>
      <c r="F139" s="698"/>
      <c r="G139" s="698"/>
      <c r="H139" s="698"/>
      <c r="I139" s="699" t="s">
        <v>4</v>
      </c>
      <c r="J139" s="700"/>
      <c r="K139" s="700"/>
      <c r="L139" s="700"/>
      <c r="M139" s="700"/>
      <c r="N139" s="698" t="s">
        <v>5</v>
      </c>
      <c r="O139" s="698"/>
      <c r="P139" s="698"/>
      <c r="Q139" s="698"/>
      <c r="R139" s="698"/>
    </row>
    <row r="140" spans="1:18">
      <c r="A140" s="694"/>
      <c r="B140" s="696"/>
      <c r="C140" s="696"/>
      <c r="D140" s="45" t="s">
        <v>6</v>
      </c>
      <c r="E140" s="46" t="s">
        <v>2</v>
      </c>
      <c r="F140" s="46" t="s">
        <v>7</v>
      </c>
      <c r="G140" s="46" t="s">
        <v>8</v>
      </c>
      <c r="H140" s="46" t="s">
        <v>9</v>
      </c>
      <c r="I140" s="46" t="s">
        <v>10</v>
      </c>
      <c r="J140" s="46" t="s">
        <v>2</v>
      </c>
      <c r="K140" s="46" t="s">
        <v>7</v>
      </c>
      <c r="L140" s="46" t="s">
        <v>8</v>
      </c>
      <c r="M140" s="47" t="s">
        <v>9</v>
      </c>
      <c r="N140" s="46" t="s">
        <v>10</v>
      </c>
      <c r="O140" s="46" t="s">
        <v>2</v>
      </c>
      <c r="P140" s="46" t="s">
        <v>7</v>
      </c>
      <c r="Q140" s="46" t="s">
        <v>8</v>
      </c>
      <c r="R140" s="46" t="s">
        <v>9</v>
      </c>
    </row>
    <row r="141" spans="1:18">
      <c r="A141" s="33" t="s">
        <v>23</v>
      </c>
      <c r="B141" s="73" t="s">
        <v>584</v>
      </c>
      <c r="C141" s="65"/>
      <c r="D141" s="31"/>
      <c r="E141" s="31"/>
      <c r="F141" s="31"/>
      <c r="G141" s="31"/>
      <c r="H141" s="31"/>
      <c r="I141" s="31"/>
      <c r="J141" s="31"/>
      <c r="K141" s="31"/>
      <c r="L141" s="31"/>
      <c r="M141" s="31"/>
      <c r="N141" s="31"/>
      <c r="O141" s="31"/>
      <c r="P141" s="31"/>
      <c r="Q141" s="31"/>
      <c r="R141" s="32"/>
    </row>
    <row r="142" spans="1:18" ht="15.75" customHeight="1">
      <c r="A142" s="34">
        <f>A119+1</f>
        <v>6</v>
      </c>
      <c r="B142" s="763" t="s">
        <v>643</v>
      </c>
      <c r="C142" s="66" t="s">
        <v>11</v>
      </c>
      <c r="D142" s="4"/>
      <c r="E142" s="6"/>
      <c r="F142" s="29"/>
      <c r="G142" s="26"/>
      <c r="H142" s="26"/>
      <c r="I142" s="6"/>
      <c r="J142" s="6"/>
      <c r="K142" s="29"/>
      <c r="L142" s="26"/>
      <c r="M142" s="26"/>
      <c r="N142" s="6"/>
      <c r="O142" s="6"/>
      <c r="P142" s="29"/>
      <c r="Q142" s="26"/>
      <c r="R142" s="26"/>
    </row>
    <row r="143" spans="1:18">
      <c r="A143" s="2"/>
      <c r="B143" s="764"/>
      <c r="C143" s="66"/>
      <c r="D143" s="4" t="s">
        <v>251</v>
      </c>
      <c r="E143" s="6" t="s">
        <v>81</v>
      </c>
      <c r="F143" s="156">
        <v>0.8</v>
      </c>
      <c r="G143" s="26">
        <f>sr</f>
        <v>1100</v>
      </c>
      <c r="H143" s="26">
        <f>F143*G143</f>
        <v>880</v>
      </c>
      <c r="I143" s="7" t="s">
        <v>252</v>
      </c>
      <c r="J143" s="8" t="s">
        <v>32</v>
      </c>
      <c r="K143" s="156">
        <v>0.36499999999999999</v>
      </c>
      <c r="L143" s="28">
        <f>cement</f>
        <v>24049.69</v>
      </c>
      <c r="M143" s="26">
        <f>K143*L143</f>
        <v>8778.136849999999</v>
      </c>
      <c r="N143" s="8"/>
      <c r="O143" s="6"/>
      <c r="P143" s="29"/>
      <c r="Q143" s="28"/>
      <c r="R143" s="26"/>
    </row>
    <row r="144" spans="1:18">
      <c r="A144" s="2"/>
      <c r="B144" s="764"/>
      <c r="C144" s="66"/>
      <c r="D144" s="4" t="s">
        <v>97</v>
      </c>
      <c r="E144" s="6" t="s">
        <v>81</v>
      </c>
      <c r="F144" s="156">
        <v>7</v>
      </c>
      <c r="G144" s="26">
        <f>ur</f>
        <v>850</v>
      </c>
      <c r="H144" s="26">
        <f>F144*G144</f>
        <v>5950</v>
      </c>
      <c r="I144" s="7" t="s">
        <v>258</v>
      </c>
      <c r="J144" s="8" t="s">
        <v>34</v>
      </c>
      <c r="K144" s="29">
        <v>0.57999999999999996</v>
      </c>
      <c r="L144" s="28">
        <f>Agg_20</f>
        <v>2700</v>
      </c>
      <c r="M144" s="26">
        <f>K144*L144</f>
        <v>1566</v>
      </c>
      <c r="N144" s="8" t="s">
        <v>257</v>
      </c>
      <c r="O144" s="6" t="s">
        <v>101</v>
      </c>
      <c r="P144" s="29">
        <v>0.25</v>
      </c>
      <c r="Q144" s="28">
        <f>vibrator_concrete</f>
        <v>108.16</v>
      </c>
      <c r="R144" s="26">
        <f>P144*Q144</f>
        <v>27.04</v>
      </c>
    </row>
    <row r="145" spans="1:18">
      <c r="A145" s="2"/>
      <c r="B145" s="764"/>
      <c r="C145" s="66"/>
      <c r="D145" s="4"/>
      <c r="E145" s="6"/>
      <c r="F145" s="29"/>
      <c r="G145" s="26"/>
      <c r="H145" s="26"/>
      <c r="I145" s="7" t="s">
        <v>259</v>
      </c>
      <c r="J145" s="8" t="s">
        <v>34</v>
      </c>
      <c r="K145" s="29">
        <v>0.3</v>
      </c>
      <c r="L145" s="28">
        <f>Agg_10</f>
        <v>2950</v>
      </c>
      <c r="M145" s="26">
        <f>K145*L145</f>
        <v>885</v>
      </c>
      <c r="N145" s="8"/>
      <c r="O145" s="6"/>
      <c r="P145" s="29"/>
      <c r="Q145" s="28"/>
      <c r="R145" s="28"/>
    </row>
    <row r="146" spans="1:18">
      <c r="A146" s="2"/>
      <c r="B146" s="764"/>
      <c r="C146" s="66"/>
      <c r="D146" s="4"/>
      <c r="E146" s="6"/>
      <c r="F146" s="29"/>
      <c r="G146" s="26"/>
      <c r="H146" s="26"/>
      <c r="I146" s="7" t="s">
        <v>254</v>
      </c>
      <c r="J146" s="8" t="s">
        <v>34</v>
      </c>
      <c r="K146" s="156">
        <v>0.44</v>
      </c>
      <c r="L146" s="28">
        <f>sand</f>
        <v>1050</v>
      </c>
      <c r="M146" s="26">
        <f>K146*L146</f>
        <v>462</v>
      </c>
      <c r="N146" s="8"/>
      <c r="O146" s="6"/>
      <c r="P146" s="29"/>
      <c r="Q146" s="28"/>
      <c r="R146" s="28"/>
    </row>
    <row r="147" spans="1:18">
      <c r="A147" s="2"/>
      <c r="B147" s="126"/>
      <c r="C147" s="66"/>
      <c r="D147" s="4"/>
      <c r="E147" s="6"/>
      <c r="F147" s="29"/>
      <c r="G147" s="26"/>
      <c r="H147" s="26"/>
      <c r="I147" s="7" t="s">
        <v>255</v>
      </c>
      <c r="J147" s="8" t="s">
        <v>250</v>
      </c>
      <c r="K147" s="29">
        <v>249</v>
      </c>
      <c r="L147" s="28"/>
      <c r="M147" s="26">
        <f>K147*L147</f>
        <v>0</v>
      </c>
      <c r="N147" s="8"/>
      <c r="O147" s="6"/>
      <c r="P147" s="29"/>
      <c r="Q147" s="28"/>
      <c r="R147" s="28"/>
    </row>
    <row r="148" spans="1:18">
      <c r="A148" s="2"/>
      <c r="B148" s="126"/>
      <c r="C148" s="66"/>
      <c r="D148" s="4"/>
      <c r="E148" s="6"/>
      <c r="F148" s="29"/>
      <c r="G148" s="26"/>
      <c r="H148" s="26"/>
      <c r="I148" s="7"/>
      <c r="J148" s="8"/>
      <c r="K148" s="29"/>
      <c r="L148" s="28"/>
      <c r="M148" s="26"/>
      <c r="N148" s="8"/>
      <c r="O148" s="6"/>
      <c r="P148" s="29"/>
      <c r="Q148" s="28"/>
      <c r="R148" s="28"/>
    </row>
    <row r="149" spans="1:18">
      <c r="A149" s="2"/>
      <c r="B149" s="126"/>
      <c r="C149" s="66"/>
      <c r="D149" s="4"/>
      <c r="E149" s="6"/>
      <c r="F149" s="29"/>
      <c r="G149" s="26"/>
      <c r="H149" s="26"/>
      <c r="I149" s="7"/>
      <c r="J149" s="8"/>
      <c r="K149" s="29"/>
      <c r="L149" s="28"/>
      <c r="M149" s="26"/>
      <c r="N149" s="8"/>
      <c r="O149" s="6"/>
      <c r="P149" s="29"/>
      <c r="Q149" s="28"/>
      <c r="R149" s="28"/>
    </row>
    <row r="150" spans="1:18">
      <c r="A150" s="2"/>
      <c r="B150" s="126"/>
      <c r="C150" s="66"/>
      <c r="D150" s="4"/>
      <c r="E150" s="6"/>
      <c r="F150" s="29"/>
      <c r="G150" s="26"/>
      <c r="H150" s="26"/>
      <c r="I150" s="7"/>
      <c r="J150" s="8"/>
      <c r="K150" s="29"/>
      <c r="L150" s="28"/>
      <c r="M150" s="26"/>
      <c r="N150" s="8"/>
      <c r="O150" s="6"/>
      <c r="P150" s="29"/>
      <c r="Q150" s="28"/>
      <c r="R150" s="28"/>
    </row>
    <row r="151" spans="1:18">
      <c r="A151" s="2"/>
      <c r="B151" s="5"/>
      <c r="C151" s="66"/>
      <c r="D151" s="4"/>
      <c r="E151" s="9"/>
      <c r="F151" s="30"/>
      <c r="G151" s="27"/>
      <c r="H151" s="27"/>
      <c r="I151" s="9"/>
      <c r="J151" s="10"/>
      <c r="K151" s="30"/>
      <c r="L151" s="28"/>
      <c r="M151" s="28"/>
      <c r="N151" s="8"/>
      <c r="O151" s="6"/>
      <c r="P151" s="30"/>
      <c r="Q151" s="28"/>
      <c r="R151" s="28"/>
    </row>
    <row r="152" spans="1:18">
      <c r="A152" s="2"/>
      <c r="B152" s="11"/>
      <c r="C152" s="66"/>
      <c r="D152" s="12"/>
      <c r="E152" s="524"/>
      <c r="F152" s="13"/>
      <c r="G152" s="13" t="s">
        <v>20</v>
      </c>
      <c r="H152" s="25">
        <f>SUM(H142:H151)</f>
        <v>6830</v>
      </c>
      <c r="I152" s="703"/>
      <c r="J152" s="703"/>
      <c r="K152" s="14"/>
      <c r="L152" s="13" t="s">
        <v>21</v>
      </c>
      <c r="M152" s="25">
        <f>SUM(M142:M151)</f>
        <v>11691.136849999999</v>
      </c>
      <c r="N152" s="3"/>
      <c r="O152" s="14"/>
      <c r="P152" s="14"/>
      <c r="Q152" s="13" t="s">
        <v>22</v>
      </c>
      <c r="R152" s="25">
        <f>SUM(R142:R151)</f>
        <v>27.04</v>
      </c>
    </row>
    <row r="153" spans="1:18">
      <c r="A153" s="2"/>
      <c r="B153" s="16" t="s">
        <v>13</v>
      </c>
      <c r="C153" s="67"/>
      <c r="D153" s="14"/>
      <c r="E153" s="14"/>
      <c r="F153" s="14"/>
      <c r="G153" s="13"/>
      <c r="H153" s="35">
        <f>M152+R152+H152</f>
        <v>18548.17685</v>
      </c>
      <c r="I153" s="17"/>
      <c r="J153" s="14"/>
      <c r="K153" s="14"/>
      <c r="L153" s="13"/>
      <c r="M153" s="15"/>
      <c r="N153" s="14"/>
      <c r="O153" s="14"/>
      <c r="P153" s="14"/>
      <c r="Q153" s="14"/>
      <c r="R153" s="17"/>
    </row>
    <row r="154" spans="1:18">
      <c r="A154" s="2"/>
      <c r="B154" s="11" t="s">
        <v>25</v>
      </c>
      <c r="C154" s="4" t="s">
        <v>647</v>
      </c>
      <c r="D154" s="4"/>
      <c r="E154" s="4"/>
      <c r="F154" s="4"/>
      <c r="G154" s="18"/>
      <c r="H154" s="36">
        <f>20%*H152</f>
        <v>1366</v>
      </c>
      <c r="I154" s="20"/>
      <c r="J154" s="4" t="s">
        <v>26</v>
      </c>
      <c r="K154" s="4"/>
      <c r="L154" s="18"/>
      <c r="M154" s="19"/>
      <c r="N154" s="4"/>
      <c r="O154" s="4"/>
      <c r="P154" s="4"/>
      <c r="Q154" s="4"/>
      <c r="R154" s="20"/>
    </row>
    <row r="155" spans="1:18">
      <c r="A155" s="23"/>
      <c r="B155" s="11" t="s">
        <v>14</v>
      </c>
      <c r="C155" s="68"/>
      <c r="D155" s="4"/>
      <c r="E155" s="4"/>
      <c r="F155" s="4"/>
      <c r="G155" s="18"/>
      <c r="H155" s="36">
        <f>SUM(H153:H154)</f>
        <v>19914.17685</v>
      </c>
      <c r="I155" s="20"/>
      <c r="J155" s="704"/>
      <c r="K155" s="705"/>
      <c r="L155" s="705"/>
      <c r="M155" s="705"/>
      <c r="N155" s="705"/>
      <c r="O155" s="705"/>
      <c r="P155" s="705"/>
      <c r="Q155" s="705"/>
      <c r="R155" s="706"/>
    </row>
    <row r="156" spans="1:18">
      <c r="A156" s="23"/>
      <c r="B156" s="11" t="s">
        <v>24</v>
      </c>
      <c r="C156" s="68"/>
      <c r="D156" s="4"/>
      <c r="E156" s="4"/>
      <c r="F156" s="4"/>
      <c r="G156" s="18"/>
      <c r="H156" s="36">
        <f>H155*15%</f>
        <v>2987.1265275000001</v>
      </c>
      <c r="I156" s="20"/>
      <c r="J156" s="707"/>
      <c r="K156" s="708"/>
      <c r="L156" s="708"/>
      <c r="M156" s="708"/>
      <c r="N156" s="708"/>
      <c r="O156" s="708"/>
      <c r="P156" s="708"/>
      <c r="Q156" s="708"/>
      <c r="R156" s="709"/>
    </row>
    <row r="157" spans="1:18">
      <c r="A157" s="23"/>
      <c r="B157" s="11" t="s">
        <v>15</v>
      </c>
      <c r="C157" s="68"/>
      <c r="D157" s="4"/>
      <c r="E157" s="4"/>
      <c r="F157" s="4"/>
      <c r="G157" s="21" t="s">
        <v>16</v>
      </c>
      <c r="H157" s="37">
        <f>H156+H155</f>
        <v>22901.3033775</v>
      </c>
      <c r="I157" s="38" t="str">
        <f>CONCATENATE("per ",C142)</f>
        <v>per cum</v>
      </c>
      <c r="J157" s="707"/>
      <c r="K157" s="708"/>
      <c r="L157" s="708"/>
      <c r="M157" s="708"/>
      <c r="N157" s="708"/>
      <c r="O157" s="708"/>
      <c r="P157" s="708"/>
      <c r="Q157" s="708"/>
      <c r="R157" s="709"/>
    </row>
    <row r="158" spans="1:18">
      <c r="A158" s="23"/>
      <c r="B158" s="11" t="s">
        <v>18</v>
      </c>
      <c r="C158" s="125" t="s">
        <v>19</v>
      </c>
      <c r="D158" s="4"/>
      <c r="E158" s="4"/>
      <c r="F158" s="4"/>
      <c r="G158" s="21" t="s">
        <v>16</v>
      </c>
      <c r="H158" s="37">
        <f>CEILING(H157,0.5)</f>
        <v>22901.5</v>
      </c>
      <c r="I158" s="38" t="str">
        <f>CONCATENATE("per ",C142)</f>
        <v>per cum</v>
      </c>
      <c r="J158" s="707"/>
      <c r="K158" s="708"/>
      <c r="L158" s="708"/>
      <c r="M158" s="708"/>
      <c r="N158" s="708"/>
      <c r="O158" s="708"/>
      <c r="P158" s="708"/>
      <c r="Q158" s="708"/>
      <c r="R158" s="709"/>
    </row>
    <row r="159" spans="1:18">
      <c r="A159" s="23"/>
      <c r="B159" s="11"/>
      <c r="C159" s="68"/>
      <c r="D159" s="4"/>
      <c r="E159" s="4"/>
      <c r="F159" s="4"/>
      <c r="G159" s="24" t="s">
        <v>17</v>
      </c>
      <c r="H159" s="37">
        <f>H158/exr</f>
        <v>176.16538461538462</v>
      </c>
      <c r="I159" s="38" t="str">
        <f>CONCATENATE("per ",C142)</f>
        <v>per cum</v>
      </c>
      <c r="J159" s="710"/>
      <c r="K159" s="711"/>
      <c r="L159" s="711"/>
      <c r="M159" s="711"/>
      <c r="N159" s="711"/>
      <c r="O159" s="711"/>
      <c r="P159" s="711"/>
      <c r="Q159" s="711"/>
      <c r="R159" s="712"/>
    </row>
    <row r="160" spans="1:18">
      <c r="A160" s="39"/>
      <c r="B160" s="40"/>
      <c r="C160" s="69"/>
      <c r="D160" s="41"/>
      <c r="E160" s="41"/>
      <c r="F160" s="41"/>
      <c r="G160" s="149" t="s">
        <v>460</v>
      </c>
      <c r="H160" s="150">
        <f>CEILING(SUM(R144)/H153,0.0025)</f>
        <v>2.5000000000000001E-3</v>
      </c>
      <c r="I160" s="42"/>
      <c r="J160" s="43"/>
      <c r="K160" s="43"/>
      <c r="L160" s="43"/>
      <c r="M160" s="43"/>
      <c r="N160" s="43"/>
      <c r="O160" s="43"/>
      <c r="P160" s="43"/>
      <c r="Q160" s="43"/>
      <c r="R160" s="44"/>
    </row>
    <row r="162" spans="1:18">
      <c r="A162" s="693" t="s">
        <v>0</v>
      </c>
      <c r="B162" s="695" t="s">
        <v>1</v>
      </c>
      <c r="C162" s="695" t="s">
        <v>2</v>
      </c>
      <c r="D162" s="697" t="s">
        <v>3</v>
      </c>
      <c r="E162" s="698"/>
      <c r="F162" s="698"/>
      <c r="G162" s="698"/>
      <c r="H162" s="698"/>
      <c r="I162" s="699" t="s">
        <v>4</v>
      </c>
      <c r="J162" s="700"/>
      <c r="K162" s="700"/>
      <c r="L162" s="700"/>
      <c r="M162" s="700"/>
      <c r="N162" s="698" t="s">
        <v>5</v>
      </c>
      <c r="O162" s="698"/>
      <c r="P162" s="698"/>
      <c r="Q162" s="698"/>
      <c r="R162" s="698"/>
    </row>
    <row r="163" spans="1:18">
      <c r="A163" s="694"/>
      <c r="B163" s="696"/>
      <c r="C163" s="696"/>
      <c r="D163" s="45" t="s">
        <v>6</v>
      </c>
      <c r="E163" s="46" t="s">
        <v>2</v>
      </c>
      <c r="F163" s="46" t="s">
        <v>7</v>
      </c>
      <c r="G163" s="46" t="s">
        <v>8</v>
      </c>
      <c r="H163" s="46" t="s">
        <v>9</v>
      </c>
      <c r="I163" s="46" t="s">
        <v>10</v>
      </c>
      <c r="J163" s="46" t="s">
        <v>2</v>
      </c>
      <c r="K163" s="46" t="s">
        <v>7</v>
      </c>
      <c r="L163" s="46" t="s">
        <v>8</v>
      </c>
      <c r="M163" s="47" t="s">
        <v>9</v>
      </c>
      <c r="N163" s="46" t="s">
        <v>10</v>
      </c>
      <c r="O163" s="46" t="s">
        <v>2</v>
      </c>
      <c r="P163" s="46" t="s">
        <v>7</v>
      </c>
      <c r="Q163" s="46" t="s">
        <v>8</v>
      </c>
      <c r="R163" s="46" t="s">
        <v>9</v>
      </c>
    </row>
    <row r="164" spans="1:18">
      <c r="A164" s="33" t="s">
        <v>23</v>
      </c>
      <c r="B164" s="73" t="s">
        <v>264</v>
      </c>
      <c r="C164" s="65"/>
      <c r="D164" s="31"/>
      <c r="E164" s="31"/>
      <c r="F164" s="31"/>
      <c r="G164" s="31"/>
      <c r="H164" s="31"/>
      <c r="I164" s="31"/>
      <c r="J164" s="31"/>
      <c r="K164" s="31"/>
      <c r="L164" s="31"/>
      <c r="M164" s="31"/>
      <c r="N164" s="31"/>
      <c r="O164" s="31"/>
      <c r="P164" s="31"/>
      <c r="Q164" s="31"/>
      <c r="R164" s="32"/>
    </row>
    <row r="165" spans="1:18">
      <c r="A165" s="34">
        <f>A142+1</f>
        <v>7</v>
      </c>
      <c r="B165" s="713" t="s">
        <v>262</v>
      </c>
      <c r="C165" s="66" t="s">
        <v>11</v>
      </c>
      <c r="D165" s="4"/>
      <c r="E165" s="6"/>
      <c r="F165" s="29"/>
      <c r="G165" s="26"/>
      <c r="H165" s="26"/>
      <c r="I165" s="6"/>
      <c r="J165" s="6"/>
      <c r="K165" s="29"/>
      <c r="L165" s="26"/>
      <c r="M165" s="26"/>
      <c r="N165" s="6"/>
      <c r="O165" s="6"/>
      <c r="P165" s="29"/>
      <c r="Q165" s="26"/>
      <c r="R165" s="26"/>
    </row>
    <row r="166" spans="1:18">
      <c r="A166" s="2"/>
      <c r="B166" s="714"/>
      <c r="C166" s="66"/>
      <c r="D166" s="4" t="s">
        <v>251</v>
      </c>
      <c r="E166" s="6" t="s">
        <v>81</v>
      </c>
      <c r="F166" s="29">
        <v>0.5</v>
      </c>
      <c r="G166" s="26">
        <f>sr</f>
        <v>1100</v>
      </c>
      <c r="H166" s="26">
        <f>F166*G166</f>
        <v>550</v>
      </c>
      <c r="I166" s="7" t="s">
        <v>252</v>
      </c>
      <c r="J166" s="8" t="s">
        <v>32</v>
      </c>
      <c r="K166" s="29">
        <v>0.375</v>
      </c>
      <c r="L166" s="28">
        <f>cement</f>
        <v>24049.69</v>
      </c>
      <c r="M166" s="26">
        <f t="shared" ref="M166:M172" si="5">K166*L166</f>
        <v>9018.6337499999991</v>
      </c>
      <c r="N166" s="8" t="s">
        <v>256</v>
      </c>
      <c r="O166" s="6" t="s">
        <v>101</v>
      </c>
      <c r="P166" s="29">
        <v>0.6</v>
      </c>
      <c r="Q166" s="28">
        <f>mixer</f>
        <v>216.32</v>
      </c>
      <c r="R166" s="26">
        <f>P166*Q166</f>
        <v>129.792</v>
      </c>
    </row>
    <row r="167" spans="1:18">
      <c r="A167" s="2"/>
      <c r="B167" s="714"/>
      <c r="C167" s="66"/>
      <c r="D167" s="4" t="s">
        <v>97</v>
      </c>
      <c r="E167" s="6" t="s">
        <v>81</v>
      </c>
      <c r="F167" s="29">
        <v>3.5</v>
      </c>
      <c r="G167" s="26">
        <f>ur</f>
        <v>850</v>
      </c>
      <c r="H167" s="26">
        <f>F167*G167</f>
        <v>2975</v>
      </c>
      <c r="I167" s="7" t="s">
        <v>253</v>
      </c>
      <c r="J167" s="8" t="s">
        <v>34</v>
      </c>
      <c r="K167" s="29">
        <v>0.57999999999999996</v>
      </c>
      <c r="L167" s="28">
        <f>Agg_40</f>
        <v>2450</v>
      </c>
      <c r="M167" s="26">
        <f t="shared" si="5"/>
        <v>1421</v>
      </c>
      <c r="N167" s="8" t="s">
        <v>257</v>
      </c>
      <c r="O167" s="6" t="s">
        <v>101</v>
      </c>
      <c r="P167" s="29">
        <v>0.25</v>
      </c>
      <c r="Q167" s="28">
        <f>vibrator_concrete</f>
        <v>108.16</v>
      </c>
      <c r="R167" s="26">
        <f>P167*Q167</f>
        <v>27.04</v>
      </c>
    </row>
    <row r="168" spans="1:18">
      <c r="A168" s="2"/>
      <c r="B168" s="714"/>
      <c r="C168" s="66"/>
      <c r="D168" s="4"/>
      <c r="E168" s="6"/>
      <c r="F168" s="29"/>
      <c r="G168" s="26"/>
      <c r="H168" s="26"/>
      <c r="I168" s="7" t="s">
        <v>258</v>
      </c>
      <c r="J168" s="8" t="s">
        <v>34</v>
      </c>
      <c r="K168" s="29">
        <v>0.3</v>
      </c>
      <c r="L168" s="28">
        <f>Agg_20</f>
        <v>2700</v>
      </c>
      <c r="M168" s="26">
        <f t="shared" si="5"/>
        <v>810</v>
      </c>
      <c r="N168" s="8"/>
      <c r="O168" s="6"/>
      <c r="P168" s="29"/>
      <c r="Q168" s="28"/>
      <c r="R168" s="28"/>
    </row>
    <row r="169" spans="1:18">
      <c r="A169" s="2"/>
      <c r="B169" s="714"/>
      <c r="C169" s="66"/>
      <c r="D169" s="4"/>
      <c r="E169" s="6"/>
      <c r="F169" s="29"/>
      <c r="G169" s="26"/>
      <c r="H169" s="26"/>
      <c r="I169" s="7" t="s">
        <v>254</v>
      </c>
      <c r="J169" s="8" t="s">
        <v>34</v>
      </c>
      <c r="K169" s="29">
        <v>0.45</v>
      </c>
      <c r="L169" s="28">
        <f>sand</f>
        <v>1050</v>
      </c>
      <c r="M169" s="26">
        <f t="shared" si="5"/>
        <v>472.5</v>
      </c>
      <c r="N169" s="8"/>
      <c r="O169" s="6"/>
      <c r="P169" s="29"/>
      <c r="Q169" s="28"/>
      <c r="R169" s="28"/>
    </row>
    <row r="170" spans="1:18">
      <c r="A170" s="2"/>
      <c r="B170" s="126"/>
      <c r="C170" s="66"/>
      <c r="D170" s="4"/>
      <c r="E170" s="6"/>
      <c r="F170" s="29"/>
      <c r="G170" s="26"/>
      <c r="H170" s="26"/>
      <c r="I170" s="7" t="s">
        <v>70</v>
      </c>
      <c r="J170" s="8" t="s">
        <v>250</v>
      </c>
      <c r="K170" s="29">
        <v>0.1</v>
      </c>
      <c r="L170" s="28">
        <f>petrol</f>
        <v>188.6</v>
      </c>
      <c r="M170" s="26">
        <f t="shared" si="5"/>
        <v>18.86</v>
      </c>
      <c r="N170" s="8"/>
      <c r="O170" s="6"/>
      <c r="P170" s="29"/>
      <c r="Q170" s="28"/>
      <c r="R170" s="28"/>
    </row>
    <row r="171" spans="1:18">
      <c r="A171" s="2"/>
      <c r="B171" s="126"/>
      <c r="C171" s="66"/>
      <c r="D171" s="4"/>
      <c r="E171" s="6"/>
      <c r="F171" s="29"/>
      <c r="G171" s="26"/>
      <c r="H171" s="26"/>
      <c r="I171" s="7" t="s">
        <v>67</v>
      </c>
      <c r="J171" s="8" t="s">
        <v>250</v>
      </c>
      <c r="K171" s="29">
        <v>3</v>
      </c>
      <c r="L171" s="28">
        <f>diesel</f>
        <v>177.6</v>
      </c>
      <c r="M171" s="26">
        <f t="shared" si="5"/>
        <v>532.79999999999995</v>
      </c>
      <c r="N171" s="8"/>
      <c r="O171" s="6"/>
      <c r="P171" s="29"/>
      <c r="Q171" s="28"/>
      <c r="R171" s="28"/>
    </row>
    <row r="172" spans="1:18">
      <c r="A172" s="2"/>
      <c r="B172" s="126"/>
      <c r="C172" s="66"/>
      <c r="D172" s="4"/>
      <c r="E172" s="6"/>
      <c r="F172" s="29"/>
      <c r="G172" s="26"/>
      <c r="H172" s="26"/>
      <c r="I172" s="7" t="s">
        <v>255</v>
      </c>
      <c r="J172" s="8" t="s">
        <v>250</v>
      </c>
      <c r="K172" s="29">
        <v>225</v>
      </c>
      <c r="L172" s="28"/>
      <c r="M172" s="26">
        <f t="shared" si="5"/>
        <v>0</v>
      </c>
      <c r="N172" s="8"/>
      <c r="O172" s="6"/>
      <c r="P172" s="29"/>
      <c r="Q172" s="28"/>
      <c r="R172" s="28"/>
    </row>
    <row r="173" spans="1:18">
      <c r="A173" s="2"/>
      <c r="B173" s="126"/>
      <c r="C173" s="66"/>
      <c r="D173" s="4"/>
      <c r="E173" s="6"/>
      <c r="F173" s="29"/>
      <c r="G173" s="26"/>
      <c r="H173" s="26"/>
      <c r="I173" s="7"/>
      <c r="J173" s="8"/>
      <c r="K173" s="29"/>
      <c r="L173" s="28"/>
      <c r="M173" s="26"/>
      <c r="N173" s="8"/>
      <c r="O173" s="6"/>
      <c r="P173" s="29"/>
      <c r="Q173" s="28"/>
      <c r="R173" s="28"/>
    </row>
    <row r="174" spans="1:18">
      <c r="A174" s="2"/>
      <c r="B174" s="5"/>
      <c r="C174" s="66"/>
      <c r="D174" s="4"/>
      <c r="E174" s="9"/>
      <c r="F174" s="30"/>
      <c r="G174" s="27"/>
      <c r="H174" s="27"/>
      <c r="I174" s="9"/>
      <c r="J174" s="10"/>
      <c r="K174" s="30"/>
      <c r="L174" s="28"/>
      <c r="M174" s="28"/>
      <c r="N174" s="8"/>
      <c r="O174" s="6"/>
      <c r="P174" s="30"/>
      <c r="Q174" s="28"/>
      <c r="R174" s="28"/>
    </row>
    <row r="175" spans="1:18">
      <c r="A175" s="2"/>
      <c r="B175" s="11"/>
      <c r="C175" s="66"/>
      <c r="D175" s="12"/>
      <c r="E175" s="524"/>
      <c r="F175" s="13"/>
      <c r="G175" s="13" t="s">
        <v>20</v>
      </c>
      <c r="H175" s="25">
        <f>SUM(H165:H174)</f>
        <v>3525</v>
      </c>
      <c r="I175" s="703"/>
      <c r="J175" s="703"/>
      <c r="K175" s="14"/>
      <c r="L175" s="13" t="s">
        <v>21</v>
      </c>
      <c r="M175" s="25">
        <f>SUM(M165:M174)</f>
        <v>12273.793749999999</v>
      </c>
      <c r="N175" s="3"/>
      <c r="O175" s="14"/>
      <c r="P175" s="14"/>
      <c r="Q175" s="13" t="s">
        <v>22</v>
      </c>
      <c r="R175" s="25">
        <f>SUM(R165:R174)</f>
        <v>156.83199999999999</v>
      </c>
    </row>
    <row r="176" spans="1:18">
      <c r="A176" s="2"/>
      <c r="B176" s="16" t="s">
        <v>13</v>
      </c>
      <c r="C176" s="67"/>
      <c r="D176" s="14"/>
      <c r="E176" s="14"/>
      <c r="F176" s="14"/>
      <c r="G176" s="13"/>
      <c r="H176" s="35">
        <f>M175+R175+H175</f>
        <v>15955.625749999999</v>
      </c>
      <c r="I176" s="17"/>
      <c r="J176" s="14"/>
      <c r="K176" s="14"/>
      <c r="L176" s="13"/>
      <c r="M176" s="15"/>
      <c r="N176" s="14"/>
      <c r="O176" s="14"/>
      <c r="P176" s="14"/>
      <c r="Q176" s="14"/>
      <c r="R176" s="17"/>
    </row>
    <row r="177" spans="1:18">
      <c r="A177" s="2"/>
      <c r="B177" s="11" t="s">
        <v>25</v>
      </c>
      <c r="C177" s="4" t="s">
        <v>647</v>
      </c>
      <c r="D177" s="4"/>
      <c r="E177" s="4"/>
      <c r="F177" s="4"/>
      <c r="G177" s="18"/>
      <c r="H177" s="36">
        <f>20%*H175</f>
        <v>705</v>
      </c>
      <c r="I177" s="20"/>
      <c r="J177" s="4" t="s">
        <v>26</v>
      </c>
      <c r="K177" s="4"/>
      <c r="L177" s="18"/>
      <c r="M177" s="19"/>
      <c r="N177" s="4"/>
      <c r="O177" s="4"/>
      <c r="P177" s="4"/>
      <c r="Q177" s="4"/>
      <c r="R177" s="20"/>
    </row>
    <row r="178" spans="1:18">
      <c r="A178" s="23"/>
      <c r="B178" s="11" t="s">
        <v>14</v>
      </c>
      <c r="C178" s="68"/>
      <c r="D178" s="4"/>
      <c r="E178" s="4"/>
      <c r="F178" s="4"/>
      <c r="G178" s="18"/>
      <c r="H178" s="36">
        <f>SUM(H176:H177)</f>
        <v>16660.625749999999</v>
      </c>
      <c r="I178" s="20"/>
      <c r="J178" s="704"/>
      <c r="K178" s="705"/>
      <c r="L178" s="705"/>
      <c r="M178" s="705"/>
      <c r="N178" s="705"/>
      <c r="O178" s="705"/>
      <c r="P178" s="705"/>
      <c r="Q178" s="705"/>
      <c r="R178" s="706"/>
    </row>
    <row r="179" spans="1:18">
      <c r="A179" s="23"/>
      <c r="B179" s="11" t="s">
        <v>24</v>
      </c>
      <c r="C179" s="68"/>
      <c r="D179" s="4"/>
      <c r="E179" s="4"/>
      <c r="F179" s="4"/>
      <c r="G179" s="18"/>
      <c r="H179" s="36">
        <f>H178*15%</f>
        <v>2499.0938624999999</v>
      </c>
      <c r="I179" s="20"/>
      <c r="J179" s="707"/>
      <c r="K179" s="708"/>
      <c r="L179" s="708"/>
      <c r="M179" s="708"/>
      <c r="N179" s="708"/>
      <c r="O179" s="708"/>
      <c r="P179" s="708"/>
      <c r="Q179" s="708"/>
      <c r="R179" s="709"/>
    </row>
    <row r="180" spans="1:18">
      <c r="A180" s="23"/>
      <c r="B180" s="11" t="s">
        <v>15</v>
      </c>
      <c r="C180" s="68"/>
      <c r="D180" s="4"/>
      <c r="E180" s="4"/>
      <c r="F180" s="4"/>
      <c r="G180" s="21" t="s">
        <v>16</v>
      </c>
      <c r="H180" s="37">
        <f>H179+H178</f>
        <v>19159.719612499997</v>
      </c>
      <c r="I180" s="38" t="str">
        <f>CONCATENATE("per ",C165)</f>
        <v>per cum</v>
      </c>
      <c r="J180" s="707"/>
      <c r="K180" s="708"/>
      <c r="L180" s="708"/>
      <c r="M180" s="708"/>
      <c r="N180" s="708"/>
      <c r="O180" s="708"/>
      <c r="P180" s="708"/>
      <c r="Q180" s="708"/>
      <c r="R180" s="709"/>
    </row>
    <row r="181" spans="1:18">
      <c r="A181" s="23"/>
      <c r="B181" s="11" t="s">
        <v>18</v>
      </c>
      <c r="C181" s="125" t="s">
        <v>19</v>
      </c>
      <c r="D181" s="4"/>
      <c r="E181" s="4"/>
      <c r="F181" s="4"/>
      <c r="G181" s="21" t="s">
        <v>16</v>
      </c>
      <c r="H181" s="37">
        <f>CEILING(H180,0.5)</f>
        <v>19160</v>
      </c>
      <c r="I181" s="38" t="str">
        <f>CONCATENATE("per ",C165)</f>
        <v>per cum</v>
      </c>
      <c r="J181" s="707"/>
      <c r="K181" s="708"/>
      <c r="L181" s="708"/>
      <c r="M181" s="708"/>
      <c r="N181" s="708"/>
      <c r="O181" s="708"/>
      <c r="P181" s="708"/>
      <c r="Q181" s="708"/>
      <c r="R181" s="709"/>
    </row>
    <row r="182" spans="1:18">
      <c r="A182" s="23"/>
      <c r="B182" s="11"/>
      <c r="C182" s="68"/>
      <c r="D182" s="4"/>
      <c r="E182" s="4"/>
      <c r="F182" s="4"/>
      <c r="G182" s="24" t="s">
        <v>17</v>
      </c>
      <c r="H182" s="37">
        <f>H181/exr</f>
        <v>147.38461538461539</v>
      </c>
      <c r="I182" s="38" t="str">
        <f>CONCATENATE("per ",C165)</f>
        <v>per cum</v>
      </c>
      <c r="J182" s="710"/>
      <c r="K182" s="711"/>
      <c r="L182" s="711"/>
      <c r="M182" s="711"/>
      <c r="N182" s="711"/>
      <c r="O182" s="711"/>
      <c r="P182" s="711"/>
      <c r="Q182" s="711"/>
      <c r="R182" s="712"/>
    </row>
    <row r="183" spans="1:18">
      <c r="A183" s="39"/>
      <c r="B183" s="40"/>
      <c r="C183" s="69"/>
      <c r="D183" s="41"/>
      <c r="E183" s="41"/>
      <c r="F183" s="41"/>
      <c r="G183" s="149" t="s">
        <v>460</v>
      </c>
      <c r="H183" s="150">
        <f>CEILING(SUM(M170,M171,R166,R167)/H176,0.0025)</f>
        <v>4.4999999999999998E-2</v>
      </c>
      <c r="I183" s="42"/>
      <c r="J183" s="43"/>
      <c r="K183" s="43"/>
      <c r="L183" s="43"/>
      <c r="M183" s="43"/>
      <c r="N183" s="43"/>
      <c r="O183" s="43"/>
      <c r="P183" s="43"/>
      <c r="Q183" s="43"/>
      <c r="R183" s="44"/>
    </row>
    <row r="184" spans="1:18">
      <c r="A184" s="22"/>
      <c r="B184" s="22"/>
      <c r="C184" s="70"/>
      <c r="D184" s="22"/>
      <c r="E184" s="22"/>
      <c r="F184" s="22"/>
      <c r="G184" s="22"/>
      <c r="H184" s="22"/>
      <c r="I184" s="22"/>
      <c r="J184" s="22"/>
      <c r="K184" s="22"/>
      <c r="L184" s="22"/>
      <c r="M184" s="22"/>
      <c r="N184" s="22"/>
      <c r="O184" s="22"/>
      <c r="P184" s="22"/>
      <c r="Q184" s="22"/>
      <c r="R184" s="22"/>
    </row>
    <row r="185" spans="1:18">
      <c r="A185" s="693" t="s">
        <v>0</v>
      </c>
      <c r="B185" s="695" t="s">
        <v>1</v>
      </c>
      <c r="C185" s="695" t="s">
        <v>2</v>
      </c>
      <c r="D185" s="697" t="s">
        <v>3</v>
      </c>
      <c r="E185" s="698"/>
      <c r="F185" s="698"/>
      <c r="G185" s="698"/>
      <c r="H185" s="698"/>
      <c r="I185" s="699" t="s">
        <v>4</v>
      </c>
      <c r="J185" s="700"/>
      <c r="K185" s="700"/>
      <c r="L185" s="700"/>
      <c r="M185" s="700"/>
      <c r="N185" s="698" t="s">
        <v>5</v>
      </c>
      <c r="O185" s="698"/>
      <c r="P185" s="698"/>
      <c r="Q185" s="698"/>
      <c r="R185" s="698"/>
    </row>
    <row r="186" spans="1:18">
      <c r="A186" s="694"/>
      <c r="B186" s="696"/>
      <c r="C186" s="696"/>
      <c r="D186" s="45" t="s">
        <v>6</v>
      </c>
      <c r="E186" s="46" t="s">
        <v>2</v>
      </c>
      <c r="F186" s="46" t="s">
        <v>7</v>
      </c>
      <c r="G186" s="46" t="s">
        <v>8</v>
      </c>
      <c r="H186" s="46" t="s">
        <v>9</v>
      </c>
      <c r="I186" s="46" t="s">
        <v>10</v>
      </c>
      <c r="J186" s="46" t="s">
        <v>2</v>
      </c>
      <c r="K186" s="46" t="s">
        <v>7</v>
      </c>
      <c r="L186" s="46" t="s">
        <v>8</v>
      </c>
      <c r="M186" s="47" t="s">
        <v>9</v>
      </c>
      <c r="N186" s="46" t="s">
        <v>10</v>
      </c>
      <c r="O186" s="46" t="s">
        <v>2</v>
      </c>
      <c r="P186" s="46" t="s">
        <v>7</v>
      </c>
      <c r="Q186" s="46" t="s">
        <v>8</v>
      </c>
      <c r="R186" s="46" t="s">
        <v>9</v>
      </c>
    </row>
    <row r="187" spans="1:18">
      <c r="A187" s="33" t="s">
        <v>23</v>
      </c>
      <c r="B187" s="73" t="s">
        <v>265</v>
      </c>
      <c r="C187" s="65"/>
      <c r="D187" s="31"/>
      <c r="E187" s="31"/>
      <c r="F187" s="31"/>
      <c r="G187" s="31"/>
      <c r="H187" s="31"/>
      <c r="I187" s="31"/>
      <c r="J187" s="31"/>
      <c r="K187" s="31"/>
      <c r="L187" s="31"/>
      <c r="M187" s="31"/>
      <c r="N187" s="31"/>
      <c r="O187" s="31"/>
      <c r="P187" s="31"/>
      <c r="Q187" s="31"/>
      <c r="R187" s="32"/>
    </row>
    <row r="188" spans="1:18">
      <c r="A188" s="34">
        <f>A165+1</f>
        <v>8</v>
      </c>
      <c r="B188" s="713" t="s">
        <v>263</v>
      </c>
      <c r="C188" s="66" t="s">
        <v>11</v>
      </c>
      <c r="D188" s="4"/>
      <c r="E188" s="6"/>
      <c r="F188" s="29"/>
      <c r="G188" s="26"/>
      <c r="H188" s="26"/>
      <c r="I188" s="6"/>
      <c r="J188" s="6"/>
      <c r="K188" s="29"/>
      <c r="L188" s="26"/>
      <c r="M188" s="26"/>
      <c r="N188" s="6"/>
      <c r="O188" s="6"/>
      <c r="P188" s="29"/>
      <c r="Q188" s="26"/>
      <c r="R188" s="26"/>
    </row>
    <row r="189" spans="1:18">
      <c r="A189" s="2"/>
      <c r="B189" s="714"/>
      <c r="C189" s="66"/>
      <c r="D189" s="4" t="s">
        <v>251</v>
      </c>
      <c r="E189" s="6" t="s">
        <v>81</v>
      </c>
      <c r="F189" s="29">
        <v>1</v>
      </c>
      <c r="G189" s="26">
        <f>sr</f>
        <v>1100</v>
      </c>
      <c r="H189" s="26">
        <f>F189*G189</f>
        <v>1100</v>
      </c>
      <c r="I189" s="7" t="s">
        <v>252</v>
      </c>
      <c r="J189" s="8" t="s">
        <v>32</v>
      </c>
      <c r="K189" s="29">
        <v>0.41499999999999998</v>
      </c>
      <c r="L189" s="28">
        <f>cement</f>
        <v>24049.69</v>
      </c>
      <c r="M189" s="26">
        <f>K189*L189</f>
        <v>9980.6213499999994</v>
      </c>
      <c r="N189" s="8"/>
      <c r="O189" s="6"/>
      <c r="P189" s="29"/>
      <c r="Q189" s="28"/>
      <c r="R189" s="26"/>
    </row>
    <row r="190" spans="1:18">
      <c r="A190" s="2"/>
      <c r="B190" s="714"/>
      <c r="C190" s="66"/>
      <c r="D190" s="4" t="s">
        <v>97</v>
      </c>
      <c r="E190" s="6" t="s">
        <v>81</v>
      </c>
      <c r="F190" s="29">
        <v>4</v>
      </c>
      <c r="G190" s="26">
        <f>ur</f>
        <v>850</v>
      </c>
      <c r="H190" s="26">
        <f>F190*G190</f>
        <v>3400</v>
      </c>
      <c r="I190" s="7" t="s">
        <v>258</v>
      </c>
      <c r="J190" s="8" t="s">
        <v>34</v>
      </c>
      <c r="K190" s="29">
        <v>0.57999999999999996</v>
      </c>
      <c r="L190" s="28">
        <f>Agg_20</f>
        <v>2700</v>
      </c>
      <c r="M190" s="26">
        <f>K190*L190</f>
        <v>1566</v>
      </c>
      <c r="N190" s="8" t="s">
        <v>257</v>
      </c>
      <c r="O190" s="6" t="s">
        <v>101</v>
      </c>
      <c r="P190" s="29">
        <v>0.25</v>
      </c>
      <c r="Q190" s="28">
        <f>vibrator_concrete</f>
        <v>108.16</v>
      </c>
      <c r="R190" s="26">
        <f>P190*Q190</f>
        <v>27.04</v>
      </c>
    </row>
    <row r="191" spans="1:18">
      <c r="A191" s="2"/>
      <c r="B191" s="714"/>
      <c r="C191" s="66"/>
      <c r="D191" s="4"/>
      <c r="E191" s="6"/>
      <c r="F191" s="29"/>
      <c r="G191" s="26"/>
      <c r="H191" s="26"/>
      <c r="I191" s="7" t="s">
        <v>259</v>
      </c>
      <c r="J191" s="8" t="s">
        <v>34</v>
      </c>
      <c r="K191" s="29">
        <v>0.3</v>
      </c>
      <c r="L191" s="28">
        <f>Agg_10</f>
        <v>2950</v>
      </c>
      <c r="M191" s="26">
        <f>K191*L191</f>
        <v>885</v>
      </c>
      <c r="N191" s="8"/>
      <c r="O191" s="6"/>
      <c r="P191" s="29"/>
      <c r="Q191" s="28"/>
      <c r="R191" s="28"/>
    </row>
    <row r="192" spans="1:18">
      <c r="A192" s="2"/>
      <c r="B192" s="714"/>
      <c r="C192" s="66"/>
      <c r="D192" s="4"/>
      <c r="E192" s="6"/>
      <c r="F192" s="29"/>
      <c r="G192" s="26"/>
      <c r="H192" s="26"/>
      <c r="I192" s="7" t="s">
        <v>254</v>
      </c>
      <c r="J192" s="8" t="s">
        <v>34</v>
      </c>
      <c r="K192" s="29">
        <v>0.44</v>
      </c>
      <c r="L192" s="28">
        <f>sand</f>
        <v>1050</v>
      </c>
      <c r="M192" s="26">
        <f>K192*L192</f>
        <v>462</v>
      </c>
      <c r="N192" s="8"/>
      <c r="O192" s="6"/>
      <c r="P192" s="29"/>
      <c r="Q192" s="28"/>
      <c r="R192" s="28"/>
    </row>
    <row r="193" spans="1:18">
      <c r="A193" s="2"/>
      <c r="B193" s="126"/>
      <c r="C193" s="66"/>
      <c r="D193" s="4"/>
      <c r="E193" s="6"/>
      <c r="F193" s="29"/>
      <c r="G193" s="26"/>
      <c r="H193" s="26"/>
      <c r="I193" s="7" t="s">
        <v>255</v>
      </c>
      <c r="J193" s="8" t="s">
        <v>250</v>
      </c>
      <c r="K193" s="29">
        <v>249</v>
      </c>
      <c r="L193" s="28"/>
      <c r="M193" s="26">
        <f>K193*L193</f>
        <v>0</v>
      </c>
      <c r="N193" s="8"/>
      <c r="O193" s="6"/>
      <c r="P193" s="29"/>
      <c r="Q193" s="28"/>
      <c r="R193" s="28"/>
    </row>
    <row r="194" spans="1:18">
      <c r="A194" s="2"/>
      <c r="B194" s="126"/>
      <c r="C194" s="66"/>
      <c r="D194" s="4"/>
      <c r="E194" s="6"/>
      <c r="F194" s="29"/>
      <c r="G194" s="26"/>
      <c r="H194" s="26"/>
      <c r="I194" s="7"/>
      <c r="J194" s="8"/>
      <c r="K194" s="29"/>
      <c r="L194" s="28"/>
      <c r="M194" s="26"/>
      <c r="N194" s="8"/>
      <c r="O194" s="6"/>
      <c r="P194" s="29"/>
      <c r="Q194" s="28"/>
      <c r="R194" s="28"/>
    </row>
    <row r="195" spans="1:18">
      <c r="A195" s="2"/>
      <c r="B195" s="126"/>
      <c r="C195" s="66"/>
      <c r="D195" s="4"/>
      <c r="E195" s="6"/>
      <c r="F195" s="29"/>
      <c r="G195" s="26"/>
      <c r="H195" s="26"/>
      <c r="I195" s="7"/>
      <c r="J195" s="8"/>
      <c r="K195" s="29"/>
      <c r="L195" s="28"/>
      <c r="M195" s="26"/>
      <c r="N195" s="8"/>
      <c r="O195" s="6"/>
      <c r="P195" s="29"/>
      <c r="Q195" s="28"/>
      <c r="R195" s="28"/>
    </row>
    <row r="196" spans="1:18">
      <c r="A196" s="2"/>
      <c r="B196" s="126"/>
      <c r="C196" s="66"/>
      <c r="D196" s="4"/>
      <c r="E196" s="6"/>
      <c r="F196" s="29"/>
      <c r="G196" s="26"/>
      <c r="H196" s="26"/>
      <c r="I196" s="7"/>
      <c r="J196" s="8"/>
      <c r="K196" s="29"/>
      <c r="L196" s="28"/>
      <c r="M196" s="26"/>
      <c r="N196" s="8"/>
      <c r="O196" s="6"/>
      <c r="P196" s="29"/>
      <c r="Q196" s="28"/>
      <c r="R196" s="28"/>
    </row>
    <row r="197" spans="1:18">
      <c r="A197" s="2"/>
      <c r="B197" s="5"/>
      <c r="C197" s="66"/>
      <c r="D197" s="4"/>
      <c r="E197" s="9"/>
      <c r="F197" s="30"/>
      <c r="G197" s="27"/>
      <c r="H197" s="27"/>
      <c r="I197" s="9"/>
      <c r="J197" s="10"/>
      <c r="K197" s="30"/>
      <c r="L197" s="28"/>
      <c r="M197" s="28"/>
      <c r="N197" s="8"/>
      <c r="O197" s="6"/>
      <c r="P197" s="30"/>
      <c r="Q197" s="28"/>
      <c r="R197" s="28"/>
    </row>
    <row r="198" spans="1:18">
      <c r="A198" s="2"/>
      <c r="B198" s="11"/>
      <c r="C198" s="66"/>
      <c r="D198" s="12"/>
      <c r="E198" s="524"/>
      <c r="F198" s="13"/>
      <c r="G198" s="13" t="s">
        <v>20</v>
      </c>
      <c r="H198" s="25">
        <f>SUM(H188:H197)</f>
        <v>4500</v>
      </c>
      <c r="I198" s="703"/>
      <c r="J198" s="703"/>
      <c r="K198" s="14"/>
      <c r="L198" s="13" t="s">
        <v>21</v>
      </c>
      <c r="M198" s="25">
        <f>SUM(M188:M197)</f>
        <v>12893.621349999999</v>
      </c>
      <c r="N198" s="3"/>
      <c r="O198" s="14"/>
      <c r="P198" s="14"/>
      <c r="Q198" s="13" t="s">
        <v>22</v>
      </c>
      <c r="R198" s="25">
        <f>SUM(R188:R197)</f>
        <v>27.04</v>
      </c>
    </row>
    <row r="199" spans="1:18">
      <c r="A199" s="2"/>
      <c r="B199" s="16" t="s">
        <v>13</v>
      </c>
      <c r="C199" s="67"/>
      <c r="D199" s="14"/>
      <c r="E199" s="14"/>
      <c r="F199" s="14"/>
      <c r="G199" s="13"/>
      <c r="H199" s="35">
        <f>M198+R198+H198</f>
        <v>17420.661350000002</v>
      </c>
      <c r="I199" s="17"/>
      <c r="J199" s="14"/>
      <c r="K199" s="14"/>
      <c r="L199" s="13"/>
      <c r="M199" s="15"/>
      <c r="N199" s="14"/>
      <c r="O199" s="14"/>
      <c r="P199" s="14"/>
      <c r="Q199" s="14"/>
      <c r="R199" s="17"/>
    </row>
    <row r="200" spans="1:18">
      <c r="A200" s="2"/>
      <c r="B200" s="11" t="s">
        <v>25</v>
      </c>
      <c r="C200" s="4" t="s">
        <v>647</v>
      </c>
      <c r="D200" s="4"/>
      <c r="E200" s="4"/>
      <c r="F200" s="4"/>
      <c r="G200" s="18"/>
      <c r="H200" s="36">
        <f>20%*H198</f>
        <v>900</v>
      </c>
      <c r="I200" s="20"/>
      <c r="J200" s="4" t="s">
        <v>26</v>
      </c>
      <c r="K200" s="4"/>
      <c r="L200" s="18"/>
      <c r="M200" s="19"/>
      <c r="N200" s="4"/>
      <c r="O200" s="4"/>
      <c r="P200" s="4"/>
      <c r="Q200" s="4"/>
      <c r="R200" s="20"/>
    </row>
    <row r="201" spans="1:18">
      <c r="A201" s="23"/>
      <c r="B201" s="11" t="s">
        <v>14</v>
      </c>
      <c r="C201" s="68"/>
      <c r="D201" s="4"/>
      <c r="E201" s="4"/>
      <c r="F201" s="4"/>
      <c r="G201" s="18"/>
      <c r="H201" s="36">
        <f>SUM(H199:H200)</f>
        <v>18320.661350000002</v>
      </c>
      <c r="I201" s="20"/>
      <c r="J201" s="704"/>
      <c r="K201" s="705"/>
      <c r="L201" s="705"/>
      <c r="M201" s="705"/>
      <c r="N201" s="705"/>
      <c r="O201" s="705"/>
      <c r="P201" s="705"/>
      <c r="Q201" s="705"/>
      <c r="R201" s="706"/>
    </row>
    <row r="202" spans="1:18">
      <c r="A202" s="23"/>
      <c r="B202" s="11" t="s">
        <v>24</v>
      </c>
      <c r="C202" s="68"/>
      <c r="D202" s="4"/>
      <c r="E202" s="4"/>
      <c r="F202" s="4"/>
      <c r="G202" s="18"/>
      <c r="H202" s="36">
        <f>H201*15%</f>
        <v>2748.0992025</v>
      </c>
      <c r="I202" s="20"/>
      <c r="J202" s="707"/>
      <c r="K202" s="708"/>
      <c r="L202" s="708"/>
      <c r="M202" s="708"/>
      <c r="N202" s="708"/>
      <c r="O202" s="708"/>
      <c r="P202" s="708"/>
      <c r="Q202" s="708"/>
      <c r="R202" s="709"/>
    </row>
    <row r="203" spans="1:18">
      <c r="A203" s="23"/>
      <c r="B203" s="11" t="s">
        <v>15</v>
      </c>
      <c r="C203" s="68"/>
      <c r="D203" s="4"/>
      <c r="E203" s="4"/>
      <c r="F203" s="4"/>
      <c r="G203" s="21" t="s">
        <v>16</v>
      </c>
      <c r="H203" s="37">
        <f>H202+H201</f>
        <v>21068.760552500004</v>
      </c>
      <c r="I203" s="38" t="str">
        <f>CONCATENATE("per ",C188)</f>
        <v>per cum</v>
      </c>
      <c r="J203" s="707"/>
      <c r="K203" s="708"/>
      <c r="L203" s="708"/>
      <c r="M203" s="708"/>
      <c r="N203" s="708"/>
      <c r="O203" s="708"/>
      <c r="P203" s="708"/>
      <c r="Q203" s="708"/>
      <c r="R203" s="709"/>
    </row>
    <row r="204" spans="1:18">
      <c r="A204" s="23"/>
      <c r="B204" s="11" t="s">
        <v>18</v>
      </c>
      <c r="C204" s="125" t="s">
        <v>19</v>
      </c>
      <c r="D204" s="4"/>
      <c r="E204" s="4"/>
      <c r="F204" s="4"/>
      <c r="G204" s="21" t="s">
        <v>16</v>
      </c>
      <c r="H204" s="37">
        <f>CEILING(H203,0.5)</f>
        <v>21069</v>
      </c>
      <c r="I204" s="38" t="str">
        <f>CONCATENATE("per ",C188)</f>
        <v>per cum</v>
      </c>
      <c r="J204" s="707"/>
      <c r="K204" s="708"/>
      <c r="L204" s="708"/>
      <c r="M204" s="708"/>
      <c r="N204" s="708"/>
      <c r="O204" s="708"/>
      <c r="P204" s="708"/>
      <c r="Q204" s="708"/>
      <c r="R204" s="709"/>
    </row>
    <row r="205" spans="1:18">
      <c r="A205" s="23"/>
      <c r="B205" s="11"/>
      <c r="C205" s="68"/>
      <c r="D205" s="4"/>
      <c r="E205" s="4"/>
      <c r="F205" s="4"/>
      <c r="G205" s="24" t="s">
        <v>17</v>
      </c>
      <c r="H205" s="37">
        <f>H204/exr</f>
        <v>162.06923076923076</v>
      </c>
      <c r="I205" s="38" t="str">
        <f>CONCATENATE("per ",C188)</f>
        <v>per cum</v>
      </c>
      <c r="J205" s="710"/>
      <c r="K205" s="711"/>
      <c r="L205" s="711"/>
      <c r="M205" s="711"/>
      <c r="N205" s="711"/>
      <c r="O205" s="711"/>
      <c r="P205" s="711"/>
      <c r="Q205" s="711"/>
      <c r="R205" s="712"/>
    </row>
    <row r="206" spans="1:18">
      <c r="A206" s="39"/>
      <c r="B206" s="40"/>
      <c r="C206" s="69"/>
      <c r="D206" s="41"/>
      <c r="E206" s="41"/>
      <c r="F206" s="41"/>
      <c r="G206" s="149" t="s">
        <v>460</v>
      </c>
      <c r="H206" s="150">
        <f>CEILING(SUM(R190)/H199,0.0025)</f>
        <v>2.5000000000000001E-3</v>
      </c>
      <c r="I206" s="42"/>
      <c r="J206" s="43"/>
      <c r="K206" s="43"/>
      <c r="L206" s="43"/>
      <c r="M206" s="43"/>
      <c r="N206" s="43"/>
      <c r="O206" s="43"/>
      <c r="P206" s="43"/>
      <c r="Q206" s="43"/>
      <c r="R206" s="44"/>
    </row>
    <row r="208" spans="1:18">
      <c r="A208" s="693" t="s">
        <v>0</v>
      </c>
      <c r="B208" s="695" t="s">
        <v>1</v>
      </c>
      <c r="C208" s="695" t="s">
        <v>2</v>
      </c>
      <c r="D208" s="697" t="s">
        <v>3</v>
      </c>
      <c r="E208" s="698"/>
      <c r="F208" s="698"/>
      <c r="G208" s="698"/>
      <c r="H208" s="698"/>
      <c r="I208" s="699" t="s">
        <v>4</v>
      </c>
      <c r="J208" s="700"/>
      <c r="K208" s="700"/>
      <c r="L208" s="700"/>
      <c r="M208" s="700"/>
      <c r="N208" s="698" t="s">
        <v>5</v>
      </c>
      <c r="O208" s="698"/>
      <c r="P208" s="698"/>
      <c r="Q208" s="698"/>
      <c r="R208" s="698"/>
    </row>
    <row r="209" spans="1:18">
      <c r="A209" s="694"/>
      <c r="B209" s="696"/>
      <c r="C209" s="696"/>
      <c r="D209" s="45" t="s">
        <v>6</v>
      </c>
      <c r="E209" s="46" t="s">
        <v>2</v>
      </c>
      <c r="F209" s="46" t="s">
        <v>7</v>
      </c>
      <c r="G209" s="46" t="s">
        <v>8</v>
      </c>
      <c r="H209" s="46" t="s">
        <v>9</v>
      </c>
      <c r="I209" s="46" t="s">
        <v>10</v>
      </c>
      <c r="J209" s="46" t="s">
        <v>2</v>
      </c>
      <c r="K209" s="46" t="s">
        <v>7</v>
      </c>
      <c r="L209" s="46" t="s">
        <v>8</v>
      </c>
      <c r="M209" s="47" t="s">
        <v>9</v>
      </c>
      <c r="N209" s="46" t="s">
        <v>10</v>
      </c>
      <c r="O209" s="46" t="s">
        <v>2</v>
      </c>
      <c r="P209" s="46" t="s">
        <v>7</v>
      </c>
      <c r="Q209" s="46" t="s">
        <v>8</v>
      </c>
      <c r="R209" s="46" t="s">
        <v>9</v>
      </c>
    </row>
    <row r="210" spans="1:18">
      <c r="A210" s="33" t="s">
        <v>23</v>
      </c>
      <c r="B210" s="73" t="s">
        <v>267</v>
      </c>
      <c r="C210" s="65"/>
      <c r="D210" s="31"/>
      <c r="E210" s="31"/>
      <c r="F210" s="31"/>
      <c r="G210" s="31"/>
      <c r="H210" s="31"/>
      <c r="I210" s="31"/>
      <c r="J210" s="31"/>
      <c r="K210" s="31"/>
      <c r="L210" s="31"/>
      <c r="M210" s="31"/>
      <c r="N210" s="31"/>
      <c r="O210" s="31"/>
      <c r="P210" s="31"/>
      <c r="Q210" s="31"/>
      <c r="R210" s="32"/>
    </row>
    <row r="211" spans="1:18">
      <c r="A211" s="34">
        <f>A188+1</f>
        <v>9</v>
      </c>
      <c r="B211" s="713" t="s">
        <v>266</v>
      </c>
      <c r="C211" s="66" t="s">
        <v>11</v>
      </c>
      <c r="D211" s="4"/>
      <c r="E211" s="6"/>
      <c r="F211" s="29"/>
      <c r="G211" s="26"/>
      <c r="H211" s="26"/>
      <c r="I211" s="6"/>
      <c r="J211" s="6"/>
      <c r="K211" s="29"/>
      <c r="L211" s="26"/>
      <c r="M211" s="26"/>
      <c r="N211" s="6"/>
      <c r="O211" s="6"/>
      <c r="P211" s="29"/>
      <c r="Q211" s="26"/>
      <c r="R211" s="26"/>
    </row>
    <row r="212" spans="1:18">
      <c r="A212" s="2"/>
      <c r="B212" s="714"/>
      <c r="C212" s="66"/>
      <c r="D212" s="4" t="s">
        <v>251</v>
      </c>
      <c r="E212" s="6" t="s">
        <v>81</v>
      </c>
      <c r="F212" s="29">
        <v>0.9</v>
      </c>
      <c r="G212" s="26">
        <f>sr</f>
        <v>1100</v>
      </c>
      <c r="H212" s="26">
        <f>F212*G212</f>
        <v>990</v>
      </c>
      <c r="I212" s="7" t="s">
        <v>252</v>
      </c>
      <c r="J212" s="8" t="s">
        <v>32</v>
      </c>
      <c r="K212" s="29">
        <v>0.375</v>
      </c>
      <c r="L212" s="28">
        <f>cement</f>
        <v>24049.69</v>
      </c>
      <c r="M212" s="26">
        <f t="shared" ref="M212:M218" si="6">K212*L212</f>
        <v>9018.6337499999991</v>
      </c>
      <c r="N212" s="8" t="s">
        <v>256</v>
      </c>
      <c r="O212" s="6" t="s">
        <v>101</v>
      </c>
      <c r="P212" s="29">
        <v>0.6</v>
      </c>
      <c r="Q212" s="28">
        <f>mixer</f>
        <v>216.32</v>
      </c>
      <c r="R212" s="26">
        <f>P212*Q212</f>
        <v>129.792</v>
      </c>
    </row>
    <row r="213" spans="1:18">
      <c r="A213" s="2"/>
      <c r="B213" s="714"/>
      <c r="C213" s="66"/>
      <c r="D213" s="4" t="s">
        <v>97</v>
      </c>
      <c r="E213" s="6" t="s">
        <v>81</v>
      </c>
      <c r="F213" s="29">
        <v>9</v>
      </c>
      <c r="G213" s="26">
        <f>ur</f>
        <v>850</v>
      </c>
      <c r="H213" s="26">
        <f>F213*G213</f>
        <v>7650</v>
      </c>
      <c r="I213" s="7" t="s">
        <v>258</v>
      </c>
      <c r="J213" s="8" t="s">
        <v>34</v>
      </c>
      <c r="K213" s="29">
        <v>0.57999999999999996</v>
      </c>
      <c r="L213" s="28">
        <f>Agg_20</f>
        <v>2700</v>
      </c>
      <c r="M213" s="26">
        <f t="shared" si="6"/>
        <v>1566</v>
      </c>
      <c r="N213" s="8" t="s">
        <v>257</v>
      </c>
      <c r="O213" s="6" t="s">
        <v>101</v>
      </c>
      <c r="P213" s="29">
        <v>0.25</v>
      </c>
      <c r="Q213" s="28">
        <f>vibrator_concrete</f>
        <v>108.16</v>
      </c>
      <c r="R213" s="26">
        <f>P213*Q213</f>
        <v>27.04</v>
      </c>
    </row>
    <row r="214" spans="1:18">
      <c r="A214" s="2"/>
      <c r="B214" s="714"/>
      <c r="C214" s="66"/>
      <c r="D214" s="4"/>
      <c r="E214" s="6"/>
      <c r="F214" s="29"/>
      <c r="G214" s="26"/>
      <c r="H214" s="26"/>
      <c r="I214" s="7" t="s">
        <v>259</v>
      </c>
      <c r="J214" s="8" t="s">
        <v>34</v>
      </c>
      <c r="K214" s="29">
        <v>0.3</v>
      </c>
      <c r="L214" s="28">
        <f>Agg_10</f>
        <v>2950</v>
      </c>
      <c r="M214" s="26">
        <f t="shared" si="6"/>
        <v>885</v>
      </c>
      <c r="N214" s="8"/>
      <c r="O214" s="6"/>
      <c r="P214" s="29"/>
      <c r="Q214" s="28"/>
      <c r="R214" s="28"/>
    </row>
    <row r="215" spans="1:18">
      <c r="A215" s="2"/>
      <c r="B215" s="714"/>
      <c r="C215" s="66"/>
      <c r="D215" s="4"/>
      <c r="E215" s="6"/>
      <c r="F215" s="29"/>
      <c r="G215" s="26"/>
      <c r="H215" s="26"/>
      <c r="I215" s="7" t="s">
        <v>254</v>
      </c>
      <c r="J215" s="8" t="s">
        <v>34</v>
      </c>
      <c r="K215" s="29">
        <v>0.45</v>
      </c>
      <c r="L215" s="28">
        <f>sand</f>
        <v>1050</v>
      </c>
      <c r="M215" s="26">
        <f t="shared" si="6"/>
        <v>472.5</v>
      </c>
      <c r="N215" s="8"/>
      <c r="O215" s="6"/>
      <c r="P215" s="29"/>
      <c r="Q215" s="28"/>
      <c r="R215" s="28"/>
    </row>
    <row r="216" spans="1:18">
      <c r="A216" s="2"/>
      <c r="B216" s="126"/>
      <c r="C216" s="66"/>
      <c r="D216" s="4"/>
      <c r="E216" s="6"/>
      <c r="F216" s="29"/>
      <c r="G216" s="26"/>
      <c r="H216" s="26"/>
      <c r="I216" s="7" t="s">
        <v>70</v>
      </c>
      <c r="J216" s="8" t="s">
        <v>250</v>
      </c>
      <c r="K216" s="29">
        <v>0.1</v>
      </c>
      <c r="L216" s="28">
        <f>petrol</f>
        <v>188.6</v>
      </c>
      <c r="M216" s="26">
        <f t="shared" si="6"/>
        <v>18.86</v>
      </c>
      <c r="N216" s="8"/>
      <c r="O216" s="6"/>
      <c r="P216" s="29"/>
      <c r="Q216" s="28"/>
      <c r="R216" s="28"/>
    </row>
    <row r="217" spans="1:18">
      <c r="A217" s="2"/>
      <c r="B217" s="126"/>
      <c r="C217" s="66"/>
      <c r="D217" s="4"/>
      <c r="E217" s="6"/>
      <c r="F217" s="29"/>
      <c r="G217" s="26"/>
      <c r="H217" s="26"/>
      <c r="I217" s="7" t="s">
        <v>67</v>
      </c>
      <c r="J217" s="8" t="s">
        <v>250</v>
      </c>
      <c r="K217" s="29">
        <v>3.2</v>
      </c>
      <c r="L217" s="28">
        <f>diesel</f>
        <v>177.6</v>
      </c>
      <c r="M217" s="26">
        <f t="shared" si="6"/>
        <v>568.32000000000005</v>
      </c>
      <c r="N217" s="8"/>
      <c r="O217" s="6"/>
      <c r="P217" s="29"/>
      <c r="Q217" s="28"/>
      <c r="R217" s="28"/>
    </row>
    <row r="218" spans="1:18">
      <c r="A218" s="2"/>
      <c r="B218" s="126"/>
      <c r="C218" s="66"/>
      <c r="D218" s="4"/>
      <c r="E218" s="6"/>
      <c r="F218" s="29"/>
      <c r="G218" s="26"/>
      <c r="H218" s="26"/>
      <c r="I218" s="7" t="s">
        <v>255</v>
      </c>
      <c r="J218" s="8" t="s">
        <v>250</v>
      </c>
      <c r="K218" s="29">
        <v>225</v>
      </c>
      <c r="L218" s="28"/>
      <c r="M218" s="26">
        <f t="shared" si="6"/>
        <v>0</v>
      </c>
      <c r="N218" s="8"/>
      <c r="O218" s="6"/>
      <c r="P218" s="29"/>
      <c r="Q218" s="28"/>
      <c r="R218" s="28"/>
    </row>
    <row r="219" spans="1:18">
      <c r="A219" s="2"/>
      <c r="B219" s="126"/>
      <c r="C219" s="66"/>
      <c r="D219" s="4"/>
      <c r="E219" s="6"/>
      <c r="F219" s="29"/>
      <c r="G219" s="26"/>
      <c r="H219" s="26"/>
      <c r="I219" s="7"/>
      <c r="J219" s="8"/>
      <c r="K219" s="29"/>
      <c r="L219" s="28"/>
      <c r="M219" s="26"/>
      <c r="N219" s="8"/>
      <c r="O219" s="6"/>
      <c r="P219" s="29"/>
      <c r="Q219" s="28"/>
      <c r="R219" s="28"/>
    </row>
    <row r="220" spans="1:18">
      <c r="A220" s="2"/>
      <c r="B220" s="5"/>
      <c r="C220" s="66"/>
      <c r="D220" s="4"/>
      <c r="E220" s="9"/>
      <c r="F220" s="30"/>
      <c r="G220" s="27"/>
      <c r="H220" s="27"/>
      <c r="I220" s="9"/>
      <c r="J220" s="10"/>
      <c r="K220" s="30"/>
      <c r="L220" s="28"/>
      <c r="M220" s="28"/>
      <c r="N220" s="8"/>
      <c r="O220" s="6"/>
      <c r="P220" s="30"/>
      <c r="Q220" s="28"/>
      <c r="R220" s="28"/>
    </row>
    <row r="221" spans="1:18">
      <c r="A221" s="2"/>
      <c r="B221" s="11"/>
      <c r="C221" s="66"/>
      <c r="D221" s="12"/>
      <c r="E221" s="524"/>
      <c r="F221" s="13"/>
      <c r="G221" s="13" t="s">
        <v>20</v>
      </c>
      <c r="H221" s="25">
        <f>SUM(H211:H220)</f>
        <v>8640</v>
      </c>
      <c r="I221" s="703"/>
      <c r="J221" s="703"/>
      <c r="K221" s="14"/>
      <c r="L221" s="13" t="s">
        <v>21</v>
      </c>
      <c r="M221" s="25">
        <f>SUM(M211:M220)</f>
        <v>12529.313749999999</v>
      </c>
      <c r="N221" s="3"/>
      <c r="O221" s="14"/>
      <c r="P221" s="14"/>
      <c r="Q221" s="13" t="s">
        <v>22</v>
      </c>
      <c r="R221" s="25">
        <f>SUM(R211:R220)</f>
        <v>156.83199999999999</v>
      </c>
    </row>
    <row r="222" spans="1:18">
      <c r="A222" s="2"/>
      <c r="B222" s="16" t="s">
        <v>13</v>
      </c>
      <c r="C222" s="67"/>
      <c r="D222" s="14"/>
      <c r="E222" s="14"/>
      <c r="F222" s="14"/>
      <c r="G222" s="13"/>
      <c r="H222" s="35">
        <f>M221+R221+H221</f>
        <v>21326.14575</v>
      </c>
      <c r="I222" s="17"/>
      <c r="J222" s="14"/>
      <c r="K222" s="14"/>
      <c r="L222" s="13"/>
      <c r="M222" s="15"/>
      <c r="N222" s="14"/>
      <c r="O222" s="14"/>
      <c r="P222" s="14"/>
      <c r="Q222" s="14"/>
      <c r="R222" s="17"/>
    </row>
    <row r="223" spans="1:18">
      <c r="A223" s="2"/>
      <c r="B223" s="11" t="s">
        <v>25</v>
      </c>
      <c r="C223" s="4" t="s">
        <v>647</v>
      </c>
      <c r="D223" s="4"/>
      <c r="E223" s="4"/>
      <c r="F223" s="4"/>
      <c r="G223" s="18"/>
      <c r="H223" s="36">
        <f>20%*H221</f>
        <v>1728</v>
      </c>
      <c r="I223" s="20"/>
      <c r="J223" s="4" t="s">
        <v>26</v>
      </c>
      <c r="K223" s="4"/>
      <c r="L223" s="18"/>
      <c r="M223" s="19"/>
      <c r="N223" s="4"/>
      <c r="O223" s="4"/>
      <c r="P223" s="4"/>
      <c r="Q223" s="4"/>
      <c r="R223" s="20"/>
    </row>
    <row r="224" spans="1:18">
      <c r="A224" s="23"/>
      <c r="B224" s="11" t="s">
        <v>14</v>
      </c>
      <c r="C224" s="68"/>
      <c r="D224" s="4"/>
      <c r="E224" s="4"/>
      <c r="F224" s="4"/>
      <c r="G224" s="18"/>
      <c r="H224" s="36">
        <f>SUM(H222:H223)</f>
        <v>23054.14575</v>
      </c>
      <c r="I224" s="20"/>
      <c r="J224" s="704"/>
      <c r="K224" s="705"/>
      <c r="L224" s="705"/>
      <c r="M224" s="705"/>
      <c r="N224" s="705"/>
      <c r="O224" s="705"/>
      <c r="P224" s="705"/>
      <c r="Q224" s="705"/>
      <c r="R224" s="706"/>
    </row>
    <row r="225" spans="1:18">
      <c r="A225" s="23"/>
      <c r="B225" s="11" t="s">
        <v>24</v>
      </c>
      <c r="C225" s="68"/>
      <c r="D225" s="4"/>
      <c r="E225" s="4"/>
      <c r="F225" s="4"/>
      <c r="G225" s="18"/>
      <c r="H225" s="36">
        <f>H224*15%</f>
        <v>3458.1218624999997</v>
      </c>
      <c r="I225" s="20"/>
      <c r="J225" s="707"/>
      <c r="K225" s="708"/>
      <c r="L225" s="708"/>
      <c r="M225" s="708"/>
      <c r="N225" s="708"/>
      <c r="O225" s="708"/>
      <c r="P225" s="708"/>
      <c r="Q225" s="708"/>
      <c r="R225" s="709"/>
    </row>
    <row r="226" spans="1:18">
      <c r="A226" s="23"/>
      <c r="B226" s="11" t="s">
        <v>15</v>
      </c>
      <c r="C226" s="68"/>
      <c r="D226" s="4"/>
      <c r="E226" s="4"/>
      <c r="F226" s="4"/>
      <c r="G226" s="21" t="s">
        <v>16</v>
      </c>
      <c r="H226" s="37">
        <f>H225+H224</f>
        <v>26512.2676125</v>
      </c>
      <c r="I226" s="38" t="str">
        <f>CONCATENATE("per ",C211)</f>
        <v>per cum</v>
      </c>
      <c r="J226" s="707"/>
      <c r="K226" s="708"/>
      <c r="L226" s="708"/>
      <c r="M226" s="708"/>
      <c r="N226" s="708"/>
      <c r="O226" s="708"/>
      <c r="P226" s="708"/>
      <c r="Q226" s="708"/>
      <c r="R226" s="709"/>
    </row>
    <row r="227" spans="1:18">
      <c r="A227" s="23"/>
      <c r="B227" s="11" t="s">
        <v>18</v>
      </c>
      <c r="C227" s="125" t="s">
        <v>19</v>
      </c>
      <c r="D227" s="4"/>
      <c r="E227" s="4"/>
      <c r="F227" s="4"/>
      <c r="G227" s="21" t="s">
        <v>16</v>
      </c>
      <c r="H227" s="37">
        <f>CEILING(H226,0.5)</f>
        <v>26512.5</v>
      </c>
      <c r="I227" s="38" t="str">
        <f>CONCATENATE("per ",C211)</f>
        <v>per cum</v>
      </c>
      <c r="J227" s="707"/>
      <c r="K227" s="708"/>
      <c r="L227" s="708"/>
      <c r="M227" s="708"/>
      <c r="N227" s="708"/>
      <c r="O227" s="708"/>
      <c r="P227" s="708"/>
      <c r="Q227" s="708"/>
      <c r="R227" s="709"/>
    </row>
    <row r="228" spans="1:18">
      <c r="A228" s="23"/>
      <c r="B228" s="11"/>
      <c r="C228" s="68"/>
      <c r="D228" s="4"/>
      <c r="E228" s="4"/>
      <c r="F228" s="4"/>
      <c r="G228" s="24" t="s">
        <v>17</v>
      </c>
      <c r="H228" s="37">
        <f>H227/exr</f>
        <v>203.94230769230768</v>
      </c>
      <c r="I228" s="38" t="str">
        <f>CONCATENATE("per ",C211)</f>
        <v>per cum</v>
      </c>
      <c r="J228" s="710"/>
      <c r="K228" s="711"/>
      <c r="L228" s="711"/>
      <c r="M228" s="711"/>
      <c r="N228" s="711"/>
      <c r="O228" s="711"/>
      <c r="P228" s="711"/>
      <c r="Q228" s="711"/>
      <c r="R228" s="712"/>
    </row>
    <row r="229" spans="1:18">
      <c r="A229" s="39"/>
      <c r="B229" s="40"/>
      <c r="C229" s="69"/>
      <c r="D229" s="41"/>
      <c r="E229" s="41"/>
      <c r="F229" s="41"/>
      <c r="G229" s="149" t="s">
        <v>460</v>
      </c>
      <c r="H229" s="150">
        <f>CEILING(SUM(M216,M217,R212,R213)/H222,0.0025)</f>
        <v>3.5000000000000003E-2</v>
      </c>
      <c r="I229" s="42"/>
      <c r="J229" s="43"/>
      <c r="K229" s="43"/>
      <c r="L229" s="43"/>
      <c r="M229" s="43"/>
      <c r="N229" s="43"/>
      <c r="O229" s="43"/>
      <c r="P229" s="43"/>
      <c r="Q229" s="43"/>
      <c r="R229" s="44"/>
    </row>
    <row r="231" spans="1:18">
      <c r="A231" s="693" t="s">
        <v>0</v>
      </c>
      <c r="B231" s="695" t="s">
        <v>1</v>
      </c>
      <c r="C231" s="695" t="s">
        <v>2</v>
      </c>
      <c r="D231" s="697" t="s">
        <v>3</v>
      </c>
      <c r="E231" s="698"/>
      <c r="F231" s="698"/>
      <c r="G231" s="698"/>
      <c r="H231" s="698"/>
      <c r="I231" s="699" t="s">
        <v>4</v>
      </c>
      <c r="J231" s="700"/>
      <c r="K231" s="700"/>
      <c r="L231" s="700"/>
      <c r="M231" s="700"/>
      <c r="N231" s="698" t="s">
        <v>5</v>
      </c>
      <c r="O231" s="698"/>
      <c r="P231" s="698"/>
      <c r="Q231" s="698"/>
      <c r="R231" s="698"/>
    </row>
    <row r="232" spans="1:18">
      <c r="A232" s="694"/>
      <c r="B232" s="696"/>
      <c r="C232" s="696"/>
      <c r="D232" s="45" t="s">
        <v>6</v>
      </c>
      <c r="E232" s="46" t="s">
        <v>2</v>
      </c>
      <c r="F232" s="46" t="s">
        <v>7</v>
      </c>
      <c r="G232" s="46" t="s">
        <v>8</v>
      </c>
      <c r="H232" s="46" t="s">
        <v>9</v>
      </c>
      <c r="I232" s="46" t="s">
        <v>10</v>
      </c>
      <c r="J232" s="46" t="s">
        <v>2</v>
      </c>
      <c r="K232" s="46" t="s">
        <v>7</v>
      </c>
      <c r="L232" s="46" t="s">
        <v>8</v>
      </c>
      <c r="M232" s="47" t="s">
        <v>9</v>
      </c>
      <c r="N232" s="46" t="s">
        <v>10</v>
      </c>
      <c r="O232" s="46" t="s">
        <v>2</v>
      </c>
      <c r="P232" s="46" t="s">
        <v>7</v>
      </c>
      <c r="Q232" s="46" t="s">
        <v>8</v>
      </c>
      <c r="R232" s="46" t="s">
        <v>9</v>
      </c>
    </row>
    <row r="233" spans="1:18">
      <c r="A233" s="33" t="s">
        <v>23</v>
      </c>
      <c r="B233" s="73" t="s">
        <v>269</v>
      </c>
      <c r="C233" s="65"/>
      <c r="D233" s="31"/>
      <c r="E233" s="31"/>
      <c r="F233" s="31"/>
      <c r="G233" s="31"/>
      <c r="H233" s="31"/>
      <c r="I233" s="31"/>
      <c r="J233" s="31"/>
      <c r="K233" s="31"/>
      <c r="L233" s="31"/>
      <c r="M233" s="31"/>
      <c r="N233" s="31"/>
      <c r="O233" s="31"/>
      <c r="P233" s="31"/>
      <c r="Q233" s="31"/>
      <c r="R233" s="32"/>
    </row>
    <row r="234" spans="1:18">
      <c r="A234" s="34">
        <f>A211+1</f>
        <v>10</v>
      </c>
      <c r="B234" s="713" t="s">
        <v>268</v>
      </c>
      <c r="C234" s="66" t="s">
        <v>11</v>
      </c>
      <c r="D234" s="4"/>
      <c r="E234" s="6"/>
      <c r="F234" s="29"/>
      <c r="G234" s="26"/>
      <c r="H234" s="26"/>
      <c r="I234" s="6"/>
      <c r="J234" s="6"/>
      <c r="K234" s="29"/>
      <c r="L234" s="26"/>
      <c r="M234" s="26"/>
      <c r="N234" s="6"/>
      <c r="O234" s="6"/>
      <c r="P234" s="29"/>
      <c r="Q234" s="26"/>
      <c r="R234" s="26"/>
    </row>
    <row r="235" spans="1:18">
      <c r="A235" s="2"/>
      <c r="B235" s="714"/>
      <c r="C235" s="66"/>
      <c r="D235" s="4" t="s">
        <v>251</v>
      </c>
      <c r="E235" s="6" t="s">
        <v>81</v>
      </c>
      <c r="F235" s="29">
        <v>0.9</v>
      </c>
      <c r="G235" s="26">
        <f>sr</f>
        <v>1100</v>
      </c>
      <c r="H235" s="26">
        <f>F235*G235</f>
        <v>990</v>
      </c>
      <c r="I235" s="7" t="s">
        <v>252</v>
      </c>
      <c r="J235" s="8" t="s">
        <v>32</v>
      </c>
      <c r="K235" s="29">
        <v>0.41499999999999998</v>
      </c>
      <c r="L235" s="28">
        <f>cement</f>
        <v>24049.69</v>
      </c>
      <c r="M235" s="26">
        <f>K235*L235</f>
        <v>9980.6213499999994</v>
      </c>
      <c r="N235" s="8"/>
      <c r="O235" s="6"/>
      <c r="P235" s="29"/>
      <c r="Q235" s="28"/>
      <c r="R235" s="26"/>
    </row>
    <row r="236" spans="1:18">
      <c r="A236" s="2"/>
      <c r="B236" s="714"/>
      <c r="C236" s="66"/>
      <c r="D236" s="4" t="s">
        <v>97</v>
      </c>
      <c r="E236" s="6" t="s">
        <v>81</v>
      </c>
      <c r="F236" s="29">
        <v>9</v>
      </c>
      <c r="G236" s="26">
        <f>ur</f>
        <v>850</v>
      </c>
      <c r="H236" s="26">
        <f>F236*G236</f>
        <v>7650</v>
      </c>
      <c r="I236" s="7" t="s">
        <v>258</v>
      </c>
      <c r="J236" s="8" t="s">
        <v>34</v>
      </c>
      <c r="K236" s="29">
        <v>0.57999999999999996</v>
      </c>
      <c r="L236" s="28">
        <f>Agg_20</f>
        <v>2700</v>
      </c>
      <c r="M236" s="26">
        <f>K236*L236</f>
        <v>1566</v>
      </c>
      <c r="N236" s="8" t="s">
        <v>257</v>
      </c>
      <c r="O236" s="6" t="s">
        <v>101</v>
      </c>
      <c r="P236" s="29">
        <v>0.25</v>
      </c>
      <c r="Q236" s="28">
        <f>vibrator_concrete</f>
        <v>108.16</v>
      </c>
      <c r="R236" s="26">
        <f>P236*Q236</f>
        <v>27.04</v>
      </c>
    </row>
    <row r="237" spans="1:18">
      <c r="A237" s="2"/>
      <c r="B237" s="714"/>
      <c r="C237" s="66"/>
      <c r="D237" s="4"/>
      <c r="E237" s="6"/>
      <c r="F237" s="29"/>
      <c r="G237" s="26"/>
      <c r="H237" s="26"/>
      <c r="I237" s="7" t="s">
        <v>259</v>
      </c>
      <c r="J237" s="8" t="s">
        <v>34</v>
      </c>
      <c r="K237" s="29">
        <v>0.3</v>
      </c>
      <c r="L237" s="28">
        <f>Agg_10</f>
        <v>2950</v>
      </c>
      <c r="M237" s="26">
        <f>K237*L237</f>
        <v>885</v>
      </c>
      <c r="N237" s="8"/>
      <c r="O237" s="6"/>
      <c r="P237" s="29"/>
      <c r="Q237" s="28"/>
      <c r="R237" s="28"/>
    </row>
    <row r="238" spans="1:18">
      <c r="A238" s="2"/>
      <c r="B238" s="714"/>
      <c r="C238" s="66"/>
      <c r="D238" s="4"/>
      <c r="E238" s="6"/>
      <c r="F238" s="29"/>
      <c r="G238" s="26"/>
      <c r="H238" s="26"/>
      <c r="I238" s="7" t="s">
        <v>254</v>
      </c>
      <c r="J238" s="8" t="s">
        <v>34</v>
      </c>
      <c r="K238" s="29">
        <v>0.45</v>
      </c>
      <c r="L238" s="28">
        <f>sand</f>
        <v>1050</v>
      </c>
      <c r="M238" s="26">
        <f>K238*L238</f>
        <v>472.5</v>
      </c>
      <c r="N238" s="8"/>
      <c r="O238" s="6"/>
      <c r="P238" s="29"/>
      <c r="Q238" s="28"/>
      <c r="R238" s="28"/>
    </row>
    <row r="239" spans="1:18">
      <c r="A239" s="2"/>
      <c r="B239" s="126"/>
      <c r="C239" s="66"/>
      <c r="D239" s="4"/>
      <c r="E239" s="6"/>
      <c r="F239" s="29"/>
      <c r="G239" s="26"/>
      <c r="H239" s="26"/>
      <c r="I239" s="7" t="s">
        <v>255</v>
      </c>
      <c r="J239" s="8" t="s">
        <v>250</v>
      </c>
      <c r="K239" s="29">
        <v>249</v>
      </c>
      <c r="L239" s="28"/>
      <c r="M239" s="26">
        <f>K239*L239</f>
        <v>0</v>
      </c>
      <c r="N239" s="8"/>
      <c r="O239" s="6"/>
      <c r="P239" s="29"/>
      <c r="Q239" s="28"/>
      <c r="R239" s="28"/>
    </row>
    <row r="240" spans="1:18">
      <c r="A240" s="2"/>
      <c r="B240" s="126"/>
      <c r="C240" s="66"/>
      <c r="D240" s="4"/>
      <c r="E240" s="6"/>
      <c r="F240" s="29"/>
      <c r="G240" s="26"/>
      <c r="H240" s="26"/>
      <c r="I240" s="7"/>
      <c r="J240" s="8"/>
      <c r="K240" s="29"/>
      <c r="L240" s="28"/>
      <c r="M240" s="26"/>
      <c r="N240" s="8"/>
      <c r="O240" s="6"/>
      <c r="P240" s="29"/>
      <c r="Q240" s="28"/>
      <c r="R240" s="28"/>
    </row>
    <row r="241" spans="1:18">
      <c r="A241" s="2"/>
      <c r="B241" s="126"/>
      <c r="C241" s="66"/>
      <c r="D241" s="4"/>
      <c r="E241" s="6"/>
      <c r="F241" s="29"/>
      <c r="G241" s="26"/>
      <c r="H241" s="26"/>
      <c r="I241" s="7"/>
      <c r="J241" s="8"/>
      <c r="K241" s="29"/>
      <c r="L241" s="28"/>
      <c r="M241" s="26"/>
      <c r="N241" s="8"/>
      <c r="O241" s="6"/>
      <c r="P241" s="29"/>
      <c r="Q241" s="28"/>
      <c r="R241" s="28"/>
    </row>
    <row r="242" spans="1:18">
      <c r="A242" s="2"/>
      <c r="B242" s="126"/>
      <c r="C242" s="66"/>
      <c r="D242" s="4"/>
      <c r="E242" s="6"/>
      <c r="F242" s="29"/>
      <c r="G242" s="26"/>
      <c r="H242" s="26"/>
      <c r="I242" s="7"/>
      <c r="J242" s="8"/>
      <c r="K242" s="29"/>
      <c r="L242" s="28"/>
      <c r="M242" s="26"/>
      <c r="N242" s="8"/>
      <c r="O242" s="6"/>
      <c r="P242" s="29"/>
      <c r="Q242" s="28"/>
      <c r="R242" s="28"/>
    </row>
    <row r="243" spans="1:18">
      <c r="A243" s="2"/>
      <c r="B243" s="5"/>
      <c r="C243" s="66"/>
      <c r="D243" s="4"/>
      <c r="E243" s="9"/>
      <c r="F243" s="30"/>
      <c r="G243" s="27"/>
      <c r="H243" s="27"/>
      <c r="I243" s="9"/>
      <c r="J243" s="10"/>
      <c r="K243" s="30"/>
      <c r="L243" s="28"/>
      <c r="M243" s="28"/>
      <c r="N243" s="8"/>
      <c r="O243" s="6"/>
      <c r="P243" s="30"/>
      <c r="Q243" s="28"/>
      <c r="R243" s="28"/>
    </row>
    <row r="244" spans="1:18">
      <c r="A244" s="2"/>
      <c r="B244" s="11"/>
      <c r="C244" s="66"/>
      <c r="D244" s="12"/>
      <c r="E244" s="524"/>
      <c r="F244" s="13"/>
      <c r="G244" s="13" t="s">
        <v>20</v>
      </c>
      <c r="H244" s="25">
        <f>SUM(H234:H243)</f>
        <v>8640</v>
      </c>
      <c r="I244" s="703"/>
      <c r="J244" s="703"/>
      <c r="K244" s="14"/>
      <c r="L244" s="13" t="s">
        <v>21</v>
      </c>
      <c r="M244" s="25">
        <f>SUM(M234:M243)</f>
        <v>12904.121349999999</v>
      </c>
      <c r="N244" s="3"/>
      <c r="O244" s="14"/>
      <c r="P244" s="14"/>
      <c r="Q244" s="13" t="s">
        <v>22</v>
      </c>
      <c r="R244" s="25">
        <f>SUM(R234:R243)</f>
        <v>27.04</v>
      </c>
    </row>
    <row r="245" spans="1:18">
      <c r="A245" s="2"/>
      <c r="B245" s="16" t="s">
        <v>13</v>
      </c>
      <c r="C245" s="67"/>
      <c r="D245" s="14"/>
      <c r="E245" s="14"/>
      <c r="F245" s="14"/>
      <c r="G245" s="13"/>
      <c r="H245" s="35">
        <f>M244+R244+H244</f>
        <v>21571.161350000002</v>
      </c>
      <c r="I245" s="17"/>
      <c r="J245" s="14"/>
      <c r="K245" s="14"/>
      <c r="L245" s="13"/>
      <c r="M245" s="15"/>
      <c r="N245" s="14"/>
      <c r="O245" s="14"/>
      <c r="P245" s="14"/>
      <c r="Q245" s="14"/>
      <c r="R245" s="17"/>
    </row>
    <row r="246" spans="1:18">
      <c r="A246" s="2"/>
      <c r="B246" s="11" t="s">
        <v>25</v>
      </c>
      <c r="C246" s="4" t="s">
        <v>647</v>
      </c>
      <c r="D246" s="4"/>
      <c r="E246" s="4"/>
      <c r="F246" s="4"/>
      <c r="G246" s="18"/>
      <c r="H246" s="36">
        <f>20%*H244</f>
        <v>1728</v>
      </c>
      <c r="I246" s="20"/>
      <c r="J246" s="4" t="s">
        <v>26</v>
      </c>
      <c r="K246" s="4"/>
      <c r="L246" s="18"/>
      <c r="M246" s="19"/>
      <c r="N246" s="4"/>
      <c r="O246" s="4"/>
      <c r="P246" s="4"/>
      <c r="Q246" s="4"/>
      <c r="R246" s="20"/>
    </row>
    <row r="247" spans="1:18">
      <c r="A247" s="23"/>
      <c r="B247" s="11" t="s">
        <v>14</v>
      </c>
      <c r="C247" s="68"/>
      <c r="D247" s="4"/>
      <c r="E247" s="4"/>
      <c r="F247" s="4"/>
      <c r="G247" s="18"/>
      <c r="H247" s="36">
        <f>SUM(H245:H246)</f>
        <v>23299.161350000002</v>
      </c>
      <c r="I247" s="20"/>
      <c r="J247" s="704"/>
      <c r="K247" s="705"/>
      <c r="L247" s="705"/>
      <c r="M247" s="705"/>
      <c r="N247" s="705"/>
      <c r="O247" s="705"/>
      <c r="P247" s="705"/>
      <c r="Q247" s="705"/>
      <c r="R247" s="706"/>
    </row>
    <row r="248" spans="1:18">
      <c r="A248" s="23"/>
      <c r="B248" s="11" t="s">
        <v>24</v>
      </c>
      <c r="C248" s="68"/>
      <c r="D248" s="4"/>
      <c r="E248" s="4"/>
      <c r="F248" s="4"/>
      <c r="G248" s="18"/>
      <c r="H248" s="36">
        <f>H247*15%</f>
        <v>3494.8742025000001</v>
      </c>
      <c r="I248" s="20"/>
      <c r="J248" s="707"/>
      <c r="K248" s="708"/>
      <c r="L248" s="708"/>
      <c r="M248" s="708"/>
      <c r="N248" s="708"/>
      <c r="O248" s="708"/>
      <c r="P248" s="708"/>
      <c r="Q248" s="708"/>
      <c r="R248" s="709"/>
    </row>
    <row r="249" spans="1:18">
      <c r="A249" s="23"/>
      <c r="B249" s="11" t="s">
        <v>15</v>
      </c>
      <c r="C249" s="68"/>
      <c r="D249" s="4"/>
      <c r="E249" s="4"/>
      <c r="F249" s="4"/>
      <c r="G249" s="21" t="s">
        <v>16</v>
      </c>
      <c r="H249" s="37">
        <f>H248+H247</f>
        <v>26794.035552500001</v>
      </c>
      <c r="I249" s="38" t="str">
        <f>CONCATENATE("per ",C234)</f>
        <v>per cum</v>
      </c>
      <c r="J249" s="707"/>
      <c r="K249" s="708"/>
      <c r="L249" s="708"/>
      <c r="M249" s="708"/>
      <c r="N249" s="708"/>
      <c r="O249" s="708"/>
      <c r="P249" s="708"/>
      <c r="Q249" s="708"/>
      <c r="R249" s="709"/>
    </row>
    <row r="250" spans="1:18">
      <c r="A250" s="23"/>
      <c r="B250" s="11" t="s">
        <v>18</v>
      </c>
      <c r="C250" s="125" t="s">
        <v>19</v>
      </c>
      <c r="D250" s="4"/>
      <c r="E250" s="4"/>
      <c r="F250" s="4"/>
      <c r="G250" s="21" t="s">
        <v>16</v>
      </c>
      <c r="H250" s="37">
        <f>CEILING(H249,0.5)</f>
        <v>26794.5</v>
      </c>
      <c r="I250" s="38" t="str">
        <f>CONCATENATE("per ",C234)</f>
        <v>per cum</v>
      </c>
      <c r="J250" s="707"/>
      <c r="K250" s="708"/>
      <c r="L250" s="708"/>
      <c r="M250" s="708"/>
      <c r="N250" s="708"/>
      <c r="O250" s="708"/>
      <c r="P250" s="708"/>
      <c r="Q250" s="708"/>
      <c r="R250" s="709"/>
    </row>
    <row r="251" spans="1:18">
      <c r="A251" s="23"/>
      <c r="B251" s="11"/>
      <c r="C251" s="68"/>
      <c r="D251" s="4"/>
      <c r="E251" s="4"/>
      <c r="F251" s="4"/>
      <c r="G251" s="24" t="s">
        <v>17</v>
      </c>
      <c r="H251" s="37">
        <f>H250/exr</f>
        <v>206.11153846153846</v>
      </c>
      <c r="I251" s="38" t="str">
        <f>CONCATENATE("per ",C234)</f>
        <v>per cum</v>
      </c>
      <c r="J251" s="710"/>
      <c r="K251" s="711"/>
      <c r="L251" s="711"/>
      <c r="M251" s="711"/>
      <c r="N251" s="711"/>
      <c r="O251" s="711"/>
      <c r="P251" s="711"/>
      <c r="Q251" s="711"/>
      <c r="R251" s="712"/>
    </row>
    <row r="252" spans="1:18">
      <c r="A252" s="39"/>
      <c r="B252" s="40"/>
      <c r="C252" s="69"/>
      <c r="D252" s="41"/>
      <c r="E252" s="41"/>
      <c r="F252" s="41"/>
      <c r="G252" s="149" t="s">
        <v>460</v>
      </c>
      <c r="H252" s="150">
        <f>CEILING(SUM(R236)/H245,0.0025)</f>
        <v>2.5000000000000001E-3</v>
      </c>
      <c r="I252" s="42"/>
      <c r="J252" s="43"/>
      <c r="K252" s="43"/>
      <c r="L252" s="43"/>
      <c r="M252" s="43"/>
      <c r="N252" s="43"/>
      <c r="O252" s="43"/>
      <c r="P252" s="43"/>
      <c r="Q252" s="43"/>
      <c r="R252" s="44"/>
    </row>
    <row r="254" spans="1:18">
      <c r="A254" s="693" t="s">
        <v>0</v>
      </c>
      <c r="B254" s="695" t="s">
        <v>1</v>
      </c>
      <c r="C254" s="695" t="s">
        <v>2</v>
      </c>
      <c r="D254" s="697" t="s">
        <v>3</v>
      </c>
      <c r="E254" s="698"/>
      <c r="F254" s="698"/>
      <c r="G254" s="698"/>
      <c r="H254" s="698"/>
      <c r="I254" s="699" t="s">
        <v>4</v>
      </c>
      <c r="J254" s="700"/>
      <c r="K254" s="700"/>
      <c r="L254" s="700"/>
      <c r="M254" s="700"/>
      <c r="N254" s="698" t="s">
        <v>5</v>
      </c>
      <c r="O254" s="698"/>
      <c r="P254" s="698"/>
      <c r="Q254" s="698"/>
      <c r="R254" s="698"/>
    </row>
    <row r="255" spans="1:18">
      <c r="A255" s="694"/>
      <c r="B255" s="696"/>
      <c r="C255" s="696"/>
      <c r="D255" s="45" t="s">
        <v>6</v>
      </c>
      <c r="E255" s="46" t="s">
        <v>2</v>
      </c>
      <c r="F255" s="46" t="s">
        <v>7</v>
      </c>
      <c r="G255" s="46" t="s">
        <v>8</v>
      </c>
      <c r="H255" s="46" t="s">
        <v>9</v>
      </c>
      <c r="I255" s="46" t="s">
        <v>10</v>
      </c>
      <c r="J255" s="46" t="s">
        <v>2</v>
      </c>
      <c r="K255" s="46" t="s">
        <v>7</v>
      </c>
      <c r="L255" s="46" t="s">
        <v>8</v>
      </c>
      <c r="M255" s="47" t="s">
        <v>9</v>
      </c>
      <c r="N255" s="46" t="s">
        <v>10</v>
      </c>
      <c r="O255" s="46" t="s">
        <v>2</v>
      </c>
      <c r="P255" s="46" t="s">
        <v>7</v>
      </c>
      <c r="Q255" s="46" t="s">
        <v>8</v>
      </c>
      <c r="R255" s="46" t="s">
        <v>9</v>
      </c>
    </row>
    <row r="256" spans="1:18">
      <c r="A256" s="33" t="s">
        <v>23</v>
      </c>
      <c r="B256" s="73" t="s">
        <v>562</v>
      </c>
      <c r="C256" s="65"/>
      <c r="D256" s="31"/>
      <c r="E256" s="31"/>
      <c r="F256" s="31"/>
      <c r="G256" s="31"/>
      <c r="H256" s="31"/>
      <c r="I256" s="31"/>
      <c r="J256" s="31"/>
      <c r="K256" s="31"/>
      <c r="L256" s="31"/>
      <c r="M256" s="31"/>
      <c r="N256" s="31"/>
      <c r="O256" s="31"/>
      <c r="P256" s="31"/>
      <c r="Q256" s="31"/>
      <c r="R256" s="32"/>
    </row>
    <row r="257" spans="1:18">
      <c r="A257" s="34">
        <f>A234+1</f>
        <v>11</v>
      </c>
      <c r="B257" s="713" t="s">
        <v>642</v>
      </c>
      <c r="C257" s="66" t="s">
        <v>11</v>
      </c>
      <c r="D257" s="4"/>
      <c r="E257" s="6"/>
      <c r="F257" s="29"/>
      <c r="G257" s="26"/>
      <c r="H257" s="26"/>
      <c r="I257" s="6"/>
      <c r="J257" s="6"/>
      <c r="K257" s="29"/>
      <c r="L257" s="26"/>
      <c r="M257" s="26"/>
      <c r="N257" s="6"/>
      <c r="O257" s="6"/>
      <c r="P257" s="29"/>
      <c r="Q257" s="26"/>
      <c r="R257" s="26"/>
    </row>
    <row r="258" spans="1:18">
      <c r="A258" s="2"/>
      <c r="B258" s="714"/>
      <c r="C258" s="66"/>
      <c r="D258" s="4" t="s">
        <v>251</v>
      </c>
      <c r="E258" s="6" t="s">
        <v>81</v>
      </c>
      <c r="F258" s="29">
        <v>0.8</v>
      </c>
      <c r="G258" s="26">
        <f>sr</f>
        <v>1100</v>
      </c>
      <c r="H258" s="26">
        <f>F258*G258</f>
        <v>880</v>
      </c>
      <c r="I258" s="7" t="s">
        <v>252</v>
      </c>
      <c r="J258" s="8" t="s">
        <v>32</v>
      </c>
      <c r="K258" s="29">
        <v>0.375</v>
      </c>
      <c r="L258" s="28">
        <f>cement</f>
        <v>24049.69</v>
      </c>
      <c r="M258" s="26">
        <f t="shared" ref="M258:M264" si="7">K258*L258</f>
        <v>9018.6337499999991</v>
      </c>
      <c r="N258" s="8" t="s">
        <v>256</v>
      </c>
      <c r="O258" s="6" t="s">
        <v>101</v>
      </c>
      <c r="P258" s="29">
        <v>0.6</v>
      </c>
      <c r="Q258" s="28">
        <f>mixer</f>
        <v>216.32</v>
      </c>
      <c r="R258" s="26">
        <f>P258*Q258</f>
        <v>129.792</v>
      </c>
    </row>
    <row r="259" spans="1:18">
      <c r="A259" s="2"/>
      <c r="B259" s="714"/>
      <c r="C259" s="66"/>
      <c r="D259" s="4" t="s">
        <v>97</v>
      </c>
      <c r="E259" s="6" t="s">
        <v>81</v>
      </c>
      <c r="F259" s="29">
        <v>6</v>
      </c>
      <c r="G259" s="26">
        <f>ur</f>
        <v>850</v>
      </c>
      <c r="H259" s="26">
        <f>F259*G259</f>
        <v>5100</v>
      </c>
      <c r="I259" s="7" t="s">
        <v>258</v>
      </c>
      <c r="J259" s="8" t="s">
        <v>34</v>
      </c>
      <c r="K259" s="29">
        <v>0.57999999999999996</v>
      </c>
      <c r="L259" s="28">
        <f>Agg_20</f>
        <v>2700</v>
      </c>
      <c r="M259" s="26">
        <f t="shared" si="7"/>
        <v>1566</v>
      </c>
      <c r="N259" s="8" t="s">
        <v>257</v>
      </c>
      <c r="O259" s="6" t="s">
        <v>101</v>
      </c>
      <c r="P259" s="29">
        <v>0.25</v>
      </c>
      <c r="Q259" s="28">
        <f>vibrator_concrete</f>
        <v>108.16</v>
      </c>
      <c r="R259" s="26">
        <f>P259*Q259</f>
        <v>27.04</v>
      </c>
    </row>
    <row r="260" spans="1:18">
      <c r="A260" s="2"/>
      <c r="B260" s="714"/>
      <c r="C260" s="66"/>
      <c r="D260" s="4" t="s">
        <v>77</v>
      </c>
      <c r="E260" s="6" t="s">
        <v>81</v>
      </c>
      <c r="F260" s="29">
        <v>0.2</v>
      </c>
      <c r="G260" s="26">
        <f>or</f>
        <v>1840</v>
      </c>
      <c r="H260" s="26">
        <f>F260*G260</f>
        <v>368</v>
      </c>
      <c r="I260" s="7" t="s">
        <v>259</v>
      </c>
      <c r="J260" s="8" t="s">
        <v>34</v>
      </c>
      <c r="K260" s="29">
        <v>0.3</v>
      </c>
      <c r="L260" s="28">
        <f>Agg_10</f>
        <v>2950</v>
      </c>
      <c r="M260" s="26">
        <f t="shared" si="7"/>
        <v>885</v>
      </c>
      <c r="N260" s="8"/>
      <c r="O260" s="6"/>
      <c r="P260" s="29"/>
      <c r="Q260" s="28"/>
      <c r="R260" s="28"/>
    </row>
    <row r="261" spans="1:18">
      <c r="A261" s="2"/>
      <c r="B261" s="714"/>
      <c r="C261" s="66"/>
      <c r="D261" s="4"/>
      <c r="E261" s="6"/>
      <c r="F261" s="29"/>
      <c r="G261" s="26"/>
      <c r="H261" s="26"/>
      <c r="I261" s="7" t="s">
        <v>254</v>
      </c>
      <c r="J261" s="8" t="s">
        <v>34</v>
      </c>
      <c r="K261" s="29">
        <v>0.45</v>
      </c>
      <c r="L261" s="28">
        <f>sand</f>
        <v>1050</v>
      </c>
      <c r="M261" s="26">
        <f t="shared" si="7"/>
        <v>472.5</v>
      </c>
      <c r="N261" s="8"/>
      <c r="O261" s="6"/>
      <c r="P261" s="29"/>
      <c r="Q261" s="28"/>
      <c r="R261" s="28"/>
    </row>
    <row r="262" spans="1:18">
      <c r="A262" s="2"/>
      <c r="B262" s="126"/>
      <c r="C262" s="66"/>
      <c r="D262" s="4"/>
      <c r="E262" s="6"/>
      <c r="F262" s="29"/>
      <c r="G262" s="26"/>
      <c r="H262" s="26"/>
      <c r="I262" s="7" t="s">
        <v>70</v>
      </c>
      <c r="J262" s="8" t="s">
        <v>250</v>
      </c>
      <c r="K262" s="29">
        <v>0.1</v>
      </c>
      <c r="L262" s="28">
        <f>petrol</f>
        <v>188.6</v>
      </c>
      <c r="M262" s="26">
        <f t="shared" si="7"/>
        <v>18.86</v>
      </c>
      <c r="N262" s="8"/>
      <c r="O262" s="6"/>
      <c r="P262" s="29"/>
      <c r="Q262" s="28"/>
      <c r="R262" s="28"/>
    </row>
    <row r="263" spans="1:18">
      <c r="A263" s="2"/>
      <c r="B263" s="126"/>
      <c r="C263" s="66"/>
      <c r="D263" s="4"/>
      <c r="E263" s="6"/>
      <c r="F263" s="29"/>
      <c r="G263" s="26"/>
      <c r="H263" s="26"/>
      <c r="I263" s="7" t="s">
        <v>67</v>
      </c>
      <c r="J263" s="8" t="s">
        <v>250</v>
      </c>
      <c r="K263" s="29">
        <v>3</v>
      </c>
      <c r="L263" s="28">
        <f>diesel</f>
        <v>177.6</v>
      </c>
      <c r="M263" s="26">
        <f t="shared" si="7"/>
        <v>532.79999999999995</v>
      </c>
      <c r="N263" s="8"/>
      <c r="O263" s="6"/>
      <c r="P263" s="29"/>
      <c r="Q263" s="28"/>
      <c r="R263" s="28"/>
    </row>
    <row r="264" spans="1:18">
      <c r="A264" s="2"/>
      <c r="B264" s="126"/>
      <c r="C264" s="66"/>
      <c r="D264" s="4"/>
      <c r="E264" s="6"/>
      <c r="F264" s="29"/>
      <c r="G264" s="26"/>
      <c r="H264" s="26"/>
      <c r="I264" s="7" t="s">
        <v>255</v>
      </c>
      <c r="J264" s="8" t="s">
        <v>250</v>
      </c>
      <c r="K264" s="29">
        <v>225</v>
      </c>
      <c r="L264" s="28"/>
      <c r="M264" s="26">
        <f t="shared" si="7"/>
        <v>0</v>
      </c>
      <c r="N264" s="8"/>
      <c r="O264" s="6"/>
      <c r="P264" s="29"/>
      <c r="Q264" s="28"/>
      <c r="R264" s="28"/>
    </row>
    <row r="265" spans="1:18">
      <c r="A265" s="2"/>
      <c r="B265" s="126"/>
      <c r="C265" s="66"/>
      <c r="D265" s="4"/>
      <c r="E265" s="6"/>
      <c r="F265" s="29"/>
      <c r="G265" s="26"/>
      <c r="H265" s="26"/>
      <c r="I265" s="7"/>
      <c r="J265" s="8"/>
      <c r="K265" s="29"/>
      <c r="L265" s="28"/>
      <c r="M265" s="26"/>
      <c r="N265" s="8"/>
      <c r="O265" s="6"/>
      <c r="P265" s="29"/>
      <c r="Q265" s="28"/>
      <c r="R265" s="28"/>
    </row>
    <row r="266" spans="1:18">
      <c r="A266" s="2"/>
      <c r="B266" s="5"/>
      <c r="C266" s="66"/>
      <c r="D266" s="4"/>
      <c r="E266" s="9"/>
      <c r="F266" s="30"/>
      <c r="G266" s="27"/>
      <c r="H266" s="27"/>
      <c r="I266" s="9"/>
      <c r="J266" s="10"/>
      <c r="K266" s="30"/>
      <c r="L266" s="28"/>
      <c r="M266" s="28"/>
      <c r="N266" s="8"/>
      <c r="O266" s="6"/>
      <c r="P266" s="30"/>
      <c r="Q266" s="28"/>
      <c r="R266" s="28"/>
    </row>
    <row r="267" spans="1:18">
      <c r="A267" s="2"/>
      <c r="B267" s="11"/>
      <c r="C267" s="66"/>
      <c r="D267" s="12"/>
      <c r="E267" s="524"/>
      <c r="F267" s="13"/>
      <c r="G267" s="13" t="s">
        <v>20</v>
      </c>
      <c r="H267" s="25">
        <f>SUM(H257:H266)</f>
        <v>6348</v>
      </c>
      <c r="I267" s="703"/>
      <c r="J267" s="703"/>
      <c r="K267" s="14"/>
      <c r="L267" s="13" t="s">
        <v>21</v>
      </c>
      <c r="M267" s="25">
        <f>SUM(M257:M266)</f>
        <v>12493.793749999999</v>
      </c>
      <c r="N267" s="3"/>
      <c r="O267" s="14"/>
      <c r="P267" s="14"/>
      <c r="Q267" s="13" t="s">
        <v>22</v>
      </c>
      <c r="R267" s="25">
        <f>SUM(R257:R266)</f>
        <v>156.83199999999999</v>
      </c>
    </row>
    <row r="268" spans="1:18">
      <c r="A268" s="2"/>
      <c r="B268" s="16" t="s">
        <v>13</v>
      </c>
      <c r="C268" s="67"/>
      <c r="D268" s="14"/>
      <c r="E268" s="14"/>
      <c r="F268" s="14"/>
      <c r="G268" s="13"/>
      <c r="H268" s="35">
        <f>M267+R267+H267</f>
        <v>18998.625749999999</v>
      </c>
      <c r="I268" s="17"/>
      <c r="J268" s="14"/>
      <c r="K268" s="14"/>
      <c r="L268" s="13"/>
      <c r="M268" s="15"/>
      <c r="N268" s="14"/>
      <c r="O268" s="14"/>
      <c r="P268" s="14"/>
      <c r="Q268" s="14"/>
      <c r="R268" s="17"/>
    </row>
    <row r="269" spans="1:18">
      <c r="A269" s="2"/>
      <c r="B269" s="11" t="s">
        <v>25</v>
      </c>
      <c r="C269" s="4" t="s">
        <v>647</v>
      </c>
      <c r="D269" s="4"/>
      <c r="E269" s="4"/>
      <c r="F269" s="4"/>
      <c r="G269" s="18"/>
      <c r="H269" s="36">
        <f>20%*H267</f>
        <v>1269.6000000000001</v>
      </c>
      <c r="I269" s="20"/>
      <c r="J269" s="4" t="s">
        <v>26</v>
      </c>
      <c r="K269" s="4"/>
      <c r="L269" s="18"/>
      <c r="M269" s="19"/>
      <c r="N269" s="4"/>
      <c r="O269" s="4"/>
      <c r="P269" s="4"/>
      <c r="Q269" s="4"/>
      <c r="R269" s="20"/>
    </row>
    <row r="270" spans="1:18">
      <c r="A270" s="23"/>
      <c r="B270" s="11" t="s">
        <v>14</v>
      </c>
      <c r="C270" s="68"/>
      <c r="D270" s="4"/>
      <c r="E270" s="4"/>
      <c r="F270" s="4"/>
      <c r="G270" s="18"/>
      <c r="H270" s="36">
        <f>SUM(H268:H269)</f>
        <v>20268.225749999998</v>
      </c>
      <c r="I270" s="20"/>
      <c r="J270" s="704"/>
      <c r="K270" s="705"/>
      <c r="L270" s="705"/>
      <c r="M270" s="705"/>
      <c r="N270" s="705"/>
      <c r="O270" s="705"/>
      <c r="P270" s="705"/>
      <c r="Q270" s="705"/>
      <c r="R270" s="706"/>
    </row>
    <row r="271" spans="1:18">
      <c r="A271" s="23"/>
      <c r="B271" s="11" t="s">
        <v>24</v>
      </c>
      <c r="C271" s="68"/>
      <c r="D271" s="4"/>
      <c r="E271" s="4"/>
      <c r="F271" s="4"/>
      <c r="G271" s="18"/>
      <c r="H271" s="36">
        <f>H270*15%</f>
        <v>3040.2338624999998</v>
      </c>
      <c r="I271" s="20"/>
      <c r="J271" s="707"/>
      <c r="K271" s="708"/>
      <c r="L271" s="708"/>
      <c r="M271" s="708"/>
      <c r="N271" s="708"/>
      <c r="O271" s="708"/>
      <c r="P271" s="708"/>
      <c r="Q271" s="708"/>
      <c r="R271" s="709"/>
    </row>
    <row r="272" spans="1:18">
      <c r="A272" s="23"/>
      <c r="B272" s="11" t="s">
        <v>15</v>
      </c>
      <c r="C272" s="68"/>
      <c r="D272" s="4"/>
      <c r="E272" s="4"/>
      <c r="F272" s="4"/>
      <c r="G272" s="21" t="s">
        <v>16</v>
      </c>
      <c r="H272" s="37">
        <f>H271+H270</f>
        <v>23308.459612499999</v>
      </c>
      <c r="I272" s="38" t="str">
        <f>CONCATENATE("per ",C257)</f>
        <v>per cum</v>
      </c>
      <c r="J272" s="707"/>
      <c r="K272" s="708"/>
      <c r="L272" s="708"/>
      <c r="M272" s="708"/>
      <c r="N272" s="708"/>
      <c r="O272" s="708"/>
      <c r="P272" s="708"/>
      <c r="Q272" s="708"/>
      <c r="R272" s="709"/>
    </row>
    <row r="273" spans="1:18">
      <c r="A273" s="23"/>
      <c r="B273" s="11" t="s">
        <v>18</v>
      </c>
      <c r="C273" s="125" t="s">
        <v>19</v>
      </c>
      <c r="D273" s="4"/>
      <c r="E273" s="4"/>
      <c r="F273" s="4"/>
      <c r="G273" s="21" t="s">
        <v>16</v>
      </c>
      <c r="H273" s="37">
        <f>CEILING(H272,0.5)</f>
        <v>23308.5</v>
      </c>
      <c r="I273" s="38" t="str">
        <f>CONCATENATE("per ",C257)</f>
        <v>per cum</v>
      </c>
      <c r="J273" s="707"/>
      <c r="K273" s="708"/>
      <c r="L273" s="708"/>
      <c r="M273" s="708"/>
      <c r="N273" s="708"/>
      <c r="O273" s="708"/>
      <c r="P273" s="708"/>
      <c r="Q273" s="708"/>
      <c r="R273" s="709"/>
    </row>
    <row r="274" spans="1:18">
      <c r="A274" s="23"/>
      <c r="B274" s="11"/>
      <c r="C274" s="68"/>
      <c r="D274" s="4"/>
      <c r="E274" s="4"/>
      <c r="F274" s="4"/>
      <c r="G274" s="24" t="s">
        <v>17</v>
      </c>
      <c r="H274" s="37">
        <f>H273/exr</f>
        <v>179.29615384615386</v>
      </c>
      <c r="I274" s="38" t="str">
        <f>CONCATENATE("per ",C257)</f>
        <v>per cum</v>
      </c>
      <c r="J274" s="710"/>
      <c r="K274" s="711"/>
      <c r="L274" s="711"/>
      <c r="M274" s="711"/>
      <c r="N274" s="711"/>
      <c r="O274" s="711"/>
      <c r="P274" s="711"/>
      <c r="Q274" s="711"/>
      <c r="R274" s="712"/>
    </row>
    <row r="275" spans="1:18">
      <c r="A275" s="39"/>
      <c r="B275" s="40"/>
      <c r="C275" s="69"/>
      <c r="D275" s="41"/>
      <c r="E275" s="41"/>
      <c r="F275" s="41"/>
      <c r="G275" s="149" t="s">
        <v>460</v>
      </c>
      <c r="H275" s="150">
        <f>CEILING(SUM(M262,M263,R258,R259)/H268,0.0025)</f>
        <v>3.7499999999999999E-2</v>
      </c>
      <c r="I275" s="42"/>
      <c r="J275" s="43"/>
      <c r="K275" s="43"/>
      <c r="L275" s="43"/>
      <c r="M275" s="43"/>
      <c r="N275" s="43"/>
      <c r="O275" s="43"/>
      <c r="P275" s="43"/>
      <c r="Q275" s="43"/>
      <c r="R275" s="44"/>
    </row>
    <row r="277" spans="1:18">
      <c r="A277" s="693" t="s">
        <v>0</v>
      </c>
      <c r="B277" s="695" t="s">
        <v>1</v>
      </c>
      <c r="C277" s="695" t="s">
        <v>2</v>
      </c>
      <c r="D277" s="697" t="s">
        <v>3</v>
      </c>
      <c r="E277" s="698"/>
      <c r="F277" s="698"/>
      <c r="G277" s="698"/>
      <c r="H277" s="698"/>
      <c r="I277" s="699" t="s">
        <v>4</v>
      </c>
      <c r="J277" s="700"/>
      <c r="K277" s="700"/>
      <c r="L277" s="700"/>
      <c r="M277" s="700"/>
      <c r="N277" s="698" t="s">
        <v>5</v>
      </c>
      <c r="O277" s="698"/>
      <c r="P277" s="698"/>
      <c r="Q277" s="698"/>
      <c r="R277" s="698"/>
    </row>
    <row r="278" spans="1:18">
      <c r="A278" s="694"/>
      <c r="B278" s="696"/>
      <c r="C278" s="696"/>
      <c r="D278" s="45" t="s">
        <v>6</v>
      </c>
      <c r="E278" s="46" t="s">
        <v>2</v>
      </c>
      <c r="F278" s="46" t="s">
        <v>7</v>
      </c>
      <c r="G278" s="46" t="s">
        <v>8</v>
      </c>
      <c r="H278" s="46" t="s">
        <v>9</v>
      </c>
      <c r="I278" s="46" t="s">
        <v>10</v>
      </c>
      <c r="J278" s="46" t="s">
        <v>2</v>
      </c>
      <c r="K278" s="46" t="s">
        <v>7</v>
      </c>
      <c r="L278" s="46" t="s">
        <v>8</v>
      </c>
      <c r="M278" s="47" t="s">
        <v>9</v>
      </c>
      <c r="N278" s="46" t="s">
        <v>10</v>
      </c>
      <c r="O278" s="46" t="s">
        <v>2</v>
      </c>
      <c r="P278" s="46" t="s">
        <v>7</v>
      </c>
      <c r="Q278" s="46" t="s">
        <v>8</v>
      </c>
      <c r="R278" s="46" t="s">
        <v>9</v>
      </c>
    </row>
    <row r="279" spans="1:18">
      <c r="A279" s="33" t="s">
        <v>23</v>
      </c>
      <c r="B279" s="73" t="s">
        <v>563</v>
      </c>
      <c r="C279" s="65"/>
      <c r="D279" s="31"/>
      <c r="E279" s="31"/>
      <c r="F279" s="31"/>
      <c r="G279" s="31"/>
      <c r="H279" s="31"/>
      <c r="I279" s="31"/>
      <c r="J279" s="31"/>
      <c r="K279" s="31"/>
      <c r="L279" s="31"/>
      <c r="M279" s="31"/>
      <c r="N279" s="31"/>
      <c r="O279" s="31"/>
      <c r="P279" s="31"/>
      <c r="Q279" s="31"/>
      <c r="R279" s="32"/>
    </row>
    <row r="280" spans="1:18" ht="15.75" customHeight="1">
      <c r="A280" s="34">
        <f>A257+1</f>
        <v>12</v>
      </c>
      <c r="B280" s="713" t="s">
        <v>641</v>
      </c>
      <c r="C280" s="66" t="s">
        <v>11</v>
      </c>
      <c r="D280" s="4"/>
      <c r="E280" s="6"/>
      <c r="F280" s="29"/>
      <c r="G280" s="26"/>
      <c r="H280" s="26"/>
      <c r="I280" s="6"/>
      <c r="J280" s="6"/>
      <c r="K280" s="29"/>
      <c r="L280" s="26"/>
      <c r="M280" s="26"/>
      <c r="N280" s="6"/>
      <c r="O280" s="6"/>
      <c r="P280" s="29"/>
      <c r="Q280" s="26"/>
      <c r="R280" s="26"/>
    </row>
    <row r="281" spans="1:18">
      <c r="A281" s="2"/>
      <c r="B281" s="714"/>
      <c r="C281" s="66"/>
      <c r="D281" s="4" t="s">
        <v>251</v>
      </c>
      <c r="E281" s="6" t="s">
        <v>81</v>
      </c>
      <c r="F281" s="29">
        <v>0.8</v>
      </c>
      <c r="G281" s="26">
        <f>sr</f>
        <v>1100</v>
      </c>
      <c r="H281" s="26">
        <f>F281*G281</f>
        <v>880</v>
      </c>
      <c r="I281" s="7" t="s">
        <v>252</v>
      </c>
      <c r="J281" s="8" t="s">
        <v>32</v>
      </c>
      <c r="K281" s="29">
        <v>0.41499999999999998</v>
      </c>
      <c r="L281" s="28">
        <f>cement</f>
        <v>24049.69</v>
      </c>
      <c r="M281" s="26">
        <f>K281*L281</f>
        <v>9980.6213499999994</v>
      </c>
      <c r="N281" s="8"/>
      <c r="O281" s="6"/>
      <c r="P281" s="29"/>
      <c r="Q281" s="28"/>
      <c r="R281" s="26"/>
    </row>
    <row r="282" spans="1:18">
      <c r="A282" s="2"/>
      <c r="B282" s="714"/>
      <c r="C282" s="66"/>
      <c r="D282" s="4" t="s">
        <v>97</v>
      </c>
      <c r="E282" s="6" t="s">
        <v>81</v>
      </c>
      <c r="F282" s="29">
        <v>7</v>
      </c>
      <c r="G282" s="26">
        <f>ur</f>
        <v>850</v>
      </c>
      <c r="H282" s="26">
        <f>F282*G282</f>
        <v>5950</v>
      </c>
      <c r="I282" s="7" t="s">
        <v>258</v>
      </c>
      <c r="J282" s="8" t="s">
        <v>34</v>
      </c>
      <c r="K282" s="29">
        <v>0.57999999999999996</v>
      </c>
      <c r="L282" s="28">
        <f>Agg_20</f>
        <v>2700</v>
      </c>
      <c r="M282" s="26">
        <f>K282*L282</f>
        <v>1566</v>
      </c>
      <c r="N282" s="8" t="s">
        <v>257</v>
      </c>
      <c r="O282" s="6" t="s">
        <v>101</v>
      </c>
      <c r="P282" s="29">
        <v>0.25</v>
      </c>
      <c r="Q282" s="28">
        <f>vibrator_concrete</f>
        <v>108.16</v>
      </c>
      <c r="R282" s="26">
        <f>P282*Q282</f>
        <v>27.04</v>
      </c>
    </row>
    <row r="283" spans="1:18">
      <c r="A283" s="2"/>
      <c r="B283" s="714"/>
      <c r="C283" s="66"/>
      <c r="D283" s="4"/>
      <c r="E283" s="6"/>
      <c r="F283" s="29"/>
      <c r="G283" s="26"/>
      <c r="H283" s="26"/>
      <c r="I283" s="7" t="s">
        <v>259</v>
      </c>
      <c r="J283" s="8" t="s">
        <v>34</v>
      </c>
      <c r="K283" s="29">
        <v>0.3</v>
      </c>
      <c r="L283" s="28">
        <f>Agg_10</f>
        <v>2950</v>
      </c>
      <c r="M283" s="26">
        <f>K283*L283</f>
        <v>885</v>
      </c>
      <c r="N283" s="8"/>
      <c r="O283" s="6"/>
      <c r="P283" s="29"/>
      <c r="Q283" s="28"/>
      <c r="R283" s="28"/>
    </row>
    <row r="284" spans="1:18">
      <c r="A284" s="2"/>
      <c r="B284" s="714"/>
      <c r="C284" s="66"/>
      <c r="D284" s="4"/>
      <c r="E284" s="6"/>
      <c r="F284" s="29"/>
      <c r="G284" s="26"/>
      <c r="H284" s="26"/>
      <c r="I284" s="7" t="s">
        <v>254</v>
      </c>
      <c r="J284" s="8" t="s">
        <v>34</v>
      </c>
      <c r="K284" s="29">
        <v>0.45</v>
      </c>
      <c r="L284" s="28">
        <f>sand</f>
        <v>1050</v>
      </c>
      <c r="M284" s="26">
        <f>K284*L284</f>
        <v>472.5</v>
      </c>
      <c r="N284" s="8"/>
      <c r="O284" s="6"/>
      <c r="P284" s="29"/>
      <c r="Q284" s="28"/>
      <c r="R284" s="28"/>
    </row>
    <row r="285" spans="1:18">
      <c r="A285" s="2"/>
      <c r="B285" s="126"/>
      <c r="C285" s="66"/>
      <c r="D285" s="4"/>
      <c r="E285" s="6"/>
      <c r="F285" s="29"/>
      <c r="G285" s="26"/>
      <c r="H285" s="26"/>
      <c r="I285" s="7" t="s">
        <v>255</v>
      </c>
      <c r="J285" s="8" t="s">
        <v>250</v>
      </c>
      <c r="K285" s="29">
        <v>249</v>
      </c>
      <c r="L285" s="28"/>
      <c r="M285" s="26">
        <f>K285*L285</f>
        <v>0</v>
      </c>
      <c r="N285" s="8"/>
      <c r="O285" s="6"/>
      <c r="P285" s="29"/>
      <c r="Q285" s="28"/>
      <c r="R285" s="28"/>
    </row>
    <row r="286" spans="1:18">
      <c r="A286" s="2"/>
      <c r="B286" s="126"/>
      <c r="C286" s="66"/>
      <c r="D286" s="4"/>
      <c r="E286" s="6"/>
      <c r="F286" s="29"/>
      <c r="G286" s="26"/>
      <c r="H286" s="26"/>
      <c r="I286" s="7"/>
      <c r="J286" s="8"/>
      <c r="K286" s="29"/>
      <c r="L286" s="28"/>
      <c r="M286" s="26"/>
      <c r="N286" s="8"/>
      <c r="O286" s="6"/>
      <c r="P286" s="29"/>
      <c r="Q286" s="28"/>
      <c r="R286" s="28"/>
    </row>
    <row r="287" spans="1:18">
      <c r="A287" s="2"/>
      <c r="B287" s="126"/>
      <c r="C287" s="66"/>
      <c r="D287" s="4"/>
      <c r="E287" s="6"/>
      <c r="F287" s="29"/>
      <c r="G287" s="26"/>
      <c r="H287" s="26"/>
      <c r="I287" s="7"/>
      <c r="J287" s="8"/>
      <c r="K287" s="29"/>
      <c r="L287" s="28"/>
      <c r="M287" s="26"/>
      <c r="N287" s="8"/>
      <c r="O287" s="6"/>
      <c r="P287" s="29"/>
      <c r="Q287" s="28"/>
      <c r="R287" s="28"/>
    </row>
    <row r="288" spans="1:18">
      <c r="A288" s="2"/>
      <c r="B288" s="126"/>
      <c r="C288" s="66"/>
      <c r="D288" s="4"/>
      <c r="E288" s="6"/>
      <c r="F288" s="29"/>
      <c r="G288" s="26"/>
      <c r="H288" s="26"/>
      <c r="I288" s="7"/>
      <c r="J288" s="8"/>
      <c r="K288" s="29"/>
      <c r="L288" s="28"/>
      <c r="M288" s="26"/>
      <c r="N288" s="8"/>
      <c r="O288" s="6"/>
      <c r="P288" s="29"/>
      <c r="Q288" s="28"/>
      <c r="R288" s="28"/>
    </row>
    <row r="289" spans="1:18">
      <c r="A289" s="2"/>
      <c r="B289" s="5"/>
      <c r="C289" s="66"/>
      <c r="D289" s="4"/>
      <c r="E289" s="9"/>
      <c r="F289" s="30"/>
      <c r="G289" s="27"/>
      <c r="H289" s="27"/>
      <c r="I289" s="9"/>
      <c r="J289" s="10"/>
      <c r="K289" s="30"/>
      <c r="L289" s="28"/>
      <c r="M289" s="28"/>
      <c r="N289" s="8"/>
      <c r="O289" s="6"/>
      <c r="P289" s="30"/>
      <c r="Q289" s="28"/>
      <c r="R289" s="28"/>
    </row>
    <row r="290" spans="1:18">
      <c r="A290" s="2"/>
      <c r="B290" s="11"/>
      <c r="C290" s="66"/>
      <c r="D290" s="12"/>
      <c r="E290" s="524"/>
      <c r="F290" s="13"/>
      <c r="G290" s="13" t="s">
        <v>20</v>
      </c>
      <c r="H290" s="25">
        <f>SUM(H280:H289)</f>
        <v>6830</v>
      </c>
      <c r="I290" s="703"/>
      <c r="J290" s="703"/>
      <c r="K290" s="14"/>
      <c r="L290" s="13" t="s">
        <v>21</v>
      </c>
      <c r="M290" s="25">
        <f>SUM(M280:M289)</f>
        <v>12904.121349999999</v>
      </c>
      <c r="N290" s="3"/>
      <c r="O290" s="14"/>
      <c r="P290" s="14"/>
      <c r="Q290" s="13" t="s">
        <v>22</v>
      </c>
      <c r="R290" s="25">
        <f>SUM(R280:R289)</f>
        <v>27.04</v>
      </c>
    </row>
    <row r="291" spans="1:18">
      <c r="A291" s="2"/>
      <c r="B291" s="16" t="s">
        <v>13</v>
      </c>
      <c r="C291" s="67"/>
      <c r="D291" s="14"/>
      <c r="E291" s="14"/>
      <c r="F291" s="14"/>
      <c r="G291" s="13"/>
      <c r="H291" s="35">
        <f>M290+R290+H290</f>
        <v>19761.161350000002</v>
      </c>
      <c r="I291" s="17"/>
      <c r="J291" s="14"/>
      <c r="K291" s="14"/>
      <c r="L291" s="13"/>
      <c r="M291" s="15"/>
      <c r="N291" s="14"/>
      <c r="O291" s="14"/>
      <c r="P291" s="14"/>
      <c r="Q291" s="14"/>
      <c r="R291" s="17"/>
    </row>
    <row r="292" spans="1:18">
      <c r="A292" s="2"/>
      <c r="B292" s="11" t="s">
        <v>25</v>
      </c>
      <c r="C292" s="4" t="s">
        <v>647</v>
      </c>
      <c r="D292" s="4"/>
      <c r="E292" s="4"/>
      <c r="F292" s="4"/>
      <c r="G292" s="18"/>
      <c r="H292" s="36">
        <f>20%*H290</f>
        <v>1366</v>
      </c>
      <c r="I292" s="20"/>
      <c r="J292" s="4" t="s">
        <v>26</v>
      </c>
      <c r="K292" s="4"/>
      <c r="L292" s="18"/>
      <c r="M292" s="19"/>
      <c r="N292" s="4"/>
      <c r="O292" s="4"/>
      <c r="P292" s="4"/>
      <c r="Q292" s="4"/>
      <c r="R292" s="20"/>
    </row>
    <row r="293" spans="1:18">
      <c r="A293" s="23"/>
      <c r="B293" s="11" t="s">
        <v>14</v>
      </c>
      <c r="C293" s="68"/>
      <c r="D293" s="4"/>
      <c r="E293" s="4"/>
      <c r="F293" s="4"/>
      <c r="G293" s="18"/>
      <c r="H293" s="36">
        <f>SUM(H291:H292)</f>
        <v>21127.161350000002</v>
      </c>
      <c r="I293" s="20"/>
      <c r="J293" s="704"/>
      <c r="K293" s="705"/>
      <c r="L293" s="705"/>
      <c r="M293" s="705"/>
      <c r="N293" s="705"/>
      <c r="O293" s="705"/>
      <c r="P293" s="705"/>
      <c r="Q293" s="705"/>
      <c r="R293" s="706"/>
    </row>
    <row r="294" spans="1:18">
      <c r="A294" s="23"/>
      <c r="B294" s="11" t="s">
        <v>24</v>
      </c>
      <c r="C294" s="68"/>
      <c r="D294" s="4"/>
      <c r="E294" s="4"/>
      <c r="F294" s="4"/>
      <c r="G294" s="18"/>
      <c r="H294" s="36">
        <f>H293*15%</f>
        <v>3169.0742025000004</v>
      </c>
      <c r="I294" s="20"/>
      <c r="J294" s="707"/>
      <c r="K294" s="708"/>
      <c r="L294" s="708"/>
      <c r="M294" s="708"/>
      <c r="N294" s="708"/>
      <c r="O294" s="708"/>
      <c r="P294" s="708"/>
      <c r="Q294" s="708"/>
      <c r="R294" s="709"/>
    </row>
    <row r="295" spans="1:18">
      <c r="A295" s="23"/>
      <c r="B295" s="11" t="s">
        <v>15</v>
      </c>
      <c r="C295" s="68"/>
      <c r="D295" s="4"/>
      <c r="E295" s="4"/>
      <c r="F295" s="4"/>
      <c r="G295" s="21" t="s">
        <v>16</v>
      </c>
      <c r="H295" s="37">
        <f>H294+H293</f>
        <v>24296.235552500002</v>
      </c>
      <c r="I295" s="38" t="str">
        <f>CONCATENATE("per ",C280)</f>
        <v>per cum</v>
      </c>
      <c r="J295" s="707"/>
      <c r="K295" s="708"/>
      <c r="L295" s="708"/>
      <c r="M295" s="708"/>
      <c r="N295" s="708"/>
      <c r="O295" s="708"/>
      <c r="P295" s="708"/>
      <c r="Q295" s="708"/>
      <c r="R295" s="709"/>
    </row>
    <row r="296" spans="1:18">
      <c r="A296" s="23"/>
      <c r="B296" s="11" t="s">
        <v>18</v>
      </c>
      <c r="C296" s="125" t="s">
        <v>19</v>
      </c>
      <c r="D296" s="4"/>
      <c r="E296" s="4"/>
      <c r="F296" s="4"/>
      <c r="G296" s="21" t="s">
        <v>16</v>
      </c>
      <c r="H296" s="37">
        <f>CEILING(H295,0.5)</f>
        <v>24296.5</v>
      </c>
      <c r="I296" s="38" t="str">
        <f>CONCATENATE("per ",C280)</f>
        <v>per cum</v>
      </c>
      <c r="J296" s="707"/>
      <c r="K296" s="708"/>
      <c r="L296" s="708"/>
      <c r="M296" s="708"/>
      <c r="N296" s="708"/>
      <c r="O296" s="708"/>
      <c r="P296" s="708"/>
      <c r="Q296" s="708"/>
      <c r="R296" s="709"/>
    </row>
    <row r="297" spans="1:18">
      <c r="A297" s="23"/>
      <c r="B297" s="11"/>
      <c r="C297" s="68"/>
      <c r="D297" s="4"/>
      <c r="E297" s="4"/>
      <c r="F297" s="4"/>
      <c r="G297" s="24" t="s">
        <v>17</v>
      </c>
      <c r="H297" s="37">
        <f>H296/exr</f>
        <v>186.89615384615385</v>
      </c>
      <c r="I297" s="38" t="str">
        <f>CONCATENATE("per ",C280)</f>
        <v>per cum</v>
      </c>
      <c r="J297" s="710"/>
      <c r="K297" s="711"/>
      <c r="L297" s="711"/>
      <c r="M297" s="711"/>
      <c r="N297" s="711"/>
      <c r="O297" s="711"/>
      <c r="P297" s="711"/>
      <c r="Q297" s="711"/>
      <c r="R297" s="712"/>
    </row>
    <row r="298" spans="1:18">
      <c r="A298" s="39"/>
      <c r="B298" s="40"/>
      <c r="C298" s="69"/>
      <c r="D298" s="41"/>
      <c r="E298" s="41"/>
      <c r="F298" s="41"/>
      <c r="G298" s="149" t="s">
        <v>460</v>
      </c>
      <c r="H298" s="150">
        <f>CEILING(SUM(R282)/H291,0.0025)</f>
        <v>2.5000000000000001E-3</v>
      </c>
      <c r="I298" s="42"/>
      <c r="J298" s="43"/>
      <c r="K298" s="43"/>
      <c r="L298" s="43"/>
      <c r="M298" s="43"/>
      <c r="N298" s="43"/>
      <c r="O298" s="43"/>
      <c r="P298" s="43"/>
      <c r="Q298" s="43"/>
      <c r="R298" s="44"/>
    </row>
    <row r="300" spans="1:18">
      <c r="A300" s="693" t="s">
        <v>0</v>
      </c>
      <c r="B300" s="695" t="s">
        <v>1</v>
      </c>
      <c r="C300" s="695" t="s">
        <v>2</v>
      </c>
      <c r="D300" s="697" t="s">
        <v>3</v>
      </c>
      <c r="E300" s="698"/>
      <c r="F300" s="698"/>
      <c r="G300" s="698"/>
      <c r="H300" s="698"/>
      <c r="I300" s="699" t="s">
        <v>4</v>
      </c>
      <c r="J300" s="700"/>
      <c r="K300" s="700"/>
      <c r="L300" s="700"/>
      <c r="M300" s="700"/>
      <c r="N300" s="698" t="s">
        <v>5</v>
      </c>
      <c r="O300" s="698"/>
      <c r="P300" s="698"/>
      <c r="Q300" s="698"/>
      <c r="R300" s="698"/>
    </row>
    <row r="301" spans="1:18">
      <c r="A301" s="694"/>
      <c r="B301" s="696"/>
      <c r="C301" s="696"/>
      <c r="D301" s="45" t="s">
        <v>6</v>
      </c>
      <c r="E301" s="46" t="s">
        <v>2</v>
      </c>
      <c r="F301" s="46" t="s">
        <v>7</v>
      </c>
      <c r="G301" s="46" t="s">
        <v>8</v>
      </c>
      <c r="H301" s="46" t="s">
        <v>9</v>
      </c>
      <c r="I301" s="46" t="s">
        <v>10</v>
      </c>
      <c r="J301" s="46" t="s">
        <v>2</v>
      </c>
      <c r="K301" s="46" t="s">
        <v>7</v>
      </c>
      <c r="L301" s="46" t="s">
        <v>8</v>
      </c>
      <c r="M301" s="47" t="s">
        <v>9</v>
      </c>
      <c r="N301" s="46" t="s">
        <v>10</v>
      </c>
      <c r="O301" s="46" t="s">
        <v>2</v>
      </c>
      <c r="P301" s="46" t="s">
        <v>7</v>
      </c>
      <c r="Q301" s="46" t="s">
        <v>8</v>
      </c>
      <c r="R301" s="46" t="s">
        <v>9</v>
      </c>
    </row>
    <row r="302" spans="1:18">
      <c r="A302" s="33" t="s">
        <v>23</v>
      </c>
      <c r="B302" s="73"/>
      <c r="C302" s="65"/>
      <c r="D302" s="31"/>
      <c r="E302" s="31"/>
      <c r="F302" s="31"/>
      <c r="G302" s="31"/>
      <c r="H302" s="31"/>
      <c r="I302" s="31"/>
      <c r="J302" s="31"/>
      <c r="K302" s="31"/>
      <c r="L302" s="31"/>
      <c r="M302" s="31"/>
      <c r="N302" s="31"/>
      <c r="O302" s="31"/>
      <c r="P302" s="31"/>
      <c r="Q302" s="31"/>
      <c r="R302" s="32"/>
    </row>
    <row r="303" spans="1:18" ht="15.75" customHeight="1">
      <c r="A303" s="34">
        <f>A280+1</f>
        <v>13</v>
      </c>
      <c r="B303" s="765" t="s">
        <v>637</v>
      </c>
      <c r="C303" s="66" t="s">
        <v>11</v>
      </c>
      <c r="D303" s="4"/>
      <c r="E303" s="6"/>
      <c r="F303" s="29"/>
      <c r="G303" s="26"/>
      <c r="H303" s="26"/>
      <c r="I303" s="6"/>
      <c r="J303" s="6"/>
      <c r="K303" s="29"/>
      <c r="L303" s="26"/>
      <c r="M303" s="26"/>
      <c r="N303" s="6"/>
      <c r="O303" s="6"/>
      <c r="P303" s="29"/>
      <c r="Q303" s="26"/>
      <c r="R303" s="26"/>
    </row>
    <row r="304" spans="1:18">
      <c r="A304" s="2"/>
      <c r="B304" s="766"/>
      <c r="C304" s="66"/>
      <c r="D304" s="4" t="s">
        <v>251</v>
      </c>
      <c r="E304" s="6" t="s">
        <v>81</v>
      </c>
      <c r="F304" s="29">
        <v>0.9</v>
      </c>
      <c r="G304" s="26">
        <f>sr</f>
        <v>1100</v>
      </c>
      <c r="H304" s="26">
        <f>F304*G304</f>
        <v>990</v>
      </c>
      <c r="I304" s="7" t="s">
        <v>252</v>
      </c>
      <c r="J304" s="8" t="s">
        <v>32</v>
      </c>
      <c r="K304" s="29">
        <v>0.45</v>
      </c>
      <c r="L304" s="28">
        <f>cement</f>
        <v>24049.69</v>
      </c>
      <c r="M304" s="26">
        <f t="shared" ref="M304:M310" si="8">K304*L304</f>
        <v>10822.360499999999</v>
      </c>
      <c r="N304" s="8" t="s">
        <v>256</v>
      </c>
      <c r="O304" s="6" t="s">
        <v>101</v>
      </c>
      <c r="P304" s="29">
        <v>0.6</v>
      </c>
      <c r="Q304" s="28">
        <f>mixer</f>
        <v>216.32</v>
      </c>
      <c r="R304" s="26">
        <f>P304*Q304</f>
        <v>129.792</v>
      </c>
    </row>
    <row r="305" spans="1:18">
      <c r="A305" s="2"/>
      <c r="B305" s="766"/>
      <c r="C305" s="66"/>
      <c r="D305" s="4" t="s">
        <v>97</v>
      </c>
      <c r="E305" s="6" t="s">
        <v>81</v>
      </c>
      <c r="F305" s="29">
        <v>9</v>
      </c>
      <c r="G305" s="26">
        <f>ur</f>
        <v>850</v>
      </c>
      <c r="H305" s="26">
        <f>F305*G305</f>
        <v>7650</v>
      </c>
      <c r="I305" s="7" t="s">
        <v>258</v>
      </c>
      <c r="J305" s="8" t="s">
        <v>34</v>
      </c>
      <c r="K305" s="29">
        <v>0.56999999999999995</v>
      </c>
      <c r="L305" s="28">
        <f>Agg_20</f>
        <v>2700</v>
      </c>
      <c r="M305" s="26">
        <f t="shared" si="8"/>
        <v>1538.9999999999998</v>
      </c>
      <c r="N305" s="8" t="s">
        <v>257</v>
      </c>
      <c r="O305" s="6" t="s">
        <v>101</v>
      </c>
      <c r="P305" s="29">
        <v>0.25</v>
      </c>
      <c r="Q305" s="28">
        <f>vibrator_concrete</f>
        <v>108.16</v>
      </c>
      <c r="R305" s="26">
        <f>P305*Q305</f>
        <v>27.04</v>
      </c>
    </row>
    <row r="306" spans="1:18">
      <c r="A306" s="2"/>
      <c r="B306" s="766"/>
      <c r="C306" s="66"/>
      <c r="D306" s="4"/>
      <c r="E306" s="6"/>
      <c r="F306" s="29"/>
      <c r="G306" s="26"/>
      <c r="H306" s="26"/>
      <c r="I306" s="7" t="s">
        <v>259</v>
      </c>
      <c r="J306" s="8" t="s">
        <v>34</v>
      </c>
      <c r="K306" s="29">
        <v>0.33</v>
      </c>
      <c r="L306" s="28">
        <f>Agg_10</f>
        <v>2950</v>
      </c>
      <c r="M306" s="26">
        <f t="shared" si="8"/>
        <v>973.5</v>
      </c>
      <c r="N306" s="8"/>
      <c r="O306" s="6"/>
      <c r="P306" s="29"/>
      <c r="Q306" s="28"/>
      <c r="R306" s="28"/>
    </row>
    <row r="307" spans="1:18">
      <c r="A307" s="2"/>
      <c r="B307" s="766"/>
      <c r="C307" s="66"/>
      <c r="D307" s="4"/>
      <c r="E307" s="6"/>
      <c r="F307" s="29"/>
      <c r="G307" s="26"/>
      <c r="H307" s="26"/>
      <c r="I307" s="7" t="s">
        <v>254</v>
      </c>
      <c r="J307" s="8" t="s">
        <v>34</v>
      </c>
      <c r="K307" s="29">
        <v>0.44</v>
      </c>
      <c r="L307" s="28">
        <f>sand</f>
        <v>1050</v>
      </c>
      <c r="M307" s="26">
        <f t="shared" si="8"/>
        <v>462</v>
      </c>
      <c r="N307" s="8"/>
      <c r="O307" s="6"/>
      <c r="P307" s="29"/>
      <c r="Q307" s="28"/>
      <c r="R307" s="28"/>
    </row>
    <row r="308" spans="1:18">
      <c r="A308" s="2"/>
      <c r="B308" s="126"/>
      <c r="C308" s="66"/>
      <c r="D308" s="4"/>
      <c r="E308" s="6"/>
      <c r="F308" s="29"/>
      <c r="G308" s="26"/>
      <c r="H308" s="26"/>
      <c r="I308" s="7" t="s">
        <v>70</v>
      </c>
      <c r="J308" s="8" t="s">
        <v>250</v>
      </c>
      <c r="K308" s="29">
        <v>0.1</v>
      </c>
      <c r="L308" s="28">
        <f>petrol</f>
        <v>188.6</v>
      </c>
      <c r="M308" s="26">
        <f t="shared" si="8"/>
        <v>18.86</v>
      </c>
      <c r="N308" s="8"/>
      <c r="O308" s="6"/>
      <c r="P308" s="29"/>
      <c r="Q308" s="28"/>
      <c r="R308" s="28"/>
    </row>
    <row r="309" spans="1:18">
      <c r="A309" s="2"/>
      <c r="B309" s="126"/>
      <c r="C309" s="66"/>
      <c r="D309" s="4"/>
      <c r="E309" s="6"/>
      <c r="F309" s="29"/>
      <c r="G309" s="26"/>
      <c r="H309" s="26"/>
      <c r="I309" s="7" t="s">
        <v>67</v>
      </c>
      <c r="J309" s="8" t="s">
        <v>250</v>
      </c>
      <c r="K309" s="29">
        <v>3</v>
      </c>
      <c r="L309" s="28">
        <f>diesel</f>
        <v>177.6</v>
      </c>
      <c r="M309" s="26">
        <f t="shared" si="8"/>
        <v>532.79999999999995</v>
      </c>
      <c r="N309" s="8"/>
      <c r="O309" s="6"/>
      <c r="P309" s="29"/>
      <c r="Q309" s="28"/>
      <c r="R309" s="28"/>
    </row>
    <row r="310" spans="1:18">
      <c r="A310" s="2"/>
      <c r="B310" s="126"/>
      <c r="C310" s="66"/>
      <c r="D310" s="4"/>
      <c r="E310" s="6"/>
      <c r="F310" s="29"/>
      <c r="G310" s="26"/>
      <c r="H310" s="26"/>
      <c r="I310" s="7" t="s">
        <v>255</v>
      </c>
      <c r="J310" s="8" t="s">
        <v>250</v>
      </c>
      <c r="K310" s="29">
        <v>270</v>
      </c>
      <c r="L310" s="28"/>
      <c r="M310" s="26">
        <f t="shared" si="8"/>
        <v>0</v>
      </c>
      <c r="N310" s="8"/>
      <c r="O310" s="6"/>
      <c r="P310" s="29"/>
      <c r="Q310" s="28"/>
      <c r="R310" s="28"/>
    </row>
    <row r="311" spans="1:18">
      <c r="A311" s="2"/>
      <c r="B311" s="126"/>
      <c r="C311" s="66"/>
      <c r="D311" s="4"/>
      <c r="E311" s="6"/>
      <c r="F311" s="29"/>
      <c r="G311" s="26"/>
      <c r="H311" s="26"/>
      <c r="I311" s="7"/>
      <c r="J311" s="8"/>
      <c r="K311" s="29"/>
      <c r="L311" s="28"/>
      <c r="M311" s="26"/>
      <c r="N311" s="8"/>
      <c r="O311" s="6"/>
      <c r="P311" s="29"/>
      <c r="Q311" s="28"/>
      <c r="R311" s="28"/>
    </row>
    <row r="312" spans="1:18">
      <c r="A312" s="2"/>
      <c r="B312" s="5"/>
      <c r="C312" s="66"/>
      <c r="D312" s="4"/>
      <c r="E312" s="9"/>
      <c r="F312" s="30"/>
      <c r="G312" s="27"/>
      <c r="H312" s="27"/>
      <c r="I312" s="9"/>
      <c r="J312" s="10"/>
      <c r="K312" s="30"/>
      <c r="L312" s="28"/>
      <c r="M312" s="28"/>
      <c r="N312" s="8"/>
      <c r="O312" s="6"/>
      <c r="P312" s="30"/>
      <c r="Q312" s="28"/>
      <c r="R312" s="28"/>
    </row>
    <row r="313" spans="1:18">
      <c r="A313" s="2"/>
      <c r="B313" s="11"/>
      <c r="C313" s="66"/>
      <c r="D313" s="12"/>
      <c r="E313" s="524"/>
      <c r="F313" s="13"/>
      <c r="G313" s="13" t="s">
        <v>20</v>
      </c>
      <c r="H313" s="25">
        <f>SUM(H303:H312)</f>
        <v>8640</v>
      </c>
      <c r="I313" s="703"/>
      <c r="J313" s="703"/>
      <c r="K313" s="14"/>
      <c r="L313" s="13" t="s">
        <v>21</v>
      </c>
      <c r="M313" s="25">
        <f>SUM(M303:M312)</f>
        <v>14348.520499999999</v>
      </c>
      <c r="N313" s="3"/>
      <c r="O313" s="14"/>
      <c r="P313" s="14"/>
      <c r="Q313" s="13" t="s">
        <v>22</v>
      </c>
      <c r="R313" s="25">
        <f>SUM(R303:R312)</f>
        <v>156.83199999999999</v>
      </c>
    </row>
    <row r="314" spans="1:18">
      <c r="A314" s="2"/>
      <c r="B314" s="16" t="s">
        <v>13</v>
      </c>
      <c r="C314" s="67"/>
      <c r="D314" s="14"/>
      <c r="E314" s="14"/>
      <c r="F314" s="14"/>
      <c r="G314" s="13"/>
      <c r="H314" s="35">
        <f>M313+R313+H313</f>
        <v>23145.352500000001</v>
      </c>
      <c r="I314" s="17"/>
      <c r="J314" s="14"/>
      <c r="K314" s="14"/>
      <c r="L314" s="13"/>
      <c r="M314" s="15"/>
      <c r="N314" s="14"/>
      <c r="O314" s="14"/>
      <c r="P314" s="14"/>
      <c r="Q314" s="14"/>
      <c r="R314" s="17"/>
    </row>
    <row r="315" spans="1:18">
      <c r="A315" s="2"/>
      <c r="B315" s="11" t="s">
        <v>25</v>
      </c>
      <c r="C315" s="4" t="s">
        <v>647</v>
      </c>
      <c r="D315" s="4"/>
      <c r="E315" s="4"/>
      <c r="F315" s="4"/>
      <c r="G315" s="18"/>
      <c r="H315" s="36">
        <f>20%*H313</f>
        <v>1728</v>
      </c>
      <c r="I315" s="20"/>
      <c r="J315" s="4" t="s">
        <v>26</v>
      </c>
      <c r="K315" s="4"/>
      <c r="L315" s="18"/>
      <c r="M315" s="19"/>
      <c r="N315" s="4"/>
      <c r="O315" s="4"/>
      <c r="P315" s="4"/>
      <c r="Q315" s="4"/>
      <c r="R315" s="20"/>
    </row>
    <row r="316" spans="1:18">
      <c r="A316" s="23"/>
      <c r="B316" s="11" t="s">
        <v>14</v>
      </c>
      <c r="C316" s="68"/>
      <c r="D316" s="4"/>
      <c r="E316" s="4"/>
      <c r="F316" s="4"/>
      <c r="G316" s="18"/>
      <c r="H316" s="36">
        <f>SUM(H314:H315)</f>
        <v>24873.352500000001</v>
      </c>
      <c r="I316" s="20"/>
      <c r="J316" s="704"/>
      <c r="K316" s="705"/>
      <c r="L316" s="705"/>
      <c r="M316" s="705"/>
      <c r="N316" s="705"/>
      <c r="O316" s="705"/>
      <c r="P316" s="705"/>
      <c r="Q316" s="705"/>
      <c r="R316" s="706"/>
    </row>
    <row r="317" spans="1:18">
      <c r="A317" s="23"/>
      <c r="B317" s="11" t="s">
        <v>24</v>
      </c>
      <c r="C317" s="68"/>
      <c r="D317" s="4"/>
      <c r="E317" s="4"/>
      <c r="F317" s="4"/>
      <c r="G317" s="18"/>
      <c r="H317" s="36">
        <f>H316*15%</f>
        <v>3731.0028750000001</v>
      </c>
      <c r="I317" s="20"/>
      <c r="J317" s="707"/>
      <c r="K317" s="708"/>
      <c r="L317" s="708"/>
      <c r="M317" s="708"/>
      <c r="N317" s="708"/>
      <c r="O317" s="708"/>
      <c r="P317" s="708"/>
      <c r="Q317" s="708"/>
      <c r="R317" s="709"/>
    </row>
    <row r="318" spans="1:18">
      <c r="A318" s="23"/>
      <c r="B318" s="11" t="s">
        <v>15</v>
      </c>
      <c r="C318" s="68"/>
      <c r="D318" s="4"/>
      <c r="E318" s="4"/>
      <c r="F318" s="4"/>
      <c r="G318" s="21" t="s">
        <v>16</v>
      </c>
      <c r="H318" s="37">
        <f>H317+H316</f>
        <v>28604.355374999999</v>
      </c>
      <c r="I318" s="38" t="str">
        <f>CONCATENATE("per ",C303)</f>
        <v>per cum</v>
      </c>
      <c r="J318" s="707"/>
      <c r="K318" s="708"/>
      <c r="L318" s="708"/>
      <c r="M318" s="708"/>
      <c r="N318" s="708"/>
      <c r="O318" s="708"/>
      <c r="P318" s="708"/>
      <c r="Q318" s="708"/>
      <c r="R318" s="709"/>
    </row>
    <row r="319" spans="1:18">
      <c r="A319" s="23"/>
      <c r="B319" s="11" t="s">
        <v>18</v>
      </c>
      <c r="C319" s="125" t="s">
        <v>19</v>
      </c>
      <c r="D319" s="4"/>
      <c r="E319" s="4"/>
      <c r="F319" s="4"/>
      <c r="G319" s="21" t="s">
        <v>16</v>
      </c>
      <c r="H319" s="37">
        <f>CEILING(H318,0.5)</f>
        <v>28604.5</v>
      </c>
      <c r="I319" s="38" t="str">
        <f>CONCATENATE("per ",C303)</f>
        <v>per cum</v>
      </c>
      <c r="J319" s="707"/>
      <c r="K319" s="708"/>
      <c r="L319" s="708"/>
      <c r="M319" s="708"/>
      <c r="N319" s="708"/>
      <c r="O319" s="708"/>
      <c r="P319" s="708"/>
      <c r="Q319" s="708"/>
      <c r="R319" s="709"/>
    </row>
    <row r="320" spans="1:18">
      <c r="A320" s="23"/>
      <c r="B320" s="11"/>
      <c r="C320" s="68"/>
      <c r="D320" s="4"/>
      <c r="E320" s="4"/>
      <c r="F320" s="4"/>
      <c r="G320" s="24" t="s">
        <v>17</v>
      </c>
      <c r="H320" s="37">
        <f>H319/exr</f>
        <v>220.03461538461539</v>
      </c>
      <c r="I320" s="38" t="str">
        <f>CONCATENATE("per ",C303)</f>
        <v>per cum</v>
      </c>
      <c r="J320" s="710"/>
      <c r="K320" s="711"/>
      <c r="L320" s="711"/>
      <c r="M320" s="711"/>
      <c r="N320" s="711"/>
      <c r="O320" s="711"/>
      <c r="P320" s="711"/>
      <c r="Q320" s="711"/>
      <c r="R320" s="712"/>
    </row>
    <row r="321" spans="1:18">
      <c r="A321" s="39"/>
      <c r="B321" s="40"/>
      <c r="C321" s="69"/>
      <c r="D321" s="41"/>
      <c r="E321" s="41"/>
      <c r="F321" s="41"/>
      <c r="G321" s="149" t="s">
        <v>460</v>
      </c>
      <c r="H321" s="150">
        <f>CEILING(SUM(M308,M309,R304,R305)/H314,0.0025)</f>
        <v>3.2500000000000001E-2</v>
      </c>
      <c r="I321" s="42"/>
      <c r="J321" s="43"/>
      <c r="K321" s="43"/>
      <c r="L321" s="43"/>
      <c r="M321" s="43"/>
      <c r="N321" s="43"/>
      <c r="O321" s="43"/>
      <c r="P321" s="43"/>
      <c r="Q321" s="43"/>
      <c r="R321" s="44"/>
    </row>
    <row r="323" spans="1:18">
      <c r="A323" s="693" t="s">
        <v>0</v>
      </c>
      <c r="B323" s="695" t="s">
        <v>1</v>
      </c>
      <c r="C323" s="695" t="s">
        <v>2</v>
      </c>
      <c r="D323" s="697" t="s">
        <v>3</v>
      </c>
      <c r="E323" s="698"/>
      <c r="F323" s="698"/>
      <c r="G323" s="698"/>
      <c r="H323" s="698"/>
      <c r="I323" s="699" t="s">
        <v>4</v>
      </c>
      <c r="J323" s="700"/>
      <c r="K323" s="700"/>
      <c r="L323" s="700"/>
      <c r="M323" s="700"/>
      <c r="N323" s="698" t="s">
        <v>5</v>
      </c>
      <c r="O323" s="698"/>
      <c r="P323" s="698"/>
      <c r="Q323" s="698"/>
      <c r="R323" s="698"/>
    </row>
    <row r="324" spans="1:18">
      <c r="A324" s="694"/>
      <c r="B324" s="696"/>
      <c r="C324" s="696"/>
      <c r="D324" s="45" t="s">
        <v>6</v>
      </c>
      <c r="E324" s="46" t="s">
        <v>2</v>
      </c>
      <c r="F324" s="46" t="s">
        <v>7</v>
      </c>
      <c r="G324" s="46" t="s">
        <v>8</v>
      </c>
      <c r="H324" s="46" t="s">
        <v>9</v>
      </c>
      <c r="I324" s="46" t="s">
        <v>10</v>
      </c>
      <c r="J324" s="46" t="s">
        <v>2</v>
      </c>
      <c r="K324" s="46" t="s">
        <v>7</v>
      </c>
      <c r="L324" s="46" t="s">
        <v>8</v>
      </c>
      <c r="M324" s="47" t="s">
        <v>9</v>
      </c>
      <c r="N324" s="46" t="s">
        <v>10</v>
      </c>
      <c r="O324" s="46" t="s">
        <v>2</v>
      </c>
      <c r="P324" s="46" t="s">
        <v>7</v>
      </c>
      <c r="Q324" s="46" t="s">
        <v>8</v>
      </c>
      <c r="R324" s="46" t="s">
        <v>9</v>
      </c>
    </row>
    <row r="325" spans="1:18">
      <c r="A325" s="33" t="s">
        <v>23</v>
      </c>
      <c r="B325" s="73"/>
      <c r="C325" s="65"/>
      <c r="D325" s="31"/>
      <c r="E325" s="31"/>
      <c r="F325" s="31"/>
      <c r="G325" s="31"/>
      <c r="H325" s="31"/>
      <c r="I325" s="31"/>
      <c r="J325" s="31"/>
      <c r="K325" s="31"/>
      <c r="L325" s="31"/>
      <c r="M325" s="31"/>
      <c r="N325" s="31"/>
      <c r="O325" s="31"/>
      <c r="P325" s="31"/>
      <c r="Q325" s="31"/>
      <c r="R325" s="32"/>
    </row>
    <row r="326" spans="1:18" ht="15.75" customHeight="1">
      <c r="A326" s="34">
        <f>A303+1</f>
        <v>14</v>
      </c>
      <c r="B326" s="765" t="s">
        <v>638</v>
      </c>
      <c r="C326" s="66" t="s">
        <v>11</v>
      </c>
      <c r="D326" s="4"/>
      <c r="E326" s="6"/>
      <c r="F326" s="29"/>
      <c r="G326" s="26"/>
      <c r="H326" s="26"/>
      <c r="I326" s="6"/>
      <c r="J326" s="6"/>
      <c r="K326" s="29"/>
      <c r="L326" s="26"/>
      <c r="M326" s="26"/>
      <c r="N326" s="6"/>
      <c r="O326" s="6"/>
      <c r="P326" s="29"/>
      <c r="Q326" s="26"/>
      <c r="R326" s="26"/>
    </row>
    <row r="327" spans="1:18">
      <c r="A327" s="2"/>
      <c r="B327" s="766"/>
      <c r="C327" s="66"/>
      <c r="D327" s="4" t="s">
        <v>251</v>
      </c>
      <c r="E327" s="6" t="s">
        <v>81</v>
      </c>
      <c r="F327" s="29">
        <v>0.9</v>
      </c>
      <c r="G327" s="26">
        <f>sr</f>
        <v>1100</v>
      </c>
      <c r="H327" s="26">
        <f>F327*G327</f>
        <v>990</v>
      </c>
      <c r="I327" s="7" t="s">
        <v>252</v>
      </c>
      <c r="J327" s="8" t="s">
        <v>32</v>
      </c>
      <c r="K327" s="29">
        <v>0.495</v>
      </c>
      <c r="L327" s="28">
        <f>cement</f>
        <v>24049.69</v>
      </c>
      <c r="M327" s="26">
        <f>K327*L327</f>
        <v>11904.596549999998</v>
      </c>
      <c r="N327" s="8"/>
      <c r="O327" s="6"/>
      <c r="P327" s="29"/>
      <c r="Q327" s="28"/>
      <c r="R327" s="26"/>
    </row>
    <row r="328" spans="1:18">
      <c r="A328" s="2"/>
      <c r="B328" s="766"/>
      <c r="C328" s="66"/>
      <c r="D328" s="4" t="s">
        <v>97</v>
      </c>
      <c r="E328" s="6" t="s">
        <v>81</v>
      </c>
      <c r="F328" s="29">
        <v>9</v>
      </c>
      <c r="G328" s="26">
        <f>ur</f>
        <v>850</v>
      </c>
      <c r="H328" s="26">
        <f>F328*G328</f>
        <v>7650</v>
      </c>
      <c r="I328" s="7" t="s">
        <v>258</v>
      </c>
      <c r="J328" s="8" t="s">
        <v>34</v>
      </c>
      <c r="K328" s="29">
        <v>0.56999999999999995</v>
      </c>
      <c r="L328" s="28">
        <f>Agg_20</f>
        <v>2700</v>
      </c>
      <c r="M328" s="26">
        <f>K328*L328</f>
        <v>1538.9999999999998</v>
      </c>
      <c r="N328" s="8" t="s">
        <v>257</v>
      </c>
      <c r="O328" s="6" t="s">
        <v>101</v>
      </c>
      <c r="P328" s="29">
        <v>0.25</v>
      </c>
      <c r="Q328" s="28">
        <f>vibrator_concrete</f>
        <v>108.16</v>
      </c>
      <c r="R328" s="26">
        <f>P328*Q328</f>
        <v>27.04</v>
      </c>
    </row>
    <row r="329" spans="1:18">
      <c r="A329" s="2"/>
      <c r="B329" s="766"/>
      <c r="C329" s="66"/>
      <c r="D329" s="4"/>
      <c r="E329" s="6"/>
      <c r="F329" s="29"/>
      <c r="G329" s="26"/>
      <c r="H329" s="26"/>
      <c r="I329" s="7" t="s">
        <v>259</v>
      </c>
      <c r="J329" s="8" t="s">
        <v>34</v>
      </c>
      <c r="K329" s="29">
        <v>0.33</v>
      </c>
      <c r="L329" s="28">
        <f>Agg_10</f>
        <v>2950</v>
      </c>
      <c r="M329" s="26">
        <f>K329*L329</f>
        <v>973.5</v>
      </c>
      <c r="N329" s="8"/>
      <c r="O329" s="6"/>
      <c r="P329" s="29"/>
      <c r="Q329" s="28"/>
      <c r="R329" s="28"/>
    </row>
    <row r="330" spans="1:18">
      <c r="A330" s="2"/>
      <c r="B330" s="766"/>
      <c r="C330" s="66"/>
      <c r="D330" s="4"/>
      <c r="E330" s="6"/>
      <c r="F330" s="29"/>
      <c r="G330" s="26"/>
      <c r="H330" s="26"/>
      <c r="I330" s="7" t="s">
        <v>254</v>
      </c>
      <c r="J330" s="8" t="s">
        <v>34</v>
      </c>
      <c r="K330" s="29">
        <v>0.44</v>
      </c>
      <c r="L330" s="28">
        <f>sand</f>
        <v>1050</v>
      </c>
      <c r="M330" s="26">
        <f>K330*L330</f>
        <v>462</v>
      </c>
      <c r="N330" s="8"/>
      <c r="O330" s="6"/>
      <c r="P330" s="29"/>
      <c r="Q330" s="28"/>
      <c r="R330" s="28"/>
    </row>
    <row r="331" spans="1:18">
      <c r="A331" s="2"/>
      <c r="B331" s="126"/>
      <c r="C331" s="66"/>
      <c r="D331" s="4"/>
      <c r="E331" s="6"/>
      <c r="F331" s="29"/>
      <c r="G331" s="26"/>
      <c r="H331" s="26"/>
      <c r="I331" s="7" t="s">
        <v>255</v>
      </c>
      <c r="J331" s="8" t="s">
        <v>250</v>
      </c>
      <c r="K331" s="29">
        <v>297</v>
      </c>
      <c r="L331" s="28"/>
      <c r="M331" s="26">
        <f>K331*L331</f>
        <v>0</v>
      </c>
      <c r="N331" s="8"/>
      <c r="O331" s="6"/>
      <c r="P331" s="29"/>
      <c r="Q331" s="28"/>
      <c r="R331" s="28"/>
    </row>
    <row r="332" spans="1:18">
      <c r="A332" s="2"/>
      <c r="B332" s="126"/>
      <c r="C332" s="66"/>
      <c r="D332" s="4"/>
      <c r="E332" s="6"/>
      <c r="F332" s="29"/>
      <c r="G332" s="26"/>
      <c r="H332" s="26"/>
      <c r="I332" s="7"/>
      <c r="J332" s="8"/>
      <c r="K332" s="29"/>
      <c r="L332" s="28"/>
      <c r="M332" s="26"/>
      <c r="N332" s="8"/>
      <c r="O332" s="6"/>
      <c r="P332" s="29"/>
      <c r="Q332" s="28"/>
      <c r="R332" s="28"/>
    </row>
    <row r="333" spans="1:18">
      <c r="A333" s="2"/>
      <c r="B333" s="126"/>
      <c r="C333" s="66"/>
      <c r="D333" s="4"/>
      <c r="E333" s="6"/>
      <c r="F333" s="29"/>
      <c r="G333" s="26"/>
      <c r="H333" s="26"/>
      <c r="I333" s="7"/>
      <c r="J333" s="8"/>
      <c r="K333" s="29"/>
      <c r="L333" s="28"/>
      <c r="M333" s="26"/>
      <c r="N333" s="8"/>
      <c r="O333" s="6"/>
      <c r="P333" s="29"/>
      <c r="Q333" s="28"/>
      <c r="R333" s="28"/>
    </row>
    <row r="334" spans="1:18">
      <c r="A334" s="2"/>
      <c r="B334" s="126"/>
      <c r="C334" s="66"/>
      <c r="D334" s="4"/>
      <c r="E334" s="6"/>
      <c r="F334" s="29"/>
      <c r="G334" s="26"/>
      <c r="H334" s="26"/>
      <c r="I334" s="7"/>
      <c r="J334" s="8"/>
      <c r="K334" s="29"/>
      <c r="L334" s="28"/>
      <c r="M334" s="26"/>
      <c r="N334" s="8"/>
      <c r="O334" s="6"/>
      <c r="P334" s="29"/>
      <c r="Q334" s="28"/>
      <c r="R334" s="28"/>
    </row>
    <row r="335" spans="1:18">
      <c r="A335" s="2"/>
      <c r="B335" s="5"/>
      <c r="C335" s="66"/>
      <c r="D335" s="4"/>
      <c r="E335" s="9"/>
      <c r="F335" s="30"/>
      <c r="G335" s="27"/>
      <c r="H335" s="27"/>
      <c r="I335" s="9"/>
      <c r="J335" s="10"/>
      <c r="K335" s="30"/>
      <c r="L335" s="28"/>
      <c r="M335" s="28"/>
      <c r="N335" s="8"/>
      <c r="O335" s="6"/>
      <c r="P335" s="30"/>
      <c r="Q335" s="28"/>
      <c r="R335" s="28"/>
    </row>
    <row r="336" spans="1:18">
      <c r="A336" s="2"/>
      <c r="B336" s="11"/>
      <c r="C336" s="66"/>
      <c r="D336" s="12"/>
      <c r="E336" s="524"/>
      <c r="F336" s="13"/>
      <c r="G336" s="13" t="s">
        <v>20</v>
      </c>
      <c r="H336" s="25">
        <f>SUM(H326:H335)</f>
        <v>8640</v>
      </c>
      <c r="I336" s="703"/>
      <c r="J336" s="703"/>
      <c r="K336" s="14"/>
      <c r="L336" s="13" t="s">
        <v>21</v>
      </c>
      <c r="M336" s="25">
        <f>SUM(M326:M335)</f>
        <v>14879.096549999998</v>
      </c>
      <c r="N336" s="3"/>
      <c r="O336" s="14"/>
      <c r="P336" s="14"/>
      <c r="Q336" s="13" t="s">
        <v>22</v>
      </c>
      <c r="R336" s="25">
        <f>SUM(R326:R335)</f>
        <v>27.04</v>
      </c>
    </row>
    <row r="337" spans="1:18">
      <c r="A337" s="2"/>
      <c r="B337" s="16" t="s">
        <v>13</v>
      </c>
      <c r="C337" s="67"/>
      <c r="D337" s="14"/>
      <c r="E337" s="14"/>
      <c r="F337" s="14"/>
      <c r="G337" s="13"/>
      <c r="H337" s="35">
        <f>M336+R336+H336</f>
        <v>23546.136549999999</v>
      </c>
      <c r="I337" s="17"/>
      <c r="J337" s="14"/>
      <c r="K337" s="14"/>
      <c r="L337" s="13"/>
      <c r="M337" s="15"/>
      <c r="N337" s="14"/>
      <c r="O337" s="14"/>
      <c r="P337" s="14"/>
      <c r="Q337" s="14"/>
      <c r="R337" s="17"/>
    </row>
    <row r="338" spans="1:18">
      <c r="A338" s="2"/>
      <c r="B338" s="11" t="s">
        <v>25</v>
      </c>
      <c r="C338" s="4" t="s">
        <v>647</v>
      </c>
      <c r="D338" s="4"/>
      <c r="E338" s="4"/>
      <c r="F338" s="4"/>
      <c r="G338" s="18"/>
      <c r="H338" s="36">
        <f>20%*H336</f>
        <v>1728</v>
      </c>
      <c r="I338" s="20"/>
      <c r="J338" s="4" t="s">
        <v>26</v>
      </c>
      <c r="K338" s="4"/>
      <c r="L338" s="18"/>
      <c r="M338" s="19"/>
      <c r="N338" s="4"/>
      <c r="O338" s="4"/>
      <c r="P338" s="4"/>
      <c r="Q338" s="4"/>
      <c r="R338" s="20"/>
    </row>
    <row r="339" spans="1:18">
      <c r="A339" s="23"/>
      <c r="B339" s="11" t="s">
        <v>14</v>
      </c>
      <c r="C339" s="68"/>
      <c r="D339" s="4"/>
      <c r="E339" s="4"/>
      <c r="F339" s="4"/>
      <c r="G339" s="18"/>
      <c r="H339" s="36">
        <f>SUM(H337:H338)</f>
        <v>25274.136549999999</v>
      </c>
      <c r="I339" s="20"/>
      <c r="J339" s="704"/>
      <c r="K339" s="705"/>
      <c r="L339" s="705"/>
      <c r="M339" s="705"/>
      <c r="N339" s="705"/>
      <c r="O339" s="705"/>
      <c r="P339" s="705"/>
      <c r="Q339" s="705"/>
      <c r="R339" s="706"/>
    </row>
    <row r="340" spans="1:18">
      <c r="A340" s="23"/>
      <c r="B340" s="11" t="s">
        <v>24</v>
      </c>
      <c r="C340" s="68"/>
      <c r="D340" s="4"/>
      <c r="E340" s="4"/>
      <c r="F340" s="4"/>
      <c r="G340" s="18"/>
      <c r="H340" s="36">
        <f>H339*15%</f>
        <v>3791.1204824999995</v>
      </c>
      <c r="I340" s="20"/>
      <c r="J340" s="707"/>
      <c r="K340" s="708"/>
      <c r="L340" s="708"/>
      <c r="M340" s="708"/>
      <c r="N340" s="708"/>
      <c r="O340" s="708"/>
      <c r="P340" s="708"/>
      <c r="Q340" s="708"/>
      <c r="R340" s="709"/>
    </row>
    <row r="341" spans="1:18">
      <c r="A341" s="23"/>
      <c r="B341" s="11" t="s">
        <v>15</v>
      </c>
      <c r="C341" s="68"/>
      <c r="D341" s="4"/>
      <c r="E341" s="4"/>
      <c r="F341" s="4"/>
      <c r="G341" s="21" t="s">
        <v>16</v>
      </c>
      <c r="H341" s="37">
        <f>H340+H339</f>
        <v>29065.257032499998</v>
      </c>
      <c r="I341" s="38" t="str">
        <f>CONCATENATE("per ",C326)</f>
        <v>per cum</v>
      </c>
      <c r="J341" s="707"/>
      <c r="K341" s="708"/>
      <c r="L341" s="708"/>
      <c r="M341" s="708"/>
      <c r="N341" s="708"/>
      <c r="O341" s="708"/>
      <c r="P341" s="708"/>
      <c r="Q341" s="708"/>
      <c r="R341" s="709"/>
    </row>
    <row r="342" spans="1:18">
      <c r="A342" s="23"/>
      <c r="B342" s="11" t="s">
        <v>18</v>
      </c>
      <c r="C342" s="125" t="s">
        <v>19</v>
      </c>
      <c r="D342" s="4"/>
      <c r="E342" s="4"/>
      <c r="F342" s="4"/>
      <c r="G342" s="21" t="s">
        <v>16</v>
      </c>
      <c r="H342" s="37">
        <f>CEILING(H341,0.5)</f>
        <v>29065.5</v>
      </c>
      <c r="I342" s="38" t="str">
        <f>CONCATENATE("per ",C326)</f>
        <v>per cum</v>
      </c>
      <c r="J342" s="707"/>
      <c r="K342" s="708"/>
      <c r="L342" s="708"/>
      <c r="M342" s="708"/>
      <c r="N342" s="708"/>
      <c r="O342" s="708"/>
      <c r="P342" s="708"/>
      <c r="Q342" s="708"/>
      <c r="R342" s="709"/>
    </row>
    <row r="343" spans="1:18">
      <c r="A343" s="23"/>
      <c r="B343" s="11"/>
      <c r="C343" s="68"/>
      <c r="D343" s="4"/>
      <c r="E343" s="4"/>
      <c r="F343" s="4"/>
      <c r="G343" s="24" t="s">
        <v>17</v>
      </c>
      <c r="H343" s="37">
        <f>H342/exr</f>
        <v>223.58076923076922</v>
      </c>
      <c r="I343" s="38" t="str">
        <f>CONCATENATE("per ",C326)</f>
        <v>per cum</v>
      </c>
      <c r="J343" s="710"/>
      <c r="K343" s="711"/>
      <c r="L343" s="711"/>
      <c r="M343" s="711"/>
      <c r="N343" s="711"/>
      <c r="O343" s="711"/>
      <c r="P343" s="711"/>
      <c r="Q343" s="711"/>
      <c r="R343" s="712"/>
    </row>
    <row r="344" spans="1:18">
      <c r="A344" s="39"/>
      <c r="B344" s="40"/>
      <c r="C344" s="69"/>
      <c r="D344" s="41"/>
      <c r="E344" s="41"/>
      <c r="F344" s="41"/>
      <c r="G344" s="149" t="s">
        <v>460</v>
      </c>
      <c r="H344" s="150">
        <f>CEILING(SUM(R328)/H337,0.0025)</f>
        <v>2.5000000000000001E-3</v>
      </c>
      <c r="I344" s="42"/>
      <c r="J344" s="43"/>
      <c r="K344" s="43"/>
      <c r="L344" s="43"/>
      <c r="M344" s="43"/>
      <c r="N344" s="43"/>
      <c r="O344" s="43"/>
      <c r="P344" s="43"/>
      <c r="Q344" s="43"/>
      <c r="R344" s="44"/>
    </row>
    <row r="346" spans="1:18">
      <c r="A346" s="693" t="s">
        <v>0</v>
      </c>
      <c r="B346" s="695" t="s">
        <v>1</v>
      </c>
      <c r="C346" s="695" t="s">
        <v>2</v>
      </c>
      <c r="D346" s="697" t="s">
        <v>3</v>
      </c>
      <c r="E346" s="698"/>
      <c r="F346" s="698"/>
      <c r="G346" s="698"/>
      <c r="H346" s="698"/>
      <c r="I346" s="699" t="s">
        <v>4</v>
      </c>
      <c r="J346" s="700"/>
      <c r="K346" s="700"/>
      <c r="L346" s="700"/>
      <c r="M346" s="700"/>
      <c r="N346" s="698" t="s">
        <v>5</v>
      </c>
      <c r="O346" s="698"/>
      <c r="P346" s="698"/>
      <c r="Q346" s="698"/>
      <c r="R346" s="698"/>
    </row>
    <row r="347" spans="1:18">
      <c r="A347" s="694"/>
      <c r="B347" s="696"/>
      <c r="C347" s="696"/>
      <c r="D347" s="45" t="s">
        <v>6</v>
      </c>
      <c r="E347" s="46" t="s">
        <v>2</v>
      </c>
      <c r="F347" s="46" t="s">
        <v>7</v>
      </c>
      <c r="G347" s="46" t="s">
        <v>8</v>
      </c>
      <c r="H347" s="46" t="s">
        <v>9</v>
      </c>
      <c r="I347" s="46" t="s">
        <v>10</v>
      </c>
      <c r="J347" s="46" t="s">
        <v>2</v>
      </c>
      <c r="K347" s="46" t="s">
        <v>7</v>
      </c>
      <c r="L347" s="46" t="s">
        <v>8</v>
      </c>
      <c r="M347" s="47" t="s">
        <v>9</v>
      </c>
      <c r="N347" s="46" t="s">
        <v>10</v>
      </c>
      <c r="O347" s="46" t="s">
        <v>2</v>
      </c>
      <c r="P347" s="46" t="s">
        <v>7</v>
      </c>
      <c r="Q347" s="46" t="s">
        <v>8</v>
      </c>
      <c r="R347" s="46" t="s">
        <v>9</v>
      </c>
    </row>
    <row r="348" spans="1:18">
      <c r="A348" s="33" t="s">
        <v>23</v>
      </c>
      <c r="B348" s="73" t="s">
        <v>270</v>
      </c>
      <c r="C348" s="65"/>
      <c r="D348" s="31"/>
      <c r="E348" s="31"/>
      <c r="F348" s="31"/>
      <c r="G348" s="31"/>
      <c r="H348" s="31"/>
      <c r="I348" s="31"/>
      <c r="J348" s="31"/>
      <c r="K348" s="31"/>
      <c r="L348" s="31"/>
      <c r="M348" s="31"/>
      <c r="N348" s="31"/>
      <c r="O348" s="31"/>
      <c r="P348" s="31"/>
      <c r="Q348" s="31"/>
      <c r="R348" s="32"/>
    </row>
    <row r="349" spans="1:18">
      <c r="A349" s="34">
        <f>A326+1</f>
        <v>15</v>
      </c>
      <c r="B349" s="713" t="s">
        <v>639</v>
      </c>
      <c r="C349" s="66" t="s">
        <v>11</v>
      </c>
      <c r="D349" s="4"/>
      <c r="E349" s="6"/>
      <c r="F349" s="29"/>
      <c r="G349" s="26"/>
      <c r="H349" s="26"/>
      <c r="I349" s="6"/>
      <c r="J349" s="6"/>
      <c r="K349" s="29"/>
      <c r="L349" s="26"/>
      <c r="M349" s="26"/>
      <c r="N349" s="6"/>
      <c r="O349" s="6"/>
      <c r="P349" s="29"/>
      <c r="Q349" s="26"/>
      <c r="R349" s="26"/>
    </row>
    <row r="350" spans="1:18">
      <c r="A350" s="2"/>
      <c r="B350" s="714"/>
      <c r="C350" s="66"/>
      <c r="D350" s="4" t="s">
        <v>251</v>
      </c>
      <c r="E350" s="6" t="s">
        <v>81</v>
      </c>
      <c r="F350" s="29">
        <v>0.8</v>
      </c>
      <c r="G350" s="26">
        <f>sr</f>
        <v>1100</v>
      </c>
      <c r="H350" s="26">
        <f>F350*G350</f>
        <v>880</v>
      </c>
      <c r="I350" s="7" t="s">
        <v>252</v>
      </c>
      <c r="J350" s="8" t="s">
        <v>32</v>
      </c>
      <c r="K350" s="29">
        <v>0.45</v>
      </c>
      <c r="L350" s="28">
        <f>cement</f>
        <v>24049.69</v>
      </c>
      <c r="M350" s="26">
        <f t="shared" ref="M350:M356" si="9">K350*L350</f>
        <v>10822.360499999999</v>
      </c>
      <c r="N350" s="8" t="s">
        <v>256</v>
      </c>
      <c r="O350" s="6" t="s">
        <v>101</v>
      </c>
      <c r="P350" s="29">
        <v>0.6</v>
      </c>
      <c r="Q350" s="28">
        <f>mixer</f>
        <v>216.32</v>
      </c>
      <c r="R350" s="26">
        <f>P350*Q350</f>
        <v>129.792</v>
      </c>
    </row>
    <row r="351" spans="1:18">
      <c r="A351" s="2"/>
      <c r="B351" s="714"/>
      <c r="C351" s="66"/>
      <c r="D351" s="4" t="s">
        <v>97</v>
      </c>
      <c r="E351" s="6" t="s">
        <v>81</v>
      </c>
      <c r="F351" s="29">
        <v>6</v>
      </c>
      <c r="G351" s="26">
        <f>ur</f>
        <v>850</v>
      </c>
      <c r="H351" s="26">
        <f>F351*G351</f>
        <v>5100</v>
      </c>
      <c r="I351" s="7" t="s">
        <v>258</v>
      </c>
      <c r="J351" s="8" t="s">
        <v>34</v>
      </c>
      <c r="K351" s="29">
        <v>0.56999999999999995</v>
      </c>
      <c r="L351" s="28">
        <f>Agg_20</f>
        <v>2700</v>
      </c>
      <c r="M351" s="26">
        <f t="shared" si="9"/>
        <v>1538.9999999999998</v>
      </c>
      <c r="N351" s="8" t="s">
        <v>257</v>
      </c>
      <c r="O351" s="6" t="s">
        <v>101</v>
      </c>
      <c r="P351" s="29">
        <v>0.25</v>
      </c>
      <c r="Q351" s="28">
        <f>vibrator_concrete</f>
        <v>108.16</v>
      </c>
      <c r="R351" s="26">
        <f>P351*Q351</f>
        <v>27.04</v>
      </c>
    </row>
    <row r="352" spans="1:18">
      <c r="A352" s="2"/>
      <c r="B352" s="714"/>
      <c r="C352" s="66"/>
      <c r="D352" s="4"/>
      <c r="E352" s="6"/>
      <c r="F352" s="29"/>
      <c r="G352" s="26"/>
      <c r="H352" s="26"/>
      <c r="I352" s="7" t="s">
        <v>259</v>
      </c>
      <c r="J352" s="8" t="s">
        <v>34</v>
      </c>
      <c r="K352" s="29">
        <v>0.33</v>
      </c>
      <c r="L352" s="28">
        <f>Agg_10</f>
        <v>2950</v>
      </c>
      <c r="M352" s="26">
        <f t="shared" si="9"/>
        <v>973.5</v>
      </c>
      <c r="N352" s="8"/>
      <c r="O352" s="6"/>
      <c r="P352" s="29"/>
      <c r="Q352" s="28"/>
      <c r="R352" s="28"/>
    </row>
    <row r="353" spans="1:18">
      <c r="A353" s="2"/>
      <c r="B353" s="714"/>
      <c r="C353" s="66"/>
      <c r="D353" s="4"/>
      <c r="E353" s="6"/>
      <c r="F353" s="29"/>
      <c r="G353" s="26"/>
      <c r="H353" s="26"/>
      <c r="I353" s="7" t="s">
        <v>254</v>
      </c>
      <c r="J353" s="8" t="s">
        <v>34</v>
      </c>
      <c r="K353" s="29">
        <v>0.44</v>
      </c>
      <c r="L353" s="28">
        <f>sand</f>
        <v>1050</v>
      </c>
      <c r="M353" s="26">
        <f t="shared" si="9"/>
        <v>462</v>
      </c>
      <c r="N353" s="8"/>
      <c r="O353" s="6"/>
      <c r="P353" s="29"/>
      <c r="Q353" s="28"/>
      <c r="R353" s="28"/>
    </row>
    <row r="354" spans="1:18">
      <c r="A354" s="2"/>
      <c r="B354" s="126"/>
      <c r="C354" s="66"/>
      <c r="D354" s="4"/>
      <c r="E354" s="6"/>
      <c r="F354" s="29"/>
      <c r="G354" s="26"/>
      <c r="H354" s="26"/>
      <c r="I354" s="7" t="s">
        <v>70</v>
      </c>
      <c r="J354" s="8" t="s">
        <v>250</v>
      </c>
      <c r="K354" s="29">
        <v>0.1</v>
      </c>
      <c r="L354" s="28">
        <f>petrol</f>
        <v>188.6</v>
      </c>
      <c r="M354" s="26">
        <f t="shared" si="9"/>
        <v>18.86</v>
      </c>
      <c r="N354" s="8"/>
      <c r="O354" s="6"/>
      <c r="P354" s="29"/>
      <c r="Q354" s="28"/>
      <c r="R354" s="28"/>
    </row>
    <row r="355" spans="1:18">
      <c r="A355" s="2"/>
      <c r="B355" s="126"/>
      <c r="C355" s="66"/>
      <c r="D355" s="4"/>
      <c r="E355" s="6"/>
      <c r="F355" s="29"/>
      <c r="G355" s="26"/>
      <c r="H355" s="26"/>
      <c r="I355" s="7" t="s">
        <v>67</v>
      </c>
      <c r="J355" s="8" t="s">
        <v>250</v>
      </c>
      <c r="K355" s="29">
        <v>3</v>
      </c>
      <c r="L355" s="28">
        <f>diesel</f>
        <v>177.6</v>
      </c>
      <c r="M355" s="26">
        <f t="shared" si="9"/>
        <v>532.79999999999995</v>
      </c>
      <c r="N355" s="8"/>
      <c r="O355" s="6"/>
      <c r="P355" s="29"/>
      <c r="Q355" s="28"/>
      <c r="R355" s="28"/>
    </row>
    <row r="356" spans="1:18">
      <c r="A356" s="2"/>
      <c r="B356" s="126"/>
      <c r="C356" s="66"/>
      <c r="D356" s="4"/>
      <c r="E356" s="6"/>
      <c r="F356" s="29"/>
      <c r="G356" s="26"/>
      <c r="H356" s="26"/>
      <c r="I356" s="7" t="s">
        <v>255</v>
      </c>
      <c r="J356" s="8" t="s">
        <v>250</v>
      </c>
      <c r="K356" s="29">
        <v>270</v>
      </c>
      <c r="L356" s="28"/>
      <c r="M356" s="26">
        <f t="shared" si="9"/>
        <v>0</v>
      </c>
      <c r="N356" s="8"/>
      <c r="O356" s="6"/>
      <c r="P356" s="29"/>
      <c r="Q356" s="28"/>
      <c r="R356" s="28"/>
    </row>
    <row r="357" spans="1:18">
      <c r="A357" s="2"/>
      <c r="B357" s="126"/>
      <c r="C357" s="66"/>
      <c r="D357" s="4"/>
      <c r="E357" s="6"/>
      <c r="F357" s="29"/>
      <c r="G357" s="26"/>
      <c r="H357" s="26"/>
      <c r="I357" s="7"/>
      <c r="J357" s="8"/>
      <c r="K357" s="29"/>
      <c r="L357" s="28"/>
      <c r="M357" s="26"/>
      <c r="N357" s="8"/>
      <c r="O357" s="6"/>
      <c r="P357" s="29"/>
      <c r="Q357" s="28"/>
      <c r="R357" s="28"/>
    </row>
    <row r="358" spans="1:18">
      <c r="A358" s="2"/>
      <c r="B358" s="5"/>
      <c r="C358" s="66"/>
      <c r="D358" s="4"/>
      <c r="E358" s="9"/>
      <c r="F358" s="30"/>
      <c r="G358" s="27"/>
      <c r="H358" s="27"/>
      <c r="I358" s="9"/>
      <c r="J358" s="10"/>
      <c r="K358" s="30"/>
      <c r="L358" s="28"/>
      <c r="M358" s="28"/>
      <c r="N358" s="8"/>
      <c r="O358" s="6"/>
      <c r="P358" s="30"/>
      <c r="Q358" s="28"/>
      <c r="R358" s="28"/>
    </row>
    <row r="359" spans="1:18">
      <c r="A359" s="2"/>
      <c r="B359" s="11"/>
      <c r="C359" s="66"/>
      <c r="D359" s="12"/>
      <c r="E359" s="524"/>
      <c r="F359" s="13"/>
      <c r="G359" s="13" t="s">
        <v>20</v>
      </c>
      <c r="H359" s="25">
        <f>SUM(H349:H358)</f>
        <v>5980</v>
      </c>
      <c r="I359" s="703"/>
      <c r="J359" s="703"/>
      <c r="K359" s="14"/>
      <c r="L359" s="13" t="s">
        <v>21</v>
      </c>
      <c r="M359" s="25">
        <f>SUM(M349:M358)</f>
        <v>14348.520499999999</v>
      </c>
      <c r="N359" s="3"/>
      <c r="O359" s="14"/>
      <c r="P359" s="14"/>
      <c r="Q359" s="13" t="s">
        <v>22</v>
      </c>
      <c r="R359" s="25">
        <f>SUM(R349:R358)</f>
        <v>156.83199999999999</v>
      </c>
    </row>
    <row r="360" spans="1:18">
      <c r="A360" s="2"/>
      <c r="B360" s="16" t="s">
        <v>13</v>
      </c>
      <c r="C360" s="67"/>
      <c r="D360" s="14"/>
      <c r="E360" s="14"/>
      <c r="F360" s="14"/>
      <c r="G360" s="13"/>
      <c r="H360" s="35">
        <f>M359+R359+H359</f>
        <v>20485.352500000001</v>
      </c>
      <c r="I360" s="17"/>
      <c r="J360" s="14"/>
      <c r="K360" s="14"/>
      <c r="L360" s="13"/>
      <c r="M360" s="15"/>
      <c r="N360" s="14"/>
      <c r="O360" s="14"/>
      <c r="P360" s="14"/>
      <c r="Q360" s="14"/>
      <c r="R360" s="17"/>
    </row>
    <row r="361" spans="1:18">
      <c r="A361" s="2"/>
      <c r="B361" s="11" t="s">
        <v>25</v>
      </c>
      <c r="C361" s="4" t="s">
        <v>647</v>
      </c>
      <c r="D361" s="4"/>
      <c r="E361" s="4"/>
      <c r="F361" s="4"/>
      <c r="G361" s="18"/>
      <c r="H361" s="36">
        <f>20%*H359</f>
        <v>1196</v>
      </c>
      <c r="I361" s="20"/>
      <c r="J361" s="4" t="s">
        <v>26</v>
      </c>
      <c r="K361" s="4"/>
      <c r="L361" s="18"/>
      <c r="M361" s="19"/>
      <c r="N361" s="4"/>
      <c r="O361" s="4"/>
      <c r="P361" s="4"/>
      <c r="Q361" s="4"/>
      <c r="R361" s="20"/>
    </row>
    <row r="362" spans="1:18">
      <c r="A362" s="23"/>
      <c r="B362" s="11" t="s">
        <v>14</v>
      </c>
      <c r="C362" s="68"/>
      <c r="D362" s="4"/>
      <c r="E362" s="4"/>
      <c r="F362" s="4"/>
      <c r="G362" s="18"/>
      <c r="H362" s="36">
        <f>SUM(H360:H361)</f>
        <v>21681.352500000001</v>
      </c>
      <c r="I362" s="20"/>
      <c r="J362" s="704"/>
      <c r="K362" s="705"/>
      <c r="L362" s="705"/>
      <c r="M362" s="705"/>
      <c r="N362" s="705"/>
      <c r="O362" s="705"/>
      <c r="P362" s="705"/>
      <c r="Q362" s="705"/>
      <c r="R362" s="706"/>
    </row>
    <row r="363" spans="1:18">
      <c r="A363" s="23"/>
      <c r="B363" s="11" t="s">
        <v>24</v>
      </c>
      <c r="C363" s="68"/>
      <c r="D363" s="4"/>
      <c r="E363" s="4"/>
      <c r="F363" s="4"/>
      <c r="G363" s="18"/>
      <c r="H363" s="36">
        <f>H362*15%</f>
        <v>3252.2028749999999</v>
      </c>
      <c r="I363" s="20"/>
      <c r="J363" s="707"/>
      <c r="K363" s="708"/>
      <c r="L363" s="708"/>
      <c r="M363" s="708"/>
      <c r="N363" s="708"/>
      <c r="O363" s="708"/>
      <c r="P363" s="708"/>
      <c r="Q363" s="708"/>
      <c r="R363" s="709"/>
    </row>
    <row r="364" spans="1:18">
      <c r="A364" s="23"/>
      <c r="B364" s="11" t="s">
        <v>15</v>
      </c>
      <c r="C364" s="68"/>
      <c r="D364" s="4"/>
      <c r="E364" s="4"/>
      <c r="F364" s="4"/>
      <c r="G364" s="21" t="s">
        <v>16</v>
      </c>
      <c r="H364" s="37">
        <f>H363+H362</f>
        <v>24933.555375</v>
      </c>
      <c r="I364" s="38" t="str">
        <f>CONCATENATE("per ",C349)</f>
        <v>per cum</v>
      </c>
      <c r="J364" s="707"/>
      <c r="K364" s="708"/>
      <c r="L364" s="708"/>
      <c r="M364" s="708"/>
      <c r="N364" s="708"/>
      <c r="O364" s="708"/>
      <c r="P364" s="708"/>
      <c r="Q364" s="708"/>
      <c r="R364" s="709"/>
    </row>
    <row r="365" spans="1:18">
      <c r="A365" s="23"/>
      <c r="B365" s="11" t="s">
        <v>18</v>
      </c>
      <c r="C365" s="125" t="s">
        <v>19</v>
      </c>
      <c r="D365" s="4"/>
      <c r="E365" s="4"/>
      <c r="F365" s="4"/>
      <c r="G365" s="21" t="s">
        <v>16</v>
      </c>
      <c r="H365" s="37">
        <f>CEILING(H364,0.5)</f>
        <v>24934</v>
      </c>
      <c r="I365" s="38" t="str">
        <f>CONCATENATE("per ",C349)</f>
        <v>per cum</v>
      </c>
      <c r="J365" s="707"/>
      <c r="K365" s="708"/>
      <c r="L365" s="708"/>
      <c r="M365" s="708"/>
      <c r="N365" s="708"/>
      <c r="O365" s="708"/>
      <c r="P365" s="708"/>
      <c r="Q365" s="708"/>
      <c r="R365" s="709"/>
    </row>
    <row r="366" spans="1:18">
      <c r="A366" s="23"/>
      <c r="B366" s="11"/>
      <c r="C366" s="68"/>
      <c r="D366" s="4"/>
      <c r="E366" s="4"/>
      <c r="F366" s="4"/>
      <c r="G366" s="24" t="s">
        <v>17</v>
      </c>
      <c r="H366" s="37">
        <f>H365/exr</f>
        <v>191.8</v>
      </c>
      <c r="I366" s="38" t="str">
        <f>CONCATENATE("per ",C349)</f>
        <v>per cum</v>
      </c>
      <c r="J366" s="710"/>
      <c r="K366" s="711"/>
      <c r="L366" s="711"/>
      <c r="M366" s="711"/>
      <c r="N366" s="711"/>
      <c r="O366" s="711"/>
      <c r="P366" s="711"/>
      <c r="Q366" s="711"/>
      <c r="R366" s="712"/>
    </row>
    <row r="367" spans="1:18">
      <c r="A367" s="39"/>
      <c r="B367" s="40"/>
      <c r="C367" s="69"/>
      <c r="D367" s="41"/>
      <c r="E367" s="41"/>
      <c r="F367" s="41"/>
      <c r="G367" s="149" t="s">
        <v>460</v>
      </c>
      <c r="H367" s="150">
        <f>CEILING(SUM(M354,M355,R350,R351)/H360,0.0025)</f>
        <v>3.5000000000000003E-2</v>
      </c>
      <c r="I367" s="42"/>
      <c r="J367" s="43"/>
      <c r="K367" s="43"/>
      <c r="L367" s="43"/>
      <c r="M367" s="43"/>
      <c r="N367" s="43"/>
      <c r="O367" s="43"/>
      <c r="P367" s="43"/>
      <c r="Q367" s="43"/>
      <c r="R367" s="44"/>
    </row>
    <row r="369" spans="1:18">
      <c r="A369" s="693" t="s">
        <v>0</v>
      </c>
      <c r="B369" s="695" t="s">
        <v>1</v>
      </c>
      <c r="C369" s="695" t="s">
        <v>2</v>
      </c>
      <c r="D369" s="697" t="s">
        <v>3</v>
      </c>
      <c r="E369" s="698"/>
      <c r="F369" s="698"/>
      <c r="G369" s="698"/>
      <c r="H369" s="698"/>
      <c r="I369" s="699" t="s">
        <v>4</v>
      </c>
      <c r="J369" s="700"/>
      <c r="K369" s="700"/>
      <c r="L369" s="700"/>
      <c r="M369" s="700"/>
      <c r="N369" s="698" t="s">
        <v>5</v>
      </c>
      <c r="O369" s="698"/>
      <c r="P369" s="698"/>
      <c r="Q369" s="698"/>
      <c r="R369" s="698"/>
    </row>
    <row r="370" spans="1:18">
      <c r="A370" s="694"/>
      <c r="B370" s="696"/>
      <c r="C370" s="696"/>
      <c r="D370" s="45" t="s">
        <v>6</v>
      </c>
      <c r="E370" s="46" t="s">
        <v>2</v>
      </c>
      <c r="F370" s="46" t="s">
        <v>7</v>
      </c>
      <c r="G370" s="46" t="s">
        <v>8</v>
      </c>
      <c r="H370" s="46" t="s">
        <v>9</v>
      </c>
      <c r="I370" s="46" t="s">
        <v>10</v>
      </c>
      <c r="J370" s="46" t="s">
        <v>2</v>
      </c>
      <c r="K370" s="46" t="s">
        <v>7</v>
      </c>
      <c r="L370" s="46" t="s">
        <v>8</v>
      </c>
      <c r="M370" s="47" t="s">
        <v>9</v>
      </c>
      <c r="N370" s="46" t="s">
        <v>10</v>
      </c>
      <c r="O370" s="46" t="s">
        <v>2</v>
      </c>
      <c r="P370" s="46" t="s">
        <v>7</v>
      </c>
      <c r="Q370" s="46" t="s">
        <v>8</v>
      </c>
      <c r="R370" s="46" t="s">
        <v>9</v>
      </c>
    </row>
    <row r="371" spans="1:18">
      <c r="A371" s="33" t="s">
        <v>23</v>
      </c>
      <c r="B371" s="73" t="s">
        <v>271</v>
      </c>
      <c r="C371" s="65"/>
      <c r="D371" s="31"/>
      <c r="E371" s="31"/>
      <c r="F371" s="31"/>
      <c r="G371" s="31"/>
      <c r="H371" s="31"/>
      <c r="I371" s="31"/>
      <c r="J371" s="31"/>
      <c r="K371" s="31"/>
      <c r="L371" s="31"/>
      <c r="M371" s="31"/>
      <c r="N371" s="31"/>
      <c r="O371" s="31"/>
      <c r="P371" s="31"/>
      <c r="Q371" s="31"/>
      <c r="R371" s="32"/>
    </row>
    <row r="372" spans="1:18" ht="15.75" customHeight="1">
      <c r="A372" s="34">
        <f>A349+1</f>
        <v>16</v>
      </c>
      <c r="B372" s="713" t="s">
        <v>640</v>
      </c>
      <c r="C372" s="66" t="s">
        <v>11</v>
      </c>
      <c r="D372" s="4"/>
      <c r="E372" s="6"/>
      <c r="F372" s="29"/>
      <c r="G372" s="26"/>
      <c r="H372" s="26"/>
      <c r="I372" s="6"/>
      <c r="J372" s="6"/>
      <c r="K372" s="29"/>
      <c r="L372" s="26"/>
      <c r="M372" s="26"/>
      <c r="N372" s="6"/>
      <c r="O372" s="6"/>
      <c r="P372" s="29"/>
      <c r="Q372" s="26"/>
      <c r="R372" s="26"/>
    </row>
    <row r="373" spans="1:18">
      <c r="A373" s="2"/>
      <c r="B373" s="714"/>
      <c r="C373" s="66"/>
      <c r="D373" s="4" t="s">
        <v>251</v>
      </c>
      <c r="E373" s="6" t="s">
        <v>81</v>
      </c>
      <c r="F373" s="29">
        <v>0.8</v>
      </c>
      <c r="G373" s="26">
        <f>sr</f>
        <v>1100</v>
      </c>
      <c r="H373" s="26">
        <f>F373*G373</f>
        <v>880</v>
      </c>
      <c r="I373" s="7" t="s">
        <v>252</v>
      </c>
      <c r="J373" s="8" t="s">
        <v>32</v>
      </c>
      <c r="K373" s="29">
        <v>0.495</v>
      </c>
      <c r="L373" s="28">
        <f>cement</f>
        <v>24049.69</v>
      </c>
      <c r="M373" s="26">
        <f>K373*L373</f>
        <v>11904.596549999998</v>
      </c>
      <c r="N373" s="8"/>
      <c r="O373" s="6"/>
      <c r="P373" s="29"/>
      <c r="Q373" s="28"/>
      <c r="R373" s="26"/>
    </row>
    <row r="374" spans="1:18">
      <c r="A374" s="2"/>
      <c r="B374" s="714"/>
      <c r="C374" s="66"/>
      <c r="D374" s="4" t="s">
        <v>97</v>
      </c>
      <c r="E374" s="6" t="s">
        <v>81</v>
      </c>
      <c r="F374" s="29">
        <v>7</v>
      </c>
      <c r="G374" s="26">
        <f>ur</f>
        <v>850</v>
      </c>
      <c r="H374" s="26">
        <f>F374*G374</f>
        <v>5950</v>
      </c>
      <c r="I374" s="7" t="s">
        <v>258</v>
      </c>
      <c r="J374" s="8" t="s">
        <v>34</v>
      </c>
      <c r="K374" s="29">
        <v>0.56999999999999995</v>
      </c>
      <c r="L374" s="28">
        <f>Agg_20</f>
        <v>2700</v>
      </c>
      <c r="M374" s="26">
        <f>K374*L374</f>
        <v>1538.9999999999998</v>
      </c>
      <c r="N374" s="8" t="s">
        <v>257</v>
      </c>
      <c r="O374" s="6" t="s">
        <v>101</v>
      </c>
      <c r="P374" s="29">
        <v>0.25</v>
      </c>
      <c r="Q374" s="28">
        <f>vibrator_concrete</f>
        <v>108.16</v>
      </c>
      <c r="R374" s="26">
        <f>P374*Q374</f>
        <v>27.04</v>
      </c>
    </row>
    <row r="375" spans="1:18">
      <c r="A375" s="2"/>
      <c r="B375" s="714"/>
      <c r="C375" s="66"/>
      <c r="D375" s="4"/>
      <c r="E375" s="6"/>
      <c r="F375" s="29"/>
      <c r="G375" s="26"/>
      <c r="H375" s="26"/>
      <c r="I375" s="7" t="s">
        <v>259</v>
      </c>
      <c r="J375" s="8" t="s">
        <v>34</v>
      </c>
      <c r="K375" s="29">
        <v>0.33</v>
      </c>
      <c r="L375" s="28">
        <f>Agg_10</f>
        <v>2950</v>
      </c>
      <c r="M375" s="26">
        <f>K375*L375</f>
        <v>973.5</v>
      </c>
      <c r="N375" s="8"/>
      <c r="O375" s="6"/>
      <c r="P375" s="29"/>
      <c r="Q375" s="28"/>
      <c r="R375" s="28"/>
    </row>
    <row r="376" spans="1:18">
      <c r="A376" s="2"/>
      <c r="B376" s="714"/>
      <c r="C376" s="66"/>
      <c r="D376" s="4"/>
      <c r="E376" s="6"/>
      <c r="F376" s="29"/>
      <c r="G376" s="26"/>
      <c r="H376" s="26"/>
      <c r="I376" s="7" t="s">
        <v>254</v>
      </c>
      <c r="J376" s="8" t="s">
        <v>34</v>
      </c>
      <c r="K376" s="29">
        <v>0.44</v>
      </c>
      <c r="L376" s="28">
        <f>sand</f>
        <v>1050</v>
      </c>
      <c r="M376" s="26">
        <f>K376*L376</f>
        <v>462</v>
      </c>
      <c r="N376" s="8"/>
      <c r="O376" s="6"/>
      <c r="P376" s="29"/>
      <c r="Q376" s="28"/>
      <c r="R376" s="28"/>
    </row>
    <row r="377" spans="1:18">
      <c r="A377" s="2"/>
      <c r="B377" s="126"/>
      <c r="C377" s="66"/>
      <c r="D377" s="4"/>
      <c r="E377" s="6"/>
      <c r="F377" s="29"/>
      <c r="G377" s="26"/>
      <c r="H377" s="26"/>
      <c r="I377" s="7" t="s">
        <v>255</v>
      </c>
      <c r="J377" s="8" t="s">
        <v>250</v>
      </c>
      <c r="K377" s="29">
        <v>297</v>
      </c>
      <c r="L377" s="28"/>
      <c r="M377" s="26">
        <f>K377*L377</f>
        <v>0</v>
      </c>
      <c r="N377" s="8"/>
      <c r="O377" s="6"/>
      <c r="P377" s="29"/>
      <c r="Q377" s="28"/>
      <c r="R377" s="28"/>
    </row>
    <row r="378" spans="1:18">
      <c r="A378" s="2"/>
      <c r="B378" s="126"/>
      <c r="C378" s="66"/>
      <c r="D378" s="4"/>
      <c r="E378" s="6"/>
      <c r="F378" s="29"/>
      <c r="G378" s="26"/>
      <c r="H378" s="26"/>
      <c r="I378" s="7"/>
      <c r="J378" s="8"/>
      <c r="K378" s="29"/>
      <c r="L378" s="28"/>
      <c r="M378" s="26"/>
      <c r="N378" s="8"/>
      <c r="O378" s="6"/>
      <c r="P378" s="29"/>
      <c r="Q378" s="28"/>
      <c r="R378" s="28"/>
    </row>
    <row r="379" spans="1:18">
      <c r="A379" s="2"/>
      <c r="B379" s="126"/>
      <c r="C379" s="66"/>
      <c r="D379" s="4"/>
      <c r="E379" s="6"/>
      <c r="F379" s="29"/>
      <c r="G379" s="26"/>
      <c r="H379" s="26"/>
      <c r="I379" s="7"/>
      <c r="J379" s="8"/>
      <c r="K379" s="29"/>
      <c r="L379" s="28"/>
      <c r="M379" s="26"/>
      <c r="N379" s="8"/>
      <c r="O379" s="6"/>
      <c r="P379" s="29"/>
      <c r="Q379" s="28"/>
      <c r="R379" s="28"/>
    </row>
    <row r="380" spans="1:18">
      <c r="A380" s="2"/>
      <c r="B380" s="126"/>
      <c r="C380" s="66"/>
      <c r="D380" s="4"/>
      <c r="E380" s="6"/>
      <c r="F380" s="29"/>
      <c r="G380" s="26"/>
      <c r="H380" s="26"/>
      <c r="I380" s="7"/>
      <c r="J380" s="8"/>
      <c r="K380" s="29"/>
      <c r="L380" s="28"/>
      <c r="M380" s="26"/>
      <c r="N380" s="8"/>
      <c r="O380" s="6"/>
      <c r="P380" s="29"/>
      <c r="Q380" s="28"/>
      <c r="R380" s="28"/>
    </row>
    <row r="381" spans="1:18">
      <c r="A381" s="2"/>
      <c r="B381" s="5"/>
      <c r="C381" s="66"/>
      <c r="D381" s="4"/>
      <c r="E381" s="9"/>
      <c r="F381" s="30"/>
      <c r="G381" s="27"/>
      <c r="H381" s="27"/>
      <c r="I381" s="9"/>
      <c r="J381" s="10"/>
      <c r="K381" s="30"/>
      <c r="L381" s="28"/>
      <c r="M381" s="28"/>
      <c r="N381" s="8"/>
      <c r="O381" s="6"/>
      <c r="P381" s="30"/>
      <c r="Q381" s="28"/>
      <c r="R381" s="28"/>
    </row>
    <row r="382" spans="1:18">
      <c r="A382" s="2"/>
      <c r="B382" s="11"/>
      <c r="C382" s="66"/>
      <c r="D382" s="12"/>
      <c r="E382" s="524"/>
      <c r="F382" s="13"/>
      <c r="G382" s="13" t="s">
        <v>20</v>
      </c>
      <c r="H382" s="25">
        <f>SUM(H372:H381)</f>
        <v>6830</v>
      </c>
      <c r="I382" s="703"/>
      <c r="J382" s="703"/>
      <c r="K382" s="14"/>
      <c r="L382" s="13" t="s">
        <v>21</v>
      </c>
      <c r="M382" s="25">
        <f>SUM(M372:M381)</f>
        <v>14879.096549999998</v>
      </c>
      <c r="N382" s="3"/>
      <c r="O382" s="14"/>
      <c r="P382" s="14"/>
      <c r="Q382" s="13" t="s">
        <v>22</v>
      </c>
      <c r="R382" s="25">
        <f>SUM(R372:R381)</f>
        <v>27.04</v>
      </c>
    </row>
    <row r="383" spans="1:18">
      <c r="A383" s="2"/>
      <c r="B383" s="16" t="s">
        <v>13</v>
      </c>
      <c r="C383" s="67"/>
      <c r="D383" s="14"/>
      <c r="E383" s="14"/>
      <c r="F383" s="14"/>
      <c r="G383" s="13"/>
      <c r="H383" s="35">
        <f>M382+R382+H382</f>
        <v>21736.136549999999</v>
      </c>
      <c r="I383" s="17"/>
      <c r="J383" s="14"/>
      <c r="K383" s="14"/>
      <c r="L383" s="13"/>
      <c r="M383" s="15"/>
      <c r="N383" s="14"/>
      <c r="O383" s="14"/>
      <c r="P383" s="14"/>
      <c r="Q383" s="14"/>
      <c r="R383" s="17"/>
    </row>
    <row r="384" spans="1:18">
      <c r="A384" s="2"/>
      <c r="B384" s="11" t="s">
        <v>25</v>
      </c>
      <c r="C384" s="4" t="s">
        <v>647</v>
      </c>
      <c r="D384" s="4"/>
      <c r="E384" s="4"/>
      <c r="F384" s="4"/>
      <c r="G384" s="18"/>
      <c r="H384" s="36">
        <f>20%*H382</f>
        <v>1366</v>
      </c>
      <c r="I384" s="20"/>
      <c r="J384" s="4" t="s">
        <v>26</v>
      </c>
      <c r="K384" s="4"/>
      <c r="L384" s="18"/>
      <c r="M384" s="19"/>
      <c r="N384" s="4"/>
      <c r="O384" s="4"/>
      <c r="P384" s="4"/>
      <c r="Q384" s="4"/>
      <c r="R384" s="20"/>
    </row>
    <row r="385" spans="1:18">
      <c r="A385" s="23"/>
      <c r="B385" s="11" t="s">
        <v>14</v>
      </c>
      <c r="C385" s="68"/>
      <c r="D385" s="4"/>
      <c r="E385" s="4"/>
      <c r="F385" s="4"/>
      <c r="G385" s="18"/>
      <c r="H385" s="36">
        <f>SUM(H383:H384)</f>
        <v>23102.136549999999</v>
      </c>
      <c r="I385" s="20"/>
      <c r="J385" s="704"/>
      <c r="K385" s="705"/>
      <c r="L385" s="705"/>
      <c r="M385" s="705"/>
      <c r="N385" s="705"/>
      <c r="O385" s="705"/>
      <c r="P385" s="705"/>
      <c r="Q385" s="705"/>
      <c r="R385" s="706"/>
    </row>
    <row r="386" spans="1:18">
      <c r="A386" s="23"/>
      <c r="B386" s="11" t="s">
        <v>24</v>
      </c>
      <c r="C386" s="68"/>
      <c r="D386" s="4"/>
      <c r="E386" s="4"/>
      <c r="F386" s="4"/>
      <c r="G386" s="18"/>
      <c r="H386" s="36">
        <f>H385*15%</f>
        <v>3465.3204824999998</v>
      </c>
      <c r="I386" s="20"/>
      <c r="J386" s="707"/>
      <c r="K386" s="708"/>
      <c r="L386" s="708"/>
      <c r="M386" s="708"/>
      <c r="N386" s="708"/>
      <c r="O386" s="708"/>
      <c r="P386" s="708"/>
      <c r="Q386" s="708"/>
      <c r="R386" s="709"/>
    </row>
    <row r="387" spans="1:18">
      <c r="A387" s="23"/>
      <c r="B387" s="11" t="s">
        <v>15</v>
      </c>
      <c r="C387" s="68"/>
      <c r="D387" s="4"/>
      <c r="E387" s="4"/>
      <c r="F387" s="4"/>
      <c r="G387" s="21" t="s">
        <v>16</v>
      </c>
      <c r="H387" s="37">
        <f>H386+H385</f>
        <v>26567.457032499999</v>
      </c>
      <c r="I387" s="38" t="str">
        <f>CONCATENATE("per ",C372)</f>
        <v>per cum</v>
      </c>
      <c r="J387" s="707"/>
      <c r="K387" s="708"/>
      <c r="L387" s="708"/>
      <c r="M387" s="708"/>
      <c r="N387" s="708"/>
      <c r="O387" s="708"/>
      <c r="P387" s="708"/>
      <c r="Q387" s="708"/>
      <c r="R387" s="709"/>
    </row>
    <row r="388" spans="1:18">
      <c r="A388" s="23"/>
      <c r="B388" s="11" t="s">
        <v>18</v>
      </c>
      <c r="C388" s="125" t="s">
        <v>19</v>
      </c>
      <c r="D388" s="4"/>
      <c r="E388" s="4"/>
      <c r="F388" s="4"/>
      <c r="G388" s="21" t="s">
        <v>16</v>
      </c>
      <c r="H388" s="37">
        <f>CEILING(H387,0.5)</f>
        <v>26567.5</v>
      </c>
      <c r="I388" s="38" t="str">
        <f>CONCATENATE("per ",C372)</f>
        <v>per cum</v>
      </c>
      <c r="J388" s="707"/>
      <c r="K388" s="708"/>
      <c r="L388" s="708"/>
      <c r="M388" s="708"/>
      <c r="N388" s="708"/>
      <c r="O388" s="708"/>
      <c r="P388" s="708"/>
      <c r="Q388" s="708"/>
      <c r="R388" s="709"/>
    </row>
    <row r="389" spans="1:18">
      <c r="A389" s="23"/>
      <c r="B389" s="11"/>
      <c r="C389" s="68"/>
      <c r="D389" s="4"/>
      <c r="E389" s="4"/>
      <c r="F389" s="4"/>
      <c r="G389" s="24" t="s">
        <v>17</v>
      </c>
      <c r="H389" s="37">
        <f>H388/exr</f>
        <v>204.36538461538461</v>
      </c>
      <c r="I389" s="38" t="str">
        <f>CONCATENATE("per ",C372)</f>
        <v>per cum</v>
      </c>
      <c r="J389" s="710"/>
      <c r="K389" s="711"/>
      <c r="L389" s="711"/>
      <c r="M389" s="711"/>
      <c r="N389" s="711"/>
      <c r="O389" s="711"/>
      <c r="P389" s="711"/>
      <c r="Q389" s="711"/>
      <c r="R389" s="712"/>
    </row>
    <row r="390" spans="1:18">
      <c r="A390" s="39"/>
      <c r="B390" s="40"/>
      <c r="C390" s="69"/>
      <c r="D390" s="41"/>
      <c r="E390" s="41"/>
      <c r="F390" s="41"/>
      <c r="G390" s="149" t="s">
        <v>460</v>
      </c>
      <c r="H390" s="150">
        <f>CEILING(SUM(R374)/H383,0.0025)</f>
        <v>2.5000000000000001E-3</v>
      </c>
      <c r="I390" s="42"/>
      <c r="J390" s="43"/>
      <c r="K390" s="43"/>
      <c r="L390" s="43"/>
      <c r="M390" s="43"/>
      <c r="N390" s="43"/>
      <c r="O390" s="43"/>
      <c r="P390" s="43"/>
      <c r="Q390" s="43"/>
      <c r="R390" s="44"/>
    </row>
  </sheetData>
  <mergeCells count="153">
    <mergeCell ref="A346:A347"/>
    <mergeCell ref="B346:B347"/>
    <mergeCell ref="C346:C347"/>
    <mergeCell ref="D346:H346"/>
    <mergeCell ref="I346:M346"/>
    <mergeCell ref="N346:R346"/>
    <mergeCell ref="B372:B376"/>
    <mergeCell ref="I382:J382"/>
    <mergeCell ref="J385:R389"/>
    <mergeCell ref="B349:B353"/>
    <mergeCell ref="I359:J359"/>
    <mergeCell ref="J362:R366"/>
    <mergeCell ref="A369:A370"/>
    <mergeCell ref="B369:B370"/>
    <mergeCell ref="C369:C370"/>
    <mergeCell ref="D369:H369"/>
    <mergeCell ref="I369:M369"/>
    <mergeCell ref="N369:R369"/>
    <mergeCell ref="A323:A324"/>
    <mergeCell ref="B323:B324"/>
    <mergeCell ref="C323:C324"/>
    <mergeCell ref="D323:H323"/>
    <mergeCell ref="I323:M323"/>
    <mergeCell ref="N323:R323"/>
    <mergeCell ref="B326:B330"/>
    <mergeCell ref="I336:J336"/>
    <mergeCell ref="J339:R343"/>
    <mergeCell ref="A300:A301"/>
    <mergeCell ref="B300:B301"/>
    <mergeCell ref="C300:C301"/>
    <mergeCell ref="D300:H300"/>
    <mergeCell ref="I300:M300"/>
    <mergeCell ref="N300:R300"/>
    <mergeCell ref="B303:B307"/>
    <mergeCell ref="I313:J313"/>
    <mergeCell ref="J316:R320"/>
    <mergeCell ref="A277:A278"/>
    <mergeCell ref="B277:B278"/>
    <mergeCell ref="C277:C278"/>
    <mergeCell ref="D277:H277"/>
    <mergeCell ref="I277:M277"/>
    <mergeCell ref="N277:R277"/>
    <mergeCell ref="B280:B284"/>
    <mergeCell ref="I290:J290"/>
    <mergeCell ref="J293:R297"/>
    <mergeCell ref="A254:A255"/>
    <mergeCell ref="B254:B255"/>
    <mergeCell ref="C254:C255"/>
    <mergeCell ref="D254:H254"/>
    <mergeCell ref="I254:M254"/>
    <mergeCell ref="N254:R254"/>
    <mergeCell ref="B257:B261"/>
    <mergeCell ref="I267:J267"/>
    <mergeCell ref="J270:R274"/>
    <mergeCell ref="A231:A232"/>
    <mergeCell ref="B231:B232"/>
    <mergeCell ref="C231:C232"/>
    <mergeCell ref="D231:H231"/>
    <mergeCell ref="I231:M231"/>
    <mergeCell ref="N231:R231"/>
    <mergeCell ref="B234:B238"/>
    <mergeCell ref="I244:J244"/>
    <mergeCell ref="J247:R251"/>
    <mergeCell ref="A208:A209"/>
    <mergeCell ref="B208:B209"/>
    <mergeCell ref="C208:C209"/>
    <mergeCell ref="D208:H208"/>
    <mergeCell ref="I208:M208"/>
    <mergeCell ref="N208:R208"/>
    <mergeCell ref="B211:B215"/>
    <mergeCell ref="I221:J221"/>
    <mergeCell ref="J224:R228"/>
    <mergeCell ref="A185:A186"/>
    <mergeCell ref="B185:B186"/>
    <mergeCell ref="C185:C186"/>
    <mergeCell ref="D185:H185"/>
    <mergeCell ref="I185:M185"/>
    <mergeCell ref="N185:R185"/>
    <mergeCell ref="B188:B192"/>
    <mergeCell ref="I198:J198"/>
    <mergeCell ref="J201:R205"/>
    <mergeCell ref="A162:A163"/>
    <mergeCell ref="B162:B163"/>
    <mergeCell ref="C162:C163"/>
    <mergeCell ref="D162:H162"/>
    <mergeCell ref="I162:M162"/>
    <mergeCell ref="N162:R162"/>
    <mergeCell ref="B165:B169"/>
    <mergeCell ref="I175:J175"/>
    <mergeCell ref="J178:R182"/>
    <mergeCell ref="A139:A140"/>
    <mergeCell ref="B139:B140"/>
    <mergeCell ref="C139:C140"/>
    <mergeCell ref="D139:H139"/>
    <mergeCell ref="I139:M139"/>
    <mergeCell ref="N139:R139"/>
    <mergeCell ref="B142:B146"/>
    <mergeCell ref="I152:J152"/>
    <mergeCell ref="J155:R159"/>
    <mergeCell ref="A116:A117"/>
    <mergeCell ref="B116:B117"/>
    <mergeCell ref="C116:C117"/>
    <mergeCell ref="D116:H116"/>
    <mergeCell ref="I116:M116"/>
    <mergeCell ref="N116:R116"/>
    <mergeCell ref="B119:B123"/>
    <mergeCell ref="I129:J129"/>
    <mergeCell ref="J132:R136"/>
    <mergeCell ref="A93:A94"/>
    <mergeCell ref="B93:B94"/>
    <mergeCell ref="C93:C94"/>
    <mergeCell ref="D93:H93"/>
    <mergeCell ref="I93:M93"/>
    <mergeCell ref="N93:R93"/>
    <mergeCell ref="B96:B100"/>
    <mergeCell ref="I106:J106"/>
    <mergeCell ref="J109:R113"/>
    <mergeCell ref="A70:A71"/>
    <mergeCell ref="B70:B71"/>
    <mergeCell ref="C70:C71"/>
    <mergeCell ref="D70:H70"/>
    <mergeCell ref="I70:M70"/>
    <mergeCell ref="N70:R70"/>
    <mergeCell ref="B73:B77"/>
    <mergeCell ref="I83:J83"/>
    <mergeCell ref="J86:R90"/>
    <mergeCell ref="A47:A48"/>
    <mergeCell ref="B47:B48"/>
    <mergeCell ref="C47:C48"/>
    <mergeCell ref="D47:H47"/>
    <mergeCell ref="I47:M47"/>
    <mergeCell ref="N47:R47"/>
    <mergeCell ref="B50:B54"/>
    <mergeCell ref="I60:J60"/>
    <mergeCell ref="J63:R67"/>
    <mergeCell ref="A24:A25"/>
    <mergeCell ref="B24:B25"/>
    <mergeCell ref="C24:C25"/>
    <mergeCell ref="D24:H24"/>
    <mergeCell ref="I24:M24"/>
    <mergeCell ref="N24:R24"/>
    <mergeCell ref="B27:B31"/>
    <mergeCell ref="I37:J37"/>
    <mergeCell ref="J40:R44"/>
    <mergeCell ref="A1:A2"/>
    <mergeCell ref="B1:B2"/>
    <mergeCell ref="C1:C2"/>
    <mergeCell ref="D1:H1"/>
    <mergeCell ref="I1:M1"/>
    <mergeCell ref="N1:R1"/>
    <mergeCell ref="B4:B8"/>
    <mergeCell ref="I14:J14"/>
    <mergeCell ref="J17:R2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59"/>
  <sheetViews>
    <sheetView topLeftCell="G44" workbookViewId="0">
      <selection activeCell="H57" sqref="H57"/>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140625" style="1"/>
    <col min="8" max="8" width="11.42578125" style="1" customWidth="1"/>
    <col min="9" max="9" width="18.42578125" style="1" customWidth="1"/>
    <col min="10" max="10" width="5.28515625" style="1" customWidth="1"/>
    <col min="11" max="11" width="9.140625" style="1"/>
    <col min="12" max="12" width="9.85546875" style="1" bestFit="1" customWidth="1"/>
    <col min="13" max="13" width="11.85546875" style="1" customWidth="1"/>
    <col min="14" max="14" width="16.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274</v>
      </c>
      <c r="C3" s="65"/>
      <c r="D3" s="31"/>
      <c r="E3" s="31"/>
      <c r="F3" s="31"/>
      <c r="G3" s="31"/>
      <c r="H3" s="31"/>
      <c r="I3" s="31"/>
      <c r="J3" s="31"/>
      <c r="K3" s="31"/>
      <c r="L3" s="31"/>
      <c r="M3" s="31"/>
      <c r="N3" s="31"/>
      <c r="O3" s="31"/>
      <c r="P3" s="31"/>
      <c r="Q3" s="31"/>
      <c r="R3" s="32"/>
    </row>
    <row r="4" spans="1:18" ht="15.75" customHeight="1">
      <c r="A4" s="34">
        <v>1</v>
      </c>
      <c r="B4" s="713" t="s">
        <v>275</v>
      </c>
      <c r="C4" s="66" t="s">
        <v>113</v>
      </c>
      <c r="D4" s="4"/>
      <c r="E4" s="6"/>
      <c r="F4" s="29"/>
      <c r="G4" s="26"/>
      <c r="H4" s="26"/>
      <c r="I4" s="6"/>
      <c r="J4" s="6"/>
      <c r="K4" s="29"/>
      <c r="L4" s="26"/>
      <c r="M4" s="26"/>
      <c r="N4" s="6"/>
      <c r="O4" s="6"/>
      <c r="P4" s="29"/>
      <c r="Q4" s="26"/>
      <c r="R4" s="26"/>
    </row>
    <row r="5" spans="1:18">
      <c r="A5" s="2"/>
      <c r="B5" s="714"/>
      <c r="C5" s="66"/>
      <c r="D5" s="4" t="s">
        <v>251</v>
      </c>
      <c r="E5" s="6" t="s">
        <v>81</v>
      </c>
      <c r="F5" s="29">
        <v>15</v>
      </c>
      <c r="G5" s="26">
        <f>sr</f>
        <v>1100</v>
      </c>
      <c r="H5" s="26">
        <f>F5*G5</f>
        <v>16500</v>
      </c>
      <c r="I5" s="7" t="s">
        <v>30</v>
      </c>
      <c r="J5" s="8" t="s">
        <v>32</v>
      </c>
      <c r="K5" s="156">
        <v>1.05</v>
      </c>
      <c r="L5" s="28">
        <f>rebars</f>
        <v>128644.19</v>
      </c>
      <c r="M5" s="26">
        <f>K5*L5</f>
        <v>135076.3995</v>
      </c>
      <c r="N5" s="8"/>
      <c r="O5" s="6"/>
      <c r="P5" s="29"/>
      <c r="Q5" s="28"/>
      <c r="R5" s="26"/>
    </row>
    <row r="6" spans="1:18">
      <c r="A6" s="2"/>
      <c r="B6" s="714"/>
      <c r="C6" s="66"/>
      <c r="D6" s="4" t="s">
        <v>97</v>
      </c>
      <c r="E6" s="6" t="s">
        <v>81</v>
      </c>
      <c r="F6" s="29">
        <v>15</v>
      </c>
      <c r="G6" s="26">
        <f>ur</f>
        <v>850</v>
      </c>
      <c r="H6" s="26">
        <f>F6*G6</f>
        <v>12750</v>
      </c>
      <c r="I6" s="7" t="s">
        <v>29</v>
      </c>
      <c r="J6" s="8" t="s">
        <v>28</v>
      </c>
      <c r="K6" s="29">
        <v>12</v>
      </c>
      <c r="L6" s="28">
        <f>binding/1000</f>
        <v>104.14419000000001</v>
      </c>
      <c r="M6" s="26">
        <f>K6*L6</f>
        <v>1249.7302800000002</v>
      </c>
      <c r="N6" s="8"/>
      <c r="O6" s="6"/>
      <c r="P6" s="29"/>
      <c r="Q6" s="28"/>
      <c r="R6" s="26"/>
    </row>
    <row r="7" spans="1:18">
      <c r="A7" s="2"/>
      <c r="B7" s="714"/>
      <c r="C7" s="66"/>
      <c r="D7" s="4"/>
      <c r="E7" s="6"/>
      <c r="F7" s="29"/>
      <c r="G7" s="26"/>
      <c r="H7" s="26"/>
      <c r="I7" s="7"/>
      <c r="J7" s="8"/>
      <c r="K7" s="29"/>
      <c r="L7" s="28"/>
      <c r="M7" s="26"/>
      <c r="N7" s="8"/>
      <c r="O7" s="6"/>
      <c r="P7" s="29"/>
      <c r="Q7" s="28"/>
      <c r="R7" s="28"/>
    </row>
    <row r="8" spans="1:18">
      <c r="A8" s="2"/>
      <c r="B8" s="714"/>
      <c r="C8" s="66"/>
      <c r="D8" s="4"/>
      <c r="E8" s="6"/>
      <c r="F8" s="29"/>
      <c r="G8" s="26"/>
      <c r="H8" s="26"/>
      <c r="I8" s="7"/>
      <c r="J8" s="8"/>
      <c r="K8" s="29"/>
      <c r="L8" s="28"/>
      <c r="M8" s="26"/>
      <c r="N8" s="8"/>
      <c r="O8" s="6"/>
      <c r="P8" s="29"/>
      <c r="Q8" s="28"/>
      <c r="R8" s="28"/>
    </row>
    <row r="9" spans="1:18">
      <c r="A9" s="2"/>
      <c r="B9" s="126"/>
      <c r="C9" s="66"/>
      <c r="D9" s="4"/>
      <c r="E9" s="6"/>
      <c r="F9" s="29"/>
      <c r="G9" s="26"/>
      <c r="H9" s="26"/>
      <c r="I9" s="7"/>
      <c r="J9" s="8"/>
      <c r="K9" s="29"/>
      <c r="L9" s="28"/>
      <c r="M9" s="26"/>
      <c r="N9" s="8"/>
      <c r="O9" s="6"/>
      <c r="P9" s="29"/>
      <c r="Q9" s="28"/>
      <c r="R9" s="28"/>
    </row>
    <row r="10" spans="1:18">
      <c r="A10" s="2"/>
      <c r="B10" s="5"/>
      <c r="C10" s="66"/>
      <c r="D10" s="4"/>
      <c r="E10" s="9"/>
      <c r="F10" s="30"/>
      <c r="G10" s="27"/>
      <c r="H10" s="27"/>
      <c r="I10" s="9"/>
      <c r="J10" s="10"/>
      <c r="K10" s="30"/>
      <c r="L10" s="28"/>
      <c r="M10" s="28"/>
      <c r="N10" s="8"/>
      <c r="O10" s="6"/>
      <c r="P10" s="30"/>
      <c r="Q10" s="28"/>
      <c r="R10" s="28"/>
    </row>
    <row r="11" spans="1:18">
      <c r="A11" s="2"/>
      <c r="B11" s="11"/>
      <c r="C11" s="66"/>
      <c r="D11" s="12"/>
      <c r="E11" s="59"/>
      <c r="F11" s="13"/>
      <c r="G11" s="13" t="s">
        <v>20</v>
      </c>
      <c r="H11" s="25">
        <f>SUM(H4:H10)</f>
        <v>29250</v>
      </c>
      <c r="I11" s="703"/>
      <c r="J11" s="703"/>
      <c r="K11" s="14"/>
      <c r="L11" s="13" t="s">
        <v>21</v>
      </c>
      <c r="M11" s="25">
        <f>SUM(M4:M10)</f>
        <v>136326.12977999999</v>
      </c>
      <c r="N11" s="3"/>
      <c r="O11" s="14"/>
      <c r="P11" s="14"/>
      <c r="Q11" s="13" t="s">
        <v>22</v>
      </c>
      <c r="R11" s="25">
        <f>SUM(R4:R10)</f>
        <v>0</v>
      </c>
    </row>
    <row r="12" spans="1:18">
      <c r="A12" s="2"/>
      <c r="B12" s="16" t="s">
        <v>13</v>
      </c>
      <c r="C12" s="67"/>
      <c r="D12" s="14"/>
      <c r="E12" s="14"/>
      <c r="F12" s="14"/>
      <c r="G12" s="13"/>
      <c r="H12" s="35">
        <f>M11+R11+H11</f>
        <v>165576.12977999999</v>
      </c>
      <c r="I12" s="17"/>
      <c r="J12" s="14"/>
      <c r="K12" s="14"/>
      <c r="L12" s="13"/>
      <c r="M12" s="15"/>
      <c r="N12" s="14"/>
      <c r="O12" s="14"/>
      <c r="P12" s="14"/>
      <c r="Q12" s="14"/>
      <c r="R12" s="17"/>
    </row>
    <row r="13" spans="1:18">
      <c r="A13" s="2"/>
      <c r="B13" s="11" t="s">
        <v>25</v>
      </c>
      <c r="C13" s="68"/>
      <c r="D13" s="4"/>
      <c r="E13" s="4"/>
      <c r="F13" s="4"/>
      <c r="G13" s="18"/>
      <c r="H13" s="36">
        <v>0</v>
      </c>
      <c r="I13" s="20"/>
      <c r="J13" s="4" t="s">
        <v>26</v>
      </c>
      <c r="K13" s="4"/>
      <c r="L13" s="18"/>
      <c r="M13" s="19"/>
      <c r="N13" s="4"/>
      <c r="O13" s="4"/>
      <c r="P13" s="4"/>
      <c r="Q13" s="4"/>
      <c r="R13" s="20"/>
    </row>
    <row r="14" spans="1:18">
      <c r="A14" s="23"/>
      <c r="B14" s="11" t="s">
        <v>14</v>
      </c>
      <c r="C14" s="68"/>
      <c r="D14" s="4"/>
      <c r="E14" s="4"/>
      <c r="F14" s="4"/>
      <c r="G14" s="18"/>
      <c r="H14" s="36">
        <f>SUM(H12:H13)</f>
        <v>165576.12977999999</v>
      </c>
      <c r="I14" s="20"/>
      <c r="J14" s="704"/>
      <c r="K14" s="705"/>
      <c r="L14" s="705"/>
      <c r="M14" s="705"/>
      <c r="N14" s="705"/>
      <c r="O14" s="705"/>
      <c r="P14" s="705"/>
      <c r="Q14" s="705"/>
      <c r="R14" s="706"/>
    </row>
    <row r="15" spans="1:18">
      <c r="A15" s="23"/>
      <c r="B15" s="11" t="s">
        <v>24</v>
      </c>
      <c r="C15" s="68"/>
      <c r="D15" s="4"/>
      <c r="E15" s="4"/>
      <c r="F15" s="4"/>
      <c r="G15" s="18"/>
      <c r="H15" s="36">
        <f>H14*15%</f>
        <v>24836.419466999996</v>
      </c>
      <c r="I15" s="20"/>
      <c r="J15" s="707"/>
      <c r="K15" s="708"/>
      <c r="L15" s="708"/>
      <c r="M15" s="708"/>
      <c r="N15" s="708"/>
      <c r="O15" s="708"/>
      <c r="P15" s="708"/>
      <c r="Q15" s="708"/>
      <c r="R15" s="709"/>
    </row>
    <row r="16" spans="1:18">
      <c r="A16" s="23"/>
      <c r="B16" s="11" t="s">
        <v>15</v>
      </c>
      <c r="C16" s="68"/>
      <c r="D16" s="4"/>
      <c r="E16" s="4"/>
      <c r="F16" s="4"/>
      <c r="G16" s="21" t="s">
        <v>16</v>
      </c>
      <c r="H16" s="37">
        <f>H15+H14</f>
        <v>190412.54924699999</v>
      </c>
      <c r="I16" s="38" t="str">
        <f>CONCATENATE("per ",C4)</f>
        <v>per ton</v>
      </c>
      <c r="J16" s="707"/>
      <c r="K16" s="708"/>
      <c r="L16" s="708"/>
      <c r="M16" s="708"/>
      <c r="N16" s="708"/>
      <c r="O16" s="708"/>
      <c r="P16" s="708"/>
      <c r="Q16" s="708"/>
      <c r="R16" s="709"/>
    </row>
    <row r="17" spans="1:18">
      <c r="A17" s="23"/>
      <c r="B17" s="11" t="s">
        <v>18</v>
      </c>
      <c r="C17" s="125" t="s">
        <v>19</v>
      </c>
      <c r="D17" s="4"/>
      <c r="E17" s="4"/>
      <c r="F17" s="4"/>
      <c r="G17" s="21" t="s">
        <v>16</v>
      </c>
      <c r="H17" s="37">
        <f>CEILING(H16,0.5)</f>
        <v>190413</v>
      </c>
      <c r="I17" s="38" t="str">
        <f>CONCATENATE("per ",C4)</f>
        <v>per ton</v>
      </c>
      <c r="J17" s="707"/>
      <c r="K17" s="708"/>
      <c r="L17" s="708"/>
      <c r="M17" s="708"/>
      <c r="N17" s="708"/>
      <c r="O17" s="708"/>
      <c r="P17" s="708"/>
      <c r="Q17" s="708"/>
      <c r="R17" s="709"/>
    </row>
    <row r="18" spans="1:18">
      <c r="A18" s="23"/>
      <c r="B18" s="11"/>
      <c r="C18" s="68"/>
      <c r="D18" s="4"/>
      <c r="E18" s="4"/>
      <c r="F18" s="4"/>
      <c r="G18" s="24" t="s">
        <v>17</v>
      </c>
      <c r="H18" s="37">
        <f>H17/exr</f>
        <v>1464.7153846153847</v>
      </c>
      <c r="I18" s="38" t="str">
        <f>CONCATENATE("per ",C4)</f>
        <v>per ton</v>
      </c>
      <c r="J18" s="710"/>
      <c r="K18" s="711"/>
      <c r="L18" s="711"/>
      <c r="M18" s="711"/>
      <c r="N18" s="711"/>
      <c r="O18" s="711"/>
      <c r="P18" s="711"/>
      <c r="Q18" s="711"/>
      <c r="R18" s="712"/>
    </row>
    <row r="19" spans="1:18">
      <c r="A19" s="39"/>
      <c r="B19" s="40"/>
      <c r="C19" s="69"/>
      <c r="D19" s="41"/>
      <c r="E19" s="41"/>
      <c r="F19" s="41"/>
      <c r="G19" s="149" t="s">
        <v>460</v>
      </c>
      <c r="H19" s="150">
        <f>CEILING(SUM(M5,M6)/H12,0.0025)</f>
        <v>0.82500000000000007</v>
      </c>
      <c r="I19" s="42"/>
      <c r="J19" s="43"/>
      <c r="K19" s="43"/>
      <c r="L19" s="43"/>
      <c r="M19" s="43"/>
      <c r="N19" s="43"/>
      <c r="O19" s="43"/>
      <c r="P19" s="43"/>
      <c r="Q19" s="43"/>
      <c r="R19" s="44"/>
    </row>
    <row r="20" spans="1:18">
      <c r="A20" s="22"/>
      <c r="B20" s="22"/>
      <c r="C20" s="70"/>
      <c r="D20" s="22"/>
      <c r="E20" s="22"/>
      <c r="F20" s="22"/>
      <c r="G20" s="22"/>
      <c r="H20" s="22"/>
      <c r="I20" s="22"/>
      <c r="J20" s="22"/>
      <c r="K20" s="22"/>
      <c r="L20" s="22"/>
      <c r="M20" s="22"/>
      <c r="N20" s="22"/>
      <c r="O20" s="22"/>
      <c r="P20" s="22"/>
      <c r="Q20" s="22"/>
      <c r="R20" s="22"/>
    </row>
    <row r="21" spans="1:18">
      <c r="A21" s="693" t="s">
        <v>0</v>
      </c>
      <c r="B21" s="695" t="s">
        <v>1</v>
      </c>
      <c r="C21" s="695" t="s">
        <v>2</v>
      </c>
      <c r="D21" s="697" t="s">
        <v>3</v>
      </c>
      <c r="E21" s="698"/>
      <c r="F21" s="698"/>
      <c r="G21" s="698"/>
      <c r="H21" s="698"/>
      <c r="I21" s="699" t="s">
        <v>4</v>
      </c>
      <c r="J21" s="700"/>
      <c r="K21" s="700"/>
      <c r="L21" s="700"/>
      <c r="M21" s="700"/>
      <c r="N21" s="698" t="s">
        <v>5</v>
      </c>
      <c r="O21" s="698"/>
      <c r="P21" s="698"/>
      <c r="Q21" s="698"/>
      <c r="R21" s="698"/>
    </row>
    <row r="22" spans="1:18">
      <c r="A22" s="694"/>
      <c r="B22" s="696"/>
      <c r="C22" s="696"/>
      <c r="D22" s="45" t="s">
        <v>6</v>
      </c>
      <c r="E22" s="46" t="s">
        <v>2</v>
      </c>
      <c r="F22" s="46" t="s">
        <v>7</v>
      </c>
      <c r="G22" s="46" t="s">
        <v>8</v>
      </c>
      <c r="H22" s="46" t="s">
        <v>9</v>
      </c>
      <c r="I22" s="46" t="s">
        <v>10</v>
      </c>
      <c r="J22" s="46" t="s">
        <v>2</v>
      </c>
      <c r="K22" s="46" t="s">
        <v>7</v>
      </c>
      <c r="L22" s="46" t="s">
        <v>8</v>
      </c>
      <c r="M22" s="47" t="s">
        <v>9</v>
      </c>
      <c r="N22" s="46" t="s">
        <v>10</v>
      </c>
      <c r="O22" s="46" t="s">
        <v>2</v>
      </c>
      <c r="P22" s="46" t="s">
        <v>7</v>
      </c>
      <c r="Q22" s="46" t="s">
        <v>8</v>
      </c>
      <c r="R22" s="46" t="s">
        <v>9</v>
      </c>
    </row>
    <row r="23" spans="1:18">
      <c r="A23" s="33" t="s">
        <v>23</v>
      </c>
      <c r="B23" s="73" t="s">
        <v>277</v>
      </c>
      <c r="C23" s="65"/>
      <c r="D23" s="31"/>
      <c r="E23" s="31"/>
      <c r="F23" s="31"/>
      <c r="G23" s="31"/>
      <c r="H23" s="31"/>
      <c r="I23" s="31"/>
      <c r="J23" s="31"/>
      <c r="K23" s="31"/>
      <c r="L23" s="31"/>
      <c r="M23" s="31"/>
      <c r="N23" s="31"/>
      <c r="O23" s="31"/>
      <c r="P23" s="31"/>
      <c r="Q23" s="31"/>
      <c r="R23" s="32"/>
    </row>
    <row r="24" spans="1:18">
      <c r="A24" s="34">
        <f>A4+1</f>
        <v>2</v>
      </c>
      <c r="B24" s="713" t="s">
        <v>276</v>
      </c>
      <c r="C24" s="66" t="s">
        <v>113</v>
      </c>
      <c r="D24" s="4"/>
      <c r="E24" s="6"/>
      <c r="F24" s="29"/>
      <c r="G24" s="26"/>
      <c r="H24" s="26"/>
      <c r="I24" s="6"/>
      <c r="J24" s="6"/>
      <c r="K24" s="29"/>
      <c r="L24" s="26"/>
      <c r="M24" s="26"/>
      <c r="N24" s="6"/>
      <c r="O24" s="6"/>
      <c r="P24" s="29"/>
      <c r="Q24" s="26"/>
      <c r="R24" s="26"/>
    </row>
    <row r="25" spans="1:18">
      <c r="A25" s="2"/>
      <c r="B25" s="714"/>
      <c r="C25" s="66"/>
      <c r="D25" s="4" t="s">
        <v>251</v>
      </c>
      <c r="E25" s="6" t="s">
        <v>81</v>
      </c>
      <c r="F25" s="29">
        <v>12</v>
      </c>
      <c r="G25" s="26">
        <f>sr</f>
        <v>1100</v>
      </c>
      <c r="H25" s="26">
        <f>F25*G25</f>
        <v>13200</v>
      </c>
      <c r="I25" s="7" t="s">
        <v>30</v>
      </c>
      <c r="J25" s="8" t="s">
        <v>32</v>
      </c>
      <c r="K25" s="156">
        <v>1.05</v>
      </c>
      <c r="L25" s="28">
        <f>rebars</f>
        <v>128644.19</v>
      </c>
      <c r="M25" s="26">
        <f>K25*L25</f>
        <v>135076.3995</v>
      </c>
      <c r="N25" s="8"/>
      <c r="O25" s="6"/>
      <c r="P25" s="29"/>
      <c r="Q25" s="28"/>
      <c r="R25" s="26"/>
    </row>
    <row r="26" spans="1:18">
      <c r="A26" s="2"/>
      <c r="B26" s="714"/>
      <c r="C26" s="66"/>
      <c r="D26" s="4" t="s">
        <v>97</v>
      </c>
      <c r="E26" s="6" t="s">
        <v>81</v>
      </c>
      <c r="F26" s="29">
        <v>12</v>
      </c>
      <c r="G26" s="26">
        <f>ur</f>
        <v>850</v>
      </c>
      <c r="H26" s="26">
        <f>F26*G26</f>
        <v>10200</v>
      </c>
      <c r="I26" s="7" t="s">
        <v>29</v>
      </c>
      <c r="J26" s="8" t="s">
        <v>28</v>
      </c>
      <c r="K26" s="29">
        <v>10</v>
      </c>
      <c r="L26" s="28">
        <f>binding/1000</f>
        <v>104.14419000000001</v>
      </c>
      <c r="M26" s="26">
        <f>K26*L26</f>
        <v>1041.4419</v>
      </c>
      <c r="N26" s="8"/>
      <c r="O26" s="6"/>
      <c r="P26" s="29"/>
      <c r="Q26" s="28"/>
      <c r="R26" s="26"/>
    </row>
    <row r="27" spans="1:18">
      <c r="A27" s="2"/>
      <c r="B27" s="714"/>
      <c r="C27" s="66"/>
      <c r="D27" s="4"/>
      <c r="E27" s="6"/>
      <c r="F27" s="29"/>
      <c r="G27" s="26"/>
      <c r="H27" s="26"/>
      <c r="I27" s="7"/>
      <c r="J27" s="8"/>
      <c r="K27" s="29"/>
      <c r="L27" s="28"/>
      <c r="M27" s="26"/>
      <c r="N27" s="8"/>
      <c r="O27" s="6"/>
      <c r="P27" s="29"/>
      <c r="Q27" s="28"/>
      <c r="R27" s="28"/>
    </row>
    <row r="28" spans="1:18">
      <c r="A28" s="2"/>
      <c r="B28" s="714"/>
      <c r="C28" s="66"/>
      <c r="D28" s="4"/>
      <c r="E28" s="6"/>
      <c r="F28" s="29"/>
      <c r="G28" s="26"/>
      <c r="H28" s="26"/>
      <c r="I28" s="7"/>
      <c r="J28" s="8"/>
      <c r="K28" s="29"/>
      <c r="L28" s="28"/>
      <c r="M28" s="26"/>
      <c r="N28" s="8"/>
      <c r="O28" s="6"/>
      <c r="P28" s="29"/>
      <c r="Q28" s="28"/>
      <c r="R28" s="28"/>
    </row>
    <row r="29" spans="1:18">
      <c r="A29" s="2"/>
      <c r="B29" s="126"/>
      <c r="C29" s="66"/>
      <c r="D29" s="4"/>
      <c r="E29" s="6"/>
      <c r="F29" s="29"/>
      <c r="G29" s="26"/>
      <c r="H29" s="26"/>
      <c r="I29" s="7"/>
      <c r="J29" s="8"/>
      <c r="K29" s="29"/>
      <c r="L29" s="28"/>
      <c r="M29" s="26"/>
      <c r="N29" s="8"/>
      <c r="O29" s="6"/>
      <c r="P29" s="29"/>
      <c r="Q29" s="28"/>
      <c r="R29" s="28"/>
    </row>
    <row r="30" spans="1:18">
      <c r="A30" s="2"/>
      <c r="B30" s="5"/>
      <c r="C30" s="66"/>
      <c r="D30" s="4"/>
      <c r="E30" s="9"/>
      <c r="F30" s="30"/>
      <c r="G30" s="27"/>
      <c r="H30" s="27"/>
      <c r="I30" s="9"/>
      <c r="J30" s="10"/>
      <c r="K30" s="30"/>
      <c r="L30" s="28"/>
      <c r="M30" s="28"/>
      <c r="N30" s="8"/>
      <c r="O30" s="6"/>
      <c r="P30" s="30"/>
      <c r="Q30" s="28"/>
      <c r="R30" s="28"/>
    </row>
    <row r="31" spans="1:18">
      <c r="A31" s="2"/>
      <c r="B31" s="11"/>
      <c r="C31" s="66"/>
      <c r="D31" s="12"/>
      <c r="E31" s="59"/>
      <c r="F31" s="13"/>
      <c r="G31" s="13" t="s">
        <v>20</v>
      </c>
      <c r="H31" s="25">
        <f>SUM(H24:H30)</f>
        <v>23400</v>
      </c>
      <c r="I31" s="703"/>
      <c r="J31" s="703"/>
      <c r="K31" s="14"/>
      <c r="L31" s="13" t="s">
        <v>21</v>
      </c>
      <c r="M31" s="25">
        <f>SUM(M24:M30)</f>
        <v>136117.8414</v>
      </c>
      <c r="N31" s="3"/>
      <c r="O31" s="14"/>
      <c r="P31" s="14"/>
      <c r="Q31" s="13" t="s">
        <v>22</v>
      </c>
      <c r="R31" s="25">
        <f>SUM(R24:R30)</f>
        <v>0</v>
      </c>
    </row>
    <row r="32" spans="1:18">
      <c r="A32" s="2"/>
      <c r="B32" s="16" t="s">
        <v>13</v>
      </c>
      <c r="C32" s="67"/>
      <c r="D32" s="14"/>
      <c r="E32" s="14"/>
      <c r="F32" s="14"/>
      <c r="G32" s="13"/>
      <c r="H32" s="35">
        <f>M31+R31+H31</f>
        <v>159517.8414</v>
      </c>
      <c r="I32" s="17"/>
      <c r="J32" s="14"/>
      <c r="K32" s="14"/>
      <c r="L32" s="13"/>
      <c r="M32" s="15"/>
      <c r="N32" s="14"/>
      <c r="O32" s="14"/>
      <c r="P32" s="14"/>
      <c r="Q32" s="14"/>
      <c r="R32" s="17"/>
    </row>
    <row r="33" spans="1:18">
      <c r="A33" s="2"/>
      <c r="B33" s="11" t="s">
        <v>25</v>
      </c>
      <c r="C33" s="68"/>
      <c r="D33" s="4"/>
      <c r="E33" s="4"/>
      <c r="F33" s="4"/>
      <c r="G33" s="18"/>
      <c r="H33" s="36">
        <v>0</v>
      </c>
      <c r="I33" s="20"/>
      <c r="J33" s="4" t="s">
        <v>26</v>
      </c>
      <c r="K33" s="4"/>
      <c r="L33" s="18"/>
      <c r="M33" s="19"/>
      <c r="N33" s="4"/>
      <c r="O33" s="4"/>
      <c r="P33" s="4"/>
      <c r="Q33" s="4"/>
      <c r="R33" s="20"/>
    </row>
    <row r="34" spans="1:18">
      <c r="A34" s="23"/>
      <c r="B34" s="11" t="s">
        <v>14</v>
      </c>
      <c r="C34" s="68"/>
      <c r="D34" s="4"/>
      <c r="E34" s="4"/>
      <c r="F34" s="4"/>
      <c r="G34" s="18"/>
      <c r="H34" s="36">
        <f>SUM(H32:H33)</f>
        <v>159517.8414</v>
      </c>
      <c r="I34" s="20"/>
      <c r="J34" s="704"/>
      <c r="K34" s="705"/>
      <c r="L34" s="705"/>
      <c r="M34" s="705"/>
      <c r="N34" s="705"/>
      <c r="O34" s="705"/>
      <c r="P34" s="705"/>
      <c r="Q34" s="705"/>
      <c r="R34" s="706"/>
    </row>
    <row r="35" spans="1:18">
      <c r="A35" s="23"/>
      <c r="B35" s="11" t="s">
        <v>24</v>
      </c>
      <c r="C35" s="68"/>
      <c r="D35" s="4"/>
      <c r="E35" s="4"/>
      <c r="F35" s="4"/>
      <c r="G35" s="18"/>
      <c r="H35" s="36">
        <f>H34*15%</f>
        <v>23927.676210000001</v>
      </c>
      <c r="I35" s="20"/>
      <c r="J35" s="707"/>
      <c r="K35" s="708"/>
      <c r="L35" s="708"/>
      <c r="M35" s="708"/>
      <c r="N35" s="708"/>
      <c r="O35" s="708"/>
      <c r="P35" s="708"/>
      <c r="Q35" s="708"/>
      <c r="R35" s="709"/>
    </row>
    <row r="36" spans="1:18">
      <c r="A36" s="23"/>
      <c r="B36" s="11" t="s">
        <v>15</v>
      </c>
      <c r="C36" s="68"/>
      <c r="D36" s="4"/>
      <c r="E36" s="4"/>
      <c r="F36" s="4"/>
      <c r="G36" s="21" t="s">
        <v>16</v>
      </c>
      <c r="H36" s="37">
        <f>H35+H34</f>
        <v>183445.51761000001</v>
      </c>
      <c r="I36" s="38" t="str">
        <f>CONCATENATE("per ",C24)</f>
        <v>per ton</v>
      </c>
      <c r="J36" s="707"/>
      <c r="K36" s="708"/>
      <c r="L36" s="708"/>
      <c r="M36" s="708"/>
      <c r="N36" s="708"/>
      <c r="O36" s="708"/>
      <c r="P36" s="708"/>
      <c r="Q36" s="708"/>
      <c r="R36" s="709"/>
    </row>
    <row r="37" spans="1:18">
      <c r="A37" s="23"/>
      <c r="B37" s="11" t="s">
        <v>18</v>
      </c>
      <c r="C37" s="125" t="s">
        <v>19</v>
      </c>
      <c r="D37" s="4"/>
      <c r="E37" s="4"/>
      <c r="F37" s="4"/>
      <c r="G37" s="21" t="s">
        <v>16</v>
      </c>
      <c r="H37" s="37">
        <f>CEILING(H36,0.5)</f>
        <v>183446</v>
      </c>
      <c r="I37" s="38" t="str">
        <f>CONCATENATE("per ",C24)</f>
        <v>per ton</v>
      </c>
      <c r="J37" s="707"/>
      <c r="K37" s="708"/>
      <c r="L37" s="708"/>
      <c r="M37" s="708"/>
      <c r="N37" s="708"/>
      <c r="O37" s="708"/>
      <c r="P37" s="708"/>
      <c r="Q37" s="708"/>
      <c r="R37" s="709"/>
    </row>
    <row r="38" spans="1:18">
      <c r="A38" s="23"/>
      <c r="B38" s="11"/>
      <c r="C38" s="68"/>
      <c r="D38" s="4"/>
      <c r="E38" s="4"/>
      <c r="F38" s="4"/>
      <c r="G38" s="24" t="s">
        <v>17</v>
      </c>
      <c r="H38" s="37">
        <f>H37/exr</f>
        <v>1411.123076923077</v>
      </c>
      <c r="I38" s="38" t="str">
        <f>CONCATENATE("per ",C24)</f>
        <v>per ton</v>
      </c>
      <c r="J38" s="710"/>
      <c r="K38" s="711"/>
      <c r="L38" s="711"/>
      <c r="M38" s="711"/>
      <c r="N38" s="711"/>
      <c r="O38" s="711"/>
      <c r="P38" s="711"/>
      <c r="Q38" s="711"/>
      <c r="R38" s="712"/>
    </row>
    <row r="39" spans="1:18">
      <c r="A39" s="39"/>
      <c r="B39" s="40"/>
      <c r="C39" s="69"/>
      <c r="D39" s="41"/>
      <c r="E39" s="41"/>
      <c r="F39" s="41"/>
      <c r="G39" s="149" t="s">
        <v>460</v>
      </c>
      <c r="H39" s="150">
        <f>CEILING(SUM(M25,M26)/H32,0.0025)</f>
        <v>0.85499999999999998</v>
      </c>
      <c r="I39" s="42"/>
      <c r="J39" s="43"/>
      <c r="K39" s="43"/>
      <c r="L39" s="43"/>
      <c r="M39" s="43"/>
      <c r="N39" s="43"/>
      <c r="O39" s="43"/>
      <c r="P39" s="43"/>
      <c r="Q39" s="43"/>
      <c r="R39" s="44"/>
    </row>
    <row r="41" spans="1:18">
      <c r="A41" s="693" t="s">
        <v>0</v>
      </c>
      <c r="B41" s="695" t="s">
        <v>1</v>
      </c>
      <c r="C41" s="695" t="s">
        <v>2</v>
      </c>
      <c r="D41" s="697" t="s">
        <v>3</v>
      </c>
      <c r="E41" s="698"/>
      <c r="F41" s="698"/>
      <c r="G41" s="698"/>
      <c r="H41" s="698"/>
      <c r="I41" s="699" t="s">
        <v>4</v>
      </c>
      <c r="J41" s="700"/>
      <c r="K41" s="700"/>
      <c r="L41" s="700"/>
      <c r="M41" s="700"/>
      <c r="N41" s="698" t="s">
        <v>5</v>
      </c>
      <c r="O41" s="698"/>
      <c r="P41" s="698"/>
      <c r="Q41" s="698"/>
      <c r="R41" s="698"/>
    </row>
    <row r="42" spans="1:18">
      <c r="A42" s="694"/>
      <c r="B42" s="696"/>
      <c r="C42" s="696"/>
      <c r="D42" s="45" t="s">
        <v>6</v>
      </c>
      <c r="E42" s="46" t="s">
        <v>2</v>
      </c>
      <c r="F42" s="46" t="s">
        <v>7</v>
      </c>
      <c r="G42" s="46" t="s">
        <v>8</v>
      </c>
      <c r="H42" s="46" t="s">
        <v>9</v>
      </c>
      <c r="I42" s="46" t="s">
        <v>10</v>
      </c>
      <c r="J42" s="46" t="s">
        <v>2</v>
      </c>
      <c r="K42" s="46" t="s">
        <v>7</v>
      </c>
      <c r="L42" s="46" t="s">
        <v>8</v>
      </c>
      <c r="M42" s="47" t="s">
        <v>9</v>
      </c>
      <c r="N42" s="46" t="s">
        <v>10</v>
      </c>
      <c r="O42" s="46" t="s">
        <v>2</v>
      </c>
      <c r="P42" s="46" t="s">
        <v>7</v>
      </c>
      <c r="Q42" s="46" t="s">
        <v>8</v>
      </c>
      <c r="R42" s="46" t="s">
        <v>9</v>
      </c>
    </row>
    <row r="43" spans="1:18">
      <c r="A43" s="33" t="s">
        <v>23</v>
      </c>
      <c r="B43" s="73" t="s">
        <v>278</v>
      </c>
      <c r="C43" s="65"/>
      <c r="D43" s="31"/>
      <c r="E43" s="31"/>
      <c r="F43" s="31"/>
      <c r="G43" s="31"/>
      <c r="H43" s="31"/>
      <c r="I43" s="31"/>
      <c r="J43" s="31"/>
      <c r="K43" s="31"/>
      <c r="L43" s="31"/>
      <c r="M43" s="31"/>
      <c r="N43" s="31"/>
      <c r="O43" s="31"/>
      <c r="P43" s="31"/>
      <c r="Q43" s="31"/>
      <c r="R43" s="32"/>
    </row>
    <row r="44" spans="1:18">
      <c r="A44" s="34">
        <f>A24+1</f>
        <v>3</v>
      </c>
      <c r="B44" s="713" t="s">
        <v>279</v>
      </c>
      <c r="C44" s="66" t="s">
        <v>113</v>
      </c>
      <c r="D44" s="4"/>
      <c r="E44" s="6"/>
      <c r="F44" s="29"/>
      <c r="G44" s="26"/>
      <c r="H44" s="26"/>
      <c r="I44" s="6"/>
      <c r="J44" s="6"/>
      <c r="K44" s="29"/>
      <c r="L44" s="26"/>
      <c r="M44" s="26"/>
      <c r="N44" s="6"/>
      <c r="O44" s="6"/>
      <c r="P44" s="29"/>
      <c r="Q44" s="26"/>
      <c r="R44" s="26"/>
    </row>
    <row r="45" spans="1:18">
      <c r="A45" s="2"/>
      <c r="B45" s="714"/>
      <c r="C45" s="66"/>
      <c r="D45" s="4" t="s">
        <v>251</v>
      </c>
      <c r="E45" s="6" t="s">
        <v>81</v>
      </c>
      <c r="F45" s="29">
        <v>9</v>
      </c>
      <c r="G45" s="26">
        <f>sr</f>
        <v>1100</v>
      </c>
      <c r="H45" s="26">
        <f>F45*G45</f>
        <v>9900</v>
      </c>
      <c r="I45" s="7" t="s">
        <v>30</v>
      </c>
      <c r="J45" s="8" t="s">
        <v>32</v>
      </c>
      <c r="K45" s="156">
        <v>1.05</v>
      </c>
      <c r="L45" s="28">
        <f>rebars</f>
        <v>128644.19</v>
      </c>
      <c r="M45" s="26">
        <f>K45*L45</f>
        <v>135076.3995</v>
      </c>
      <c r="N45" s="8"/>
      <c r="O45" s="6"/>
      <c r="P45" s="29"/>
      <c r="Q45" s="28"/>
      <c r="R45" s="26"/>
    </row>
    <row r="46" spans="1:18">
      <c r="A46" s="2"/>
      <c r="B46" s="714"/>
      <c r="C46" s="66"/>
      <c r="D46" s="4" t="s">
        <v>97</v>
      </c>
      <c r="E46" s="6" t="s">
        <v>81</v>
      </c>
      <c r="F46" s="29">
        <v>9</v>
      </c>
      <c r="G46" s="26">
        <f>ur</f>
        <v>850</v>
      </c>
      <c r="H46" s="26">
        <f>F46*G46</f>
        <v>7650</v>
      </c>
      <c r="I46" s="7" t="s">
        <v>29</v>
      </c>
      <c r="J46" s="8" t="s">
        <v>28</v>
      </c>
      <c r="K46" s="29">
        <v>9</v>
      </c>
      <c r="L46" s="28">
        <f>binding/1000</f>
        <v>104.14419000000001</v>
      </c>
      <c r="M46" s="26">
        <f>K46*L46</f>
        <v>937.29771000000005</v>
      </c>
      <c r="N46" s="8"/>
      <c r="O46" s="6"/>
      <c r="P46" s="29"/>
      <c r="Q46" s="28"/>
      <c r="R46" s="26"/>
    </row>
    <row r="47" spans="1:18">
      <c r="A47" s="2"/>
      <c r="B47" s="714"/>
      <c r="C47" s="66"/>
      <c r="D47" s="4"/>
      <c r="E47" s="6"/>
      <c r="F47" s="29"/>
      <c r="G47" s="26"/>
      <c r="H47" s="26"/>
      <c r="I47" s="7"/>
      <c r="J47" s="8"/>
      <c r="K47" s="29"/>
      <c r="L47" s="28"/>
      <c r="M47" s="26"/>
      <c r="N47" s="8"/>
      <c r="O47" s="6"/>
      <c r="P47" s="29"/>
      <c r="Q47" s="28"/>
      <c r="R47" s="28"/>
    </row>
    <row r="48" spans="1:18">
      <c r="A48" s="2"/>
      <c r="B48" s="714"/>
      <c r="C48" s="66"/>
      <c r="D48" s="4"/>
      <c r="E48" s="6"/>
      <c r="F48" s="29"/>
      <c r="G48" s="26"/>
      <c r="H48" s="26"/>
      <c r="I48" s="7"/>
      <c r="J48" s="8"/>
      <c r="K48" s="29"/>
      <c r="L48" s="28"/>
      <c r="M48" s="26"/>
      <c r="N48" s="8"/>
      <c r="O48" s="6"/>
      <c r="P48" s="29"/>
      <c r="Q48" s="28"/>
      <c r="R48" s="28"/>
    </row>
    <row r="49" spans="1:18">
      <c r="A49" s="2"/>
      <c r="B49" s="126"/>
      <c r="C49" s="66"/>
      <c r="D49" s="4"/>
      <c r="E49" s="6"/>
      <c r="F49" s="29"/>
      <c r="G49" s="26"/>
      <c r="H49" s="26"/>
      <c r="I49" s="7"/>
      <c r="J49" s="8"/>
      <c r="K49" s="29"/>
      <c r="L49" s="28"/>
      <c r="M49" s="26"/>
      <c r="N49" s="8"/>
      <c r="O49" s="6"/>
      <c r="P49" s="29"/>
      <c r="Q49" s="28"/>
      <c r="R49" s="28"/>
    </row>
    <row r="50" spans="1:18">
      <c r="A50" s="2"/>
      <c r="B50" s="5"/>
      <c r="C50" s="66"/>
      <c r="D50" s="4"/>
      <c r="E50" s="9"/>
      <c r="F50" s="30"/>
      <c r="G50" s="27"/>
      <c r="H50" s="27"/>
      <c r="I50" s="9"/>
      <c r="J50" s="10"/>
      <c r="K50" s="30"/>
      <c r="L50" s="28"/>
      <c r="M50" s="28"/>
      <c r="N50" s="8"/>
      <c r="O50" s="6"/>
      <c r="P50" s="30"/>
      <c r="Q50" s="28"/>
      <c r="R50" s="28"/>
    </row>
    <row r="51" spans="1:18">
      <c r="A51" s="2"/>
      <c r="B51" s="11"/>
      <c r="C51" s="66"/>
      <c r="D51" s="12"/>
      <c r="E51" s="59"/>
      <c r="F51" s="13"/>
      <c r="G51" s="13" t="s">
        <v>20</v>
      </c>
      <c r="H51" s="25">
        <f>SUM(H44:H50)</f>
        <v>17550</v>
      </c>
      <c r="I51" s="703"/>
      <c r="J51" s="703"/>
      <c r="K51" s="14"/>
      <c r="L51" s="13" t="s">
        <v>21</v>
      </c>
      <c r="M51" s="25">
        <f>SUM(M44:M50)</f>
        <v>136013.69721000001</v>
      </c>
      <c r="N51" s="3"/>
      <c r="O51" s="14"/>
      <c r="P51" s="14"/>
      <c r="Q51" s="13" t="s">
        <v>22</v>
      </c>
      <c r="R51" s="25">
        <f>SUM(R44:R50)</f>
        <v>0</v>
      </c>
    </row>
    <row r="52" spans="1:18">
      <c r="A52" s="2"/>
      <c r="B52" s="16" t="s">
        <v>13</v>
      </c>
      <c r="C52" s="67"/>
      <c r="D52" s="14"/>
      <c r="E52" s="14"/>
      <c r="F52" s="14"/>
      <c r="G52" s="13"/>
      <c r="H52" s="35">
        <f>M51+R51+H51</f>
        <v>153563.69721000001</v>
      </c>
      <c r="I52" s="17"/>
      <c r="J52" s="14"/>
      <c r="K52" s="14"/>
      <c r="L52" s="13"/>
      <c r="M52" s="15"/>
      <c r="N52" s="14"/>
      <c r="O52" s="14"/>
      <c r="P52" s="14"/>
      <c r="Q52" s="14"/>
      <c r="R52" s="17"/>
    </row>
    <row r="53" spans="1:18">
      <c r="A53" s="2"/>
      <c r="B53" s="11" t="s">
        <v>25</v>
      </c>
      <c r="C53" s="68"/>
      <c r="D53" s="4"/>
      <c r="E53" s="4"/>
      <c r="F53" s="4"/>
      <c r="G53" s="18"/>
      <c r="H53" s="36">
        <v>0</v>
      </c>
      <c r="I53" s="20"/>
      <c r="J53" s="4" t="s">
        <v>26</v>
      </c>
      <c r="K53" s="4"/>
      <c r="L53" s="18"/>
      <c r="M53" s="19"/>
      <c r="N53" s="4"/>
      <c r="O53" s="4"/>
      <c r="P53" s="4"/>
      <c r="Q53" s="4"/>
      <c r="R53" s="20"/>
    </row>
    <row r="54" spans="1:18">
      <c r="A54" s="23"/>
      <c r="B54" s="11" t="s">
        <v>14</v>
      </c>
      <c r="C54" s="68"/>
      <c r="D54" s="4"/>
      <c r="E54" s="4"/>
      <c r="F54" s="4"/>
      <c r="G54" s="18"/>
      <c r="H54" s="36">
        <f>SUM(H52:H53)</f>
        <v>153563.69721000001</v>
      </c>
      <c r="I54" s="20"/>
      <c r="J54" s="704"/>
      <c r="K54" s="705"/>
      <c r="L54" s="705"/>
      <c r="M54" s="705"/>
      <c r="N54" s="705"/>
      <c r="O54" s="705"/>
      <c r="P54" s="705"/>
      <c r="Q54" s="705"/>
      <c r="R54" s="706"/>
    </row>
    <row r="55" spans="1:18">
      <c r="A55" s="23"/>
      <c r="B55" s="11" t="s">
        <v>24</v>
      </c>
      <c r="C55" s="68"/>
      <c r="D55" s="4"/>
      <c r="E55" s="4"/>
      <c r="F55" s="4"/>
      <c r="G55" s="18"/>
      <c r="H55" s="36">
        <f>H54*15%</f>
        <v>23034.5545815</v>
      </c>
      <c r="I55" s="20"/>
      <c r="J55" s="707"/>
      <c r="K55" s="708"/>
      <c r="L55" s="708"/>
      <c r="M55" s="708"/>
      <c r="N55" s="708"/>
      <c r="O55" s="708"/>
      <c r="P55" s="708"/>
      <c r="Q55" s="708"/>
      <c r="R55" s="709"/>
    </row>
    <row r="56" spans="1:18">
      <c r="A56" s="23"/>
      <c r="B56" s="11" t="s">
        <v>15</v>
      </c>
      <c r="C56" s="68"/>
      <c r="D56" s="4"/>
      <c r="E56" s="4"/>
      <c r="F56" s="4"/>
      <c r="G56" s="21" t="s">
        <v>16</v>
      </c>
      <c r="H56" s="37">
        <f>H55+H54</f>
        <v>176598.25179150002</v>
      </c>
      <c r="I56" s="38" t="str">
        <f>CONCATENATE("per ",C44)</f>
        <v>per ton</v>
      </c>
      <c r="J56" s="707"/>
      <c r="K56" s="708"/>
      <c r="L56" s="708"/>
      <c r="M56" s="708"/>
      <c r="N56" s="708"/>
      <c r="O56" s="708"/>
      <c r="P56" s="708"/>
      <c r="Q56" s="708"/>
      <c r="R56" s="709"/>
    </row>
    <row r="57" spans="1:18">
      <c r="A57" s="23"/>
      <c r="B57" s="11" t="s">
        <v>18</v>
      </c>
      <c r="C57" s="125" t="s">
        <v>19</v>
      </c>
      <c r="D57" s="4"/>
      <c r="E57" s="4"/>
      <c r="F57" s="4"/>
      <c r="G57" s="21" t="s">
        <v>16</v>
      </c>
      <c r="H57" s="37">
        <f>CEILING(H56,0.5)</f>
        <v>176598.5</v>
      </c>
      <c r="I57" s="38" t="str">
        <f>CONCATENATE("per ",C44)</f>
        <v>per ton</v>
      </c>
      <c r="J57" s="707"/>
      <c r="K57" s="708"/>
      <c r="L57" s="708"/>
      <c r="M57" s="708"/>
      <c r="N57" s="708"/>
      <c r="O57" s="708"/>
      <c r="P57" s="708"/>
      <c r="Q57" s="708"/>
      <c r="R57" s="709"/>
    </row>
    <row r="58" spans="1:18">
      <c r="A58" s="23"/>
      <c r="B58" s="11"/>
      <c r="C58" s="68"/>
      <c r="D58" s="4"/>
      <c r="E58" s="4"/>
      <c r="F58" s="4"/>
      <c r="G58" s="24" t="s">
        <v>17</v>
      </c>
      <c r="H58" s="37"/>
      <c r="I58" s="38" t="str">
        <f>CONCATENATE("per ",C44)</f>
        <v>per ton</v>
      </c>
      <c r="J58" s="710"/>
      <c r="K58" s="711"/>
      <c r="L58" s="711"/>
      <c r="M58" s="711"/>
      <c r="N58" s="711"/>
      <c r="O58" s="711"/>
      <c r="P58" s="711"/>
      <c r="Q58" s="711"/>
      <c r="R58" s="712"/>
    </row>
    <row r="59" spans="1:18">
      <c r="A59" s="39"/>
      <c r="B59" s="40"/>
      <c r="C59" s="69"/>
      <c r="D59" s="41"/>
      <c r="E59" s="41"/>
      <c r="F59" s="41"/>
      <c r="G59" s="149" t="s">
        <v>460</v>
      </c>
      <c r="H59" s="150">
        <f>CEILING(SUM(M45,M46)/H52,0.0025)</f>
        <v>0.88750000000000007</v>
      </c>
      <c r="I59" s="42"/>
      <c r="J59" s="43"/>
      <c r="K59" s="43"/>
      <c r="L59" s="43"/>
      <c r="M59" s="43"/>
      <c r="N59" s="43"/>
      <c r="O59" s="43"/>
      <c r="P59" s="43"/>
      <c r="Q59" s="43"/>
      <c r="R59" s="44"/>
    </row>
  </sheetData>
  <mergeCells count="27">
    <mergeCell ref="B44:B48"/>
    <mergeCell ref="I51:J51"/>
    <mergeCell ref="J54:R58"/>
    <mergeCell ref="J34:R38"/>
    <mergeCell ref="A41:A42"/>
    <mergeCell ref="B41:B42"/>
    <mergeCell ref="C41:C42"/>
    <mergeCell ref="D41:H41"/>
    <mergeCell ref="I41:M41"/>
    <mergeCell ref="N41:R41"/>
    <mergeCell ref="A21:A22"/>
    <mergeCell ref="B21:B22"/>
    <mergeCell ref="C21:C22"/>
    <mergeCell ref="D21:H21"/>
    <mergeCell ref="I21:M21"/>
    <mergeCell ref="N21:R21"/>
    <mergeCell ref="B24:B28"/>
    <mergeCell ref="I31:J31"/>
    <mergeCell ref="B4:B8"/>
    <mergeCell ref="I11:J11"/>
    <mergeCell ref="J14:R18"/>
    <mergeCell ref="N1:R1"/>
    <mergeCell ref="A1:A2"/>
    <mergeCell ref="B1:B2"/>
    <mergeCell ref="C1:C2"/>
    <mergeCell ref="D1:H1"/>
    <mergeCell ref="I1:M1"/>
  </mergeCells>
  <printOptions horizontalCentered="1"/>
  <pageMargins left="0.7" right="0.7" top="0.75" bottom="0.75" header="0.3" footer="0.3"/>
  <pageSetup paperSize="9" scale="66"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1" manualBreakCount="1">
    <brk id="39"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workbookViewId="0">
      <selection sqref="A1:A2"/>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140625" style="1"/>
    <col min="8" max="8" width="11.42578125" style="1" customWidth="1"/>
    <col min="9" max="9" width="18.42578125" style="1" customWidth="1"/>
    <col min="10" max="10" width="5.28515625" style="1" customWidth="1"/>
    <col min="11" max="11" width="9.140625" style="1"/>
    <col min="12" max="12" width="9.85546875" style="1" bestFit="1" customWidth="1"/>
    <col min="13" max="13" width="11.85546875" style="1" customWidth="1"/>
    <col min="14" max="14" width="16.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274</v>
      </c>
      <c r="C3" s="65"/>
      <c r="D3" s="31"/>
      <c r="E3" s="31"/>
      <c r="F3" s="31"/>
      <c r="G3" s="31"/>
      <c r="H3" s="31"/>
      <c r="I3" s="31"/>
      <c r="J3" s="31"/>
      <c r="K3" s="31"/>
      <c r="L3" s="31"/>
      <c r="M3" s="31"/>
      <c r="N3" s="31"/>
      <c r="O3" s="31"/>
      <c r="P3" s="31"/>
      <c r="Q3" s="31"/>
      <c r="R3" s="32"/>
    </row>
    <row r="4" spans="1:18" ht="15.75" customHeight="1">
      <c r="A4" s="34">
        <v>1</v>
      </c>
      <c r="B4" s="713" t="s">
        <v>275</v>
      </c>
      <c r="C4" s="66" t="s">
        <v>113</v>
      </c>
      <c r="D4" s="4"/>
      <c r="E4" s="6"/>
      <c r="F4" s="29"/>
      <c r="G4" s="26"/>
      <c r="H4" s="26"/>
      <c r="I4" s="6"/>
      <c r="J4" s="6"/>
      <c r="K4" s="29"/>
      <c r="L4" s="26"/>
      <c r="M4" s="26"/>
      <c r="N4" s="6"/>
      <c r="O4" s="6"/>
      <c r="P4" s="29"/>
      <c r="Q4" s="26"/>
      <c r="R4" s="26"/>
    </row>
    <row r="5" spans="1:18">
      <c r="A5" s="2"/>
      <c r="B5" s="714"/>
      <c r="C5" s="66"/>
      <c r="D5" s="4" t="s">
        <v>251</v>
      </c>
      <c r="E5" s="6" t="s">
        <v>81</v>
      </c>
      <c r="F5" s="29">
        <v>15</v>
      </c>
      <c r="G5" s="26">
        <f>sr</f>
        <v>1100</v>
      </c>
      <c r="H5" s="26">
        <f>F5*G5</f>
        <v>16500</v>
      </c>
      <c r="I5" s="7" t="s">
        <v>30</v>
      </c>
      <c r="J5" s="8" t="s">
        <v>32</v>
      </c>
      <c r="K5" s="156">
        <v>1.05</v>
      </c>
      <c r="L5" s="28">
        <f>rebars</f>
        <v>128644.19</v>
      </c>
      <c r="M5" s="26">
        <f>K5*L5</f>
        <v>135076.3995</v>
      </c>
      <c r="N5" s="8"/>
      <c r="O5" s="6"/>
      <c r="P5" s="29"/>
      <c r="Q5" s="28"/>
      <c r="R5" s="26"/>
    </row>
    <row r="6" spans="1:18">
      <c r="A6" s="2"/>
      <c r="B6" s="714"/>
      <c r="C6" s="66"/>
      <c r="D6" s="4" t="s">
        <v>97</v>
      </c>
      <c r="E6" s="6" t="s">
        <v>81</v>
      </c>
      <c r="F6" s="29">
        <v>15</v>
      </c>
      <c r="G6" s="26">
        <f>ur</f>
        <v>850</v>
      </c>
      <c r="H6" s="26">
        <f>F6*G6</f>
        <v>12750</v>
      </c>
      <c r="I6" s="7" t="s">
        <v>29</v>
      </c>
      <c r="J6" s="8" t="s">
        <v>28</v>
      </c>
      <c r="K6" s="29">
        <v>12</v>
      </c>
      <c r="L6" s="28">
        <f>binding/1000</f>
        <v>104.14419000000001</v>
      </c>
      <c r="M6" s="26">
        <f>K6*L6</f>
        <v>1249.7302800000002</v>
      </c>
      <c r="N6" s="8"/>
      <c r="O6" s="6"/>
      <c r="P6" s="29"/>
      <c r="Q6" s="28"/>
      <c r="R6" s="26"/>
    </row>
    <row r="7" spans="1:18">
      <c r="A7" s="2"/>
      <c r="B7" s="714"/>
      <c r="C7" s="66"/>
      <c r="D7" s="4"/>
      <c r="E7" s="6"/>
      <c r="F7" s="29"/>
      <c r="G7" s="26"/>
      <c r="H7" s="26"/>
      <c r="I7" s="7"/>
      <c r="J7" s="8"/>
      <c r="K7" s="29"/>
      <c r="L7" s="28"/>
      <c r="M7" s="26"/>
      <c r="N7" s="8"/>
      <c r="O7" s="6"/>
      <c r="P7" s="29"/>
      <c r="Q7" s="28"/>
      <c r="R7" s="28"/>
    </row>
    <row r="8" spans="1:18">
      <c r="A8" s="2"/>
      <c r="B8" s="714"/>
      <c r="C8" s="66"/>
      <c r="D8" s="4"/>
      <c r="E8" s="6"/>
      <c r="F8" s="29"/>
      <c r="G8" s="26"/>
      <c r="H8" s="26"/>
      <c r="I8" s="7"/>
      <c r="J8" s="8"/>
      <c r="K8" s="29"/>
      <c r="L8" s="28"/>
      <c r="M8" s="26"/>
      <c r="N8" s="8"/>
      <c r="O8" s="6"/>
      <c r="P8" s="29"/>
      <c r="Q8" s="28"/>
      <c r="R8" s="28"/>
    </row>
    <row r="9" spans="1:18">
      <c r="A9" s="2"/>
      <c r="B9" s="126"/>
      <c r="C9" s="66"/>
      <c r="D9" s="4"/>
      <c r="E9" s="6"/>
      <c r="F9" s="29"/>
      <c r="G9" s="26"/>
      <c r="H9" s="26"/>
      <c r="I9" s="7"/>
      <c r="J9" s="8"/>
      <c r="K9" s="29"/>
      <c r="L9" s="28"/>
      <c r="M9" s="26"/>
      <c r="N9" s="8"/>
      <c r="O9" s="6"/>
      <c r="P9" s="29"/>
      <c r="Q9" s="28"/>
      <c r="R9" s="28"/>
    </row>
    <row r="10" spans="1:18">
      <c r="A10" s="2"/>
      <c r="B10" s="5"/>
      <c r="C10" s="66"/>
      <c r="D10" s="4"/>
      <c r="E10" s="9"/>
      <c r="F10" s="30"/>
      <c r="G10" s="27"/>
      <c r="H10" s="27"/>
      <c r="I10" s="9"/>
      <c r="J10" s="10"/>
      <c r="K10" s="30"/>
      <c r="L10" s="28"/>
      <c r="M10" s="28"/>
      <c r="N10" s="8"/>
      <c r="O10" s="6"/>
      <c r="P10" s="30"/>
      <c r="Q10" s="28"/>
      <c r="R10" s="28"/>
    </row>
    <row r="11" spans="1:18">
      <c r="A11" s="2"/>
      <c r="B11" s="11"/>
      <c r="C11" s="66"/>
      <c r="D11" s="12"/>
      <c r="E11" s="59"/>
      <c r="F11" s="13"/>
      <c r="G11" s="13" t="s">
        <v>20</v>
      </c>
      <c r="H11" s="25">
        <f>SUM(H4:H10)</f>
        <v>29250</v>
      </c>
      <c r="I11" s="703"/>
      <c r="J11" s="703"/>
      <c r="K11" s="14"/>
      <c r="L11" s="13" t="s">
        <v>21</v>
      </c>
      <c r="M11" s="25">
        <f>SUM(M4:M10)</f>
        <v>136326.12977999999</v>
      </c>
      <c r="N11" s="3"/>
      <c r="O11" s="14"/>
      <c r="P11" s="14"/>
      <c r="Q11" s="13" t="s">
        <v>22</v>
      </c>
      <c r="R11" s="25">
        <f>SUM(R4:R10)</f>
        <v>0</v>
      </c>
    </row>
    <row r="12" spans="1:18">
      <c r="A12" s="2"/>
      <c r="B12" s="16" t="s">
        <v>13</v>
      </c>
      <c r="C12" s="67"/>
      <c r="D12" s="14"/>
      <c r="E12" s="14"/>
      <c r="F12" s="14"/>
      <c r="G12" s="13"/>
      <c r="H12" s="35">
        <f>M11+R11+H11</f>
        <v>165576.12977999999</v>
      </c>
      <c r="I12" s="17"/>
      <c r="J12" s="14"/>
      <c r="K12" s="14"/>
      <c r="L12" s="13"/>
      <c r="M12" s="15"/>
      <c r="N12" s="14"/>
      <c r="O12" s="14"/>
      <c r="P12" s="14"/>
      <c r="Q12" s="14"/>
      <c r="R12" s="17"/>
    </row>
    <row r="13" spans="1:18">
      <c r="A13" s="2"/>
      <c r="B13" s="11" t="s">
        <v>25</v>
      </c>
      <c r="C13" s="4" t="s">
        <v>647</v>
      </c>
      <c r="D13" s="4"/>
      <c r="E13" s="4"/>
      <c r="F13" s="4"/>
      <c r="G13" s="18"/>
      <c r="H13" s="36">
        <f>20%*H11</f>
        <v>5850</v>
      </c>
      <c r="I13" s="20"/>
      <c r="J13" s="4" t="s">
        <v>26</v>
      </c>
      <c r="K13" s="4"/>
      <c r="L13" s="18"/>
      <c r="M13" s="19"/>
      <c r="N13" s="4"/>
      <c r="O13" s="4"/>
      <c r="P13" s="4"/>
      <c r="Q13" s="4"/>
      <c r="R13" s="20"/>
    </row>
    <row r="14" spans="1:18">
      <c r="A14" s="23"/>
      <c r="B14" s="11" t="s">
        <v>14</v>
      </c>
      <c r="C14" s="68"/>
      <c r="D14" s="4"/>
      <c r="E14" s="4"/>
      <c r="F14" s="4"/>
      <c r="G14" s="18"/>
      <c r="H14" s="36">
        <f>SUM(H12:H13)</f>
        <v>171426.12977999999</v>
      </c>
      <c r="I14" s="20"/>
      <c r="J14" s="704"/>
      <c r="K14" s="705"/>
      <c r="L14" s="705"/>
      <c r="M14" s="705"/>
      <c r="N14" s="705"/>
      <c r="O14" s="705"/>
      <c r="P14" s="705"/>
      <c r="Q14" s="705"/>
      <c r="R14" s="706"/>
    </row>
    <row r="15" spans="1:18">
      <c r="A15" s="23"/>
      <c r="B15" s="11" t="s">
        <v>24</v>
      </c>
      <c r="C15" s="68"/>
      <c r="D15" s="4"/>
      <c r="E15" s="4"/>
      <c r="F15" s="4"/>
      <c r="G15" s="18"/>
      <c r="H15" s="36">
        <f>H14*15%</f>
        <v>25713.919466999996</v>
      </c>
      <c r="I15" s="20"/>
      <c r="J15" s="707"/>
      <c r="K15" s="708"/>
      <c r="L15" s="708"/>
      <c r="M15" s="708"/>
      <c r="N15" s="708"/>
      <c r="O15" s="708"/>
      <c r="P15" s="708"/>
      <c r="Q15" s="708"/>
      <c r="R15" s="709"/>
    </row>
    <row r="16" spans="1:18">
      <c r="A16" s="23"/>
      <c r="B16" s="11" t="s">
        <v>15</v>
      </c>
      <c r="C16" s="68"/>
      <c r="D16" s="4"/>
      <c r="E16" s="4"/>
      <c r="F16" s="4"/>
      <c r="G16" s="21" t="s">
        <v>16</v>
      </c>
      <c r="H16" s="37">
        <f>H15+H14</f>
        <v>197140.04924699999</v>
      </c>
      <c r="I16" s="38" t="str">
        <f>CONCATENATE("per ",C4)</f>
        <v>per ton</v>
      </c>
      <c r="J16" s="707"/>
      <c r="K16" s="708"/>
      <c r="L16" s="708"/>
      <c r="M16" s="708"/>
      <c r="N16" s="708"/>
      <c r="O16" s="708"/>
      <c r="P16" s="708"/>
      <c r="Q16" s="708"/>
      <c r="R16" s="709"/>
    </row>
    <row r="17" spans="1:18">
      <c r="A17" s="23"/>
      <c r="B17" s="11" t="s">
        <v>18</v>
      </c>
      <c r="C17" s="125" t="s">
        <v>19</v>
      </c>
      <c r="D17" s="4"/>
      <c r="E17" s="4"/>
      <c r="F17" s="4"/>
      <c r="G17" s="21" t="s">
        <v>16</v>
      </c>
      <c r="H17" s="37">
        <f>CEILING(H16,0.5)</f>
        <v>197140.5</v>
      </c>
      <c r="I17" s="38" t="str">
        <f>CONCATENATE("per ",C4)</f>
        <v>per ton</v>
      </c>
      <c r="J17" s="707"/>
      <c r="K17" s="708"/>
      <c r="L17" s="708"/>
      <c r="M17" s="708"/>
      <c r="N17" s="708"/>
      <c r="O17" s="708"/>
      <c r="P17" s="708"/>
      <c r="Q17" s="708"/>
      <c r="R17" s="709"/>
    </row>
    <row r="18" spans="1:18">
      <c r="A18" s="23"/>
      <c r="B18" s="11"/>
      <c r="C18" s="68"/>
      <c r="D18" s="4"/>
      <c r="E18" s="4"/>
      <c r="F18" s="4"/>
      <c r="G18" s="24" t="s">
        <v>17</v>
      </c>
      <c r="H18" s="37">
        <f>H17/exr</f>
        <v>1516.4653846153847</v>
      </c>
      <c r="I18" s="38" t="str">
        <f>CONCATENATE("per ",C4)</f>
        <v>per ton</v>
      </c>
      <c r="J18" s="710"/>
      <c r="K18" s="711"/>
      <c r="L18" s="711"/>
      <c r="M18" s="711"/>
      <c r="N18" s="711"/>
      <c r="O18" s="711"/>
      <c r="P18" s="711"/>
      <c r="Q18" s="711"/>
      <c r="R18" s="712"/>
    </row>
    <row r="19" spans="1:18">
      <c r="A19" s="39"/>
      <c r="B19" s="40"/>
      <c r="C19" s="69"/>
      <c r="D19" s="41"/>
      <c r="E19" s="41"/>
      <c r="F19" s="41"/>
      <c r="G19" s="149" t="s">
        <v>460</v>
      </c>
      <c r="H19" s="150">
        <f>CEILING(SUM(M5,M6)/H12,0.0025)</f>
        <v>0.82500000000000007</v>
      </c>
      <c r="I19" s="42"/>
      <c r="J19" s="43"/>
      <c r="K19" s="43"/>
      <c r="L19" s="43"/>
      <c r="M19" s="43"/>
      <c r="N19" s="43"/>
      <c r="O19" s="43"/>
      <c r="P19" s="43"/>
      <c r="Q19" s="43"/>
      <c r="R19" s="44"/>
    </row>
    <row r="20" spans="1:18">
      <c r="A20" s="22"/>
      <c r="B20" s="22"/>
      <c r="C20" s="70"/>
      <c r="D20" s="22"/>
      <c r="E20" s="22"/>
      <c r="F20" s="22"/>
      <c r="G20" s="22"/>
      <c r="H20" s="22"/>
      <c r="I20" s="22"/>
      <c r="J20" s="22"/>
      <c r="K20" s="22"/>
      <c r="L20" s="22"/>
      <c r="M20" s="22"/>
      <c r="N20" s="22"/>
      <c r="O20" s="22"/>
      <c r="P20" s="22"/>
      <c r="Q20" s="22"/>
      <c r="R20" s="22"/>
    </row>
    <row r="21" spans="1:18">
      <c r="A21" s="693" t="s">
        <v>0</v>
      </c>
      <c r="B21" s="695" t="s">
        <v>1</v>
      </c>
      <c r="C21" s="695" t="s">
        <v>2</v>
      </c>
      <c r="D21" s="697" t="s">
        <v>3</v>
      </c>
      <c r="E21" s="698"/>
      <c r="F21" s="698"/>
      <c r="G21" s="698"/>
      <c r="H21" s="698"/>
      <c r="I21" s="699" t="s">
        <v>4</v>
      </c>
      <c r="J21" s="700"/>
      <c r="K21" s="700"/>
      <c r="L21" s="700"/>
      <c r="M21" s="700"/>
      <c r="N21" s="698" t="s">
        <v>5</v>
      </c>
      <c r="O21" s="698"/>
      <c r="P21" s="698"/>
      <c r="Q21" s="698"/>
      <c r="R21" s="698"/>
    </row>
    <row r="22" spans="1:18">
      <c r="A22" s="694"/>
      <c r="B22" s="696"/>
      <c r="C22" s="696"/>
      <c r="D22" s="45" t="s">
        <v>6</v>
      </c>
      <c r="E22" s="46" t="s">
        <v>2</v>
      </c>
      <c r="F22" s="46" t="s">
        <v>7</v>
      </c>
      <c r="G22" s="46" t="s">
        <v>8</v>
      </c>
      <c r="H22" s="46" t="s">
        <v>9</v>
      </c>
      <c r="I22" s="46" t="s">
        <v>10</v>
      </c>
      <c r="J22" s="46" t="s">
        <v>2</v>
      </c>
      <c r="K22" s="46" t="s">
        <v>7</v>
      </c>
      <c r="L22" s="46" t="s">
        <v>8</v>
      </c>
      <c r="M22" s="47" t="s">
        <v>9</v>
      </c>
      <c r="N22" s="46" t="s">
        <v>10</v>
      </c>
      <c r="O22" s="46" t="s">
        <v>2</v>
      </c>
      <c r="P22" s="46" t="s">
        <v>7</v>
      </c>
      <c r="Q22" s="46" t="s">
        <v>8</v>
      </c>
      <c r="R22" s="46" t="s">
        <v>9</v>
      </c>
    </row>
    <row r="23" spans="1:18">
      <c r="A23" s="33" t="s">
        <v>23</v>
      </c>
      <c r="B23" s="73" t="s">
        <v>277</v>
      </c>
      <c r="C23" s="65"/>
      <c r="D23" s="31"/>
      <c r="E23" s="31"/>
      <c r="F23" s="31"/>
      <c r="G23" s="31"/>
      <c r="H23" s="31"/>
      <c r="I23" s="31"/>
      <c r="J23" s="31"/>
      <c r="K23" s="31"/>
      <c r="L23" s="31"/>
      <c r="M23" s="31"/>
      <c r="N23" s="31"/>
      <c r="O23" s="31"/>
      <c r="P23" s="31"/>
      <c r="Q23" s="31"/>
      <c r="R23" s="32"/>
    </row>
    <row r="24" spans="1:18">
      <c r="A24" s="34">
        <f>A4+1</f>
        <v>2</v>
      </c>
      <c r="B24" s="713" t="s">
        <v>276</v>
      </c>
      <c r="C24" s="66" t="s">
        <v>113</v>
      </c>
      <c r="D24" s="4"/>
      <c r="E24" s="6"/>
      <c r="F24" s="29"/>
      <c r="G24" s="26"/>
      <c r="H24" s="26"/>
      <c r="I24" s="6"/>
      <c r="J24" s="6"/>
      <c r="K24" s="29"/>
      <c r="L24" s="26"/>
      <c r="M24" s="26"/>
      <c r="N24" s="6"/>
      <c r="O24" s="6"/>
      <c r="P24" s="29"/>
      <c r="Q24" s="26"/>
      <c r="R24" s="26"/>
    </row>
    <row r="25" spans="1:18">
      <c r="A25" s="2"/>
      <c r="B25" s="714"/>
      <c r="C25" s="66"/>
      <c r="D25" s="4" t="s">
        <v>251</v>
      </c>
      <c r="E25" s="6" t="s">
        <v>81</v>
      </c>
      <c r="F25" s="29">
        <v>10</v>
      </c>
      <c r="G25" s="26">
        <f>G5</f>
        <v>1100</v>
      </c>
      <c r="H25" s="26">
        <f>F25*G25</f>
        <v>11000</v>
      </c>
      <c r="I25" s="7" t="s">
        <v>30</v>
      </c>
      <c r="J25" s="8" t="s">
        <v>32</v>
      </c>
      <c r="K25" s="156">
        <v>1.05</v>
      </c>
      <c r="L25" s="28">
        <f>rebars</f>
        <v>128644.19</v>
      </c>
      <c r="M25" s="26">
        <f>K25*L25</f>
        <v>135076.3995</v>
      </c>
      <c r="N25" s="8"/>
      <c r="O25" s="6"/>
      <c r="P25" s="29"/>
      <c r="Q25" s="28"/>
      <c r="R25" s="26"/>
    </row>
    <row r="26" spans="1:18">
      <c r="A26" s="2"/>
      <c r="B26" s="714"/>
      <c r="C26" s="66"/>
      <c r="D26" s="4" t="s">
        <v>97</v>
      </c>
      <c r="E26" s="6" t="s">
        <v>81</v>
      </c>
      <c r="F26" s="29">
        <v>10</v>
      </c>
      <c r="G26" s="26">
        <f>G6</f>
        <v>850</v>
      </c>
      <c r="H26" s="26">
        <f>F26*G26</f>
        <v>8500</v>
      </c>
      <c r="I26" s="7" t="s">
        <v>29</v>
      </c>
      <c r="J26" s="8" t="s">
        <v>28</v>
      </c>
      <c r="K26" s="29">
        <v>10</v>
      </c>
      <c r="L26" s="28">
        <f>binding/1000</f>
        <v>104.14419000000001</v>
      </c>
      <c r="M26" s="26">
        <f>K26*L26</f>
        <v>1041.4419</v>
      </c>
      <c r="N26" s="8"/>
      <c r="O26" s="6"/>
      <c r="P26" s="29"/>
      <c r="Q26" s="28"/>
      <c r="R26" s="26"/>
    </row>
    <row r="27" spans="1:18">
      <c r="A27" s="2"/>
      <c r="B27" s="714"/>
      <c r="C27" s="66"/>
      <c r="D27" s="4"/>
      <c r="E27" s="6"/>
      <c r="F27" s="29"/>
      <c r="G27" s="26"/>
      <c r="H27" s="26"/>
      <c r="I27" s="7"/>
      <c r="J27" s="8"/>
      <c r="K27" s="29"/>
      <c r="L27" s="28"/>
      <c r="M27" s="26"/>
      <c r="N27" s="8"/>
      <c r="O27" s="6"/>
      <c r="P27" s="29"/>
      <c r="Q27" s="28"/>
      <c r="R27" s="28"/>
    </row>
    <row r="28" spans="1:18">
      <c r="A28" s="2"/>
      <c r="B28" s="714"/>
      <c r="C28" s="66"/>
      <c r="D28" s="4"/>
      <c r="E28" s="6"/>
      <c r="F28" s="29"/>
      <c r="G28" s="26"/>
      <c r="H28" s="26"/>
      <c r="I28" s="7"/>
      <c r="J28" s="8"/>
      <c r="K28" s="29"/>
      <c r="L28" s="28"/>
      <c r="M28" s="26"/>
      <c r="N28" s="8"/>
      <c r="O28" s="6"/>
      <c r="P28" s="29"/>
      <c r="Q28" s="28"/>
      <c r="R28" s="28"/>
    </row>
    <row r="29" spans="1:18">
      <c r="A29" s="2"/>
      <c r="B29" s="126"/>
      <c r="C29" s="66"/>
      <c r="D29" s="4"/>
      <c r="E29" s="6"/>
      <c r="F29" s="29"/>
      <c r="G29" s="26"/>
      <c r="H29" s="26"/>
      <c r="I29" s="7"/>
      <c r="J29" s="8"/>
      <c r="K29" s="29"/>
      <c r="L29" s="28"/>
      <c r="M29" s="26"/>
      <c r="N29" s="8"/>
      <c r="O29" s="6"/>
      <c r="P29" s="29"/>
      <c r="Q29" s="28"/>
      <c r="R29" s="28"/>
    </row>
    <row r="30" spans="1:18">
      <c r="A30" s="2"/>
      <c r="B30" s="5"/>
      <c r="C30" s="66"/>
      <c r="D30" s="4"/>
      <c r="E30" s="9"/>
      <c r="F30" s="30"/>
      <c r="G30" s="27"/>
      <c r="H30" s="27"/>
      <c r="I30" s="9"/>
      <c r="J30" s="10"/>
      <c r="K30" s="30"/>
      <c r="L30" s="28"/>
      <c r="M30" s="28"/>
      <c r="N30" s="8"/>
      <c r="O30" s="6"/>
      <c r="P30" s="30"/>
      <c r="Q30" s="28"/>
      <c r="R30" s="28"/>
    </row>
    <row r="31" spans="1:18">
      <c r="A31" s="2"/>
      <c r="B31" s="11"/>
      <c r="C31" s="66"/>
      <c r="D31" s="12"/>
      <c r="E31" s="59"/>
      <c r="F31" s="13"/>
      <c r="G31" s="13" t="s">
        <v>20</v>
      </c>
      <c r="H31" s="25">
        <f>SUM(H24:H30)</f>
        <v>19500</v>
      </c>
      <c r="I31" s="703"/>
      <c r="J31" s="703"/>
      <c r="K31" s="14"/>
      <c r="L31" s="13" t="s">
        <v>21</v>
      </c>
      <c r="M31" s="25">
        <f>SUM(M24:M30)</f>
        <v>136117.8414</v>
      </c>
      <c r="N31" s="3"/>
      <c r="O31" s="14"/>
      <c r="P31" s="14"/>
      <c r="Q31" s="13" t="s">
        <v>22</v>
      </c>
      <c r="R31" s="25">
        <f>SUM(R24:R30)</f>
        <v>0</v>
      </c>
    </row>
    <row r="32" spans="1:18">
      <c r="A32" s="2"/>
      <c r="B32" s="16" t="s">
        <v>13</v>
      </c>
      <c r="C32" s="67"/>
      <c r="D32" s="14"/>
      <c r="E32" s="14"/>
      <c r="F32" s="14"/>
      <c r="G32" s="13"/>
      <c r="H32" s="35">
        <f>M31+R31+H31</f>
        <v>155617.8414</v>
      </c>
      <c r="I32" s="17"/>
      <c r="J32" s="14"/>
      <c r="K32" s="14"/>
      <c r="L32" s="13"/>
      <c r="M32" s="15"/>
      <c r="N32" s="14"/>
      <c r="O32" s="14"/>
      <c r="P32" s="14"/>
      <c r="Q32" s="14"/>
      <c r="R32" s="17"/>
    </row>
    <row r="33" spans="1:18">
      <c r="A33" s="2"/>
      <c r="B33" s="11" t="s">
        <v>25</v>
      </c>
      <c r="C33" s="4" t="s">
        <v>647</v>
      </c>
      <c r="D33" s="4"/>
      <c r="E33" s="4"/>
      <c r="F33" s="4"/>
      <c r="G33" s="18"/>
      <c r="H33" s="36">
        <f>20%*H31</f>
        <v>3900</v>
      </c>
      <c r="I33" s="20"/>
      <c r="J33" s="4" t="s">
        <v>26</v>
      </c>
      <c r="K33" s="4"/>
      <c r="L33" s="18"/>
      <c r="M33" s="19"/>
      <c r="N33" s="4"/>
      <c r="O33" s="4"/>
      <c r="P33" s="4"/>
      <c r="Q33" s="4"/>
      <c r="R33" s="20"/>
    </row>
    <row r="34" spans="1:18">
      <c r="A34" s="23"/>
      <c r="B34" s="11" t="s">
        <v>14</v>
      </c>
      <c r="C34" s="68"/>
      <c r="D34" s="4"/>
      <c r="E34" s="4"/>
      <c r="F34" s="4"/>
      <c r="G34" s="18"/>
      <c r="H34" s="36">
        <f>SUM(H32:H33)</f>
        <v>159517.8414</v>
      </c>
      <c r="I34" s="20"/>
      <c r="J34" s="704"/>
      <c r="K34" s="705"/>
      <c r="L34" s="705"/>
      <c r="M34" s="705"/>
      <c r="N34" s="705"/>
      <c r="O34" s="705"/>
      <c r="P34" s="705"/>
      <c r="Q34" s="705"/>
      <c r="R34" s="706"/>
    </row>
    <row r="35" spans="1:18">
      <c r="A35" s="23"/>
      <c r="B35" s="11" t="s">
        <v>24</v>
      </c>
      <c r="C35" s="68"/>
      <c r="D35" s="4"/>
      <c r="E35" s="4"/>
      <c r="F35" s="4"/>
      <c r="G35" s="18"/>
      <c r="H35" s="36">
        <f>H34*15%</f>
        <v>23927.676210000001</v>
      </c>
      <c r="I35" s="20"/>
      <c r="J35" s="707"/>
      <c r="K35" s="708"/>
      <c r="L35" s="708"/>
      <c r="M35" s="708"/>
      <c r="N35" s="708"/>
      <c r="O35" s="708"/>
      <c r="P35" s="708"/>
      <c r="Q35" s="708"/>
      <c r="R35" s="709"/>
    </row>
    <row r="36" spans="1:18">
      <c r="A36" s="23"/>
      <c r="B36" s="11" t="s">
        <v>15</v>
      </c>
      <c r="C36" s="68"/>
      <c r="D36" s="4"/>
      <c r="E36" s="4"/>
      <c r="F36" s="4"/>
      <c r="G36" s="21" t="s">
        <v>16</v>
      </c>
      <c r="H36" s="37">
        <f>H35+H34</f>
        <v>183445.51761000001</v>
      </c>
      <c r="I36" s="38" t="str">
        <f>CONCATENATE("per ",C24)</f>
        <v>per ton</v>
      </c>
      <c r="J36" s="707"/>
      <c r="K36" s="708"/>
      <c r="L36" s="708"/>
      <c r="M36" s="708"/>
      <c r="N36" s="708"/>
      <c r="O36" s="708"/>
      <c r="P36" s="708"/>
      <c r="Q36" s="708"/>
      <c r="R36" s="709"/>
    </row>
    <row r="37" spans="1:18">
      <c r="A37" s="23"/>
      <c r="B37" s="11" t="s">
        <v>18</v>
      </c>
      <c r="C37" s="125" t="s">
        <v>19</v>
      </c>
      <c r="D37" s="4"/>
      <c r="E37" s="4"/>
      <c r="F37" s="4"/>
      <c r="G37" s="21" t="s">
        <v>16</v>
      </c>
      <c r="H37" s="37">
        <f>CEILING(H36,0.5)</f>
        <v>183446</v>
      </c>
      <c r="I37" s="38" t="str">
        <f>CONCATENATE("per ",C24)</f>
        <v>per ton</v>
      </c>
      <c r="J37" s="707"/>
      <c r="K37" s="708"/>
      <c r="L37" s="708"/>
      <c r="M37" s="708"/>
      <c r="N37" s="708"/>
      <c r="O37" s="708"/>
      <c r="P37" s="708"/>
      <c r="Q37" s="708"/>
      <c r="R37" s="709"/>
    </row>
    <row r="38" spans="1:18">
      <c r="A38" s="23"/>
      <c r="B38" s="11"/>
      <c r="C38" s="68"/>
      <c r="D38" s="4"/>
      <c r="E38" s="4"/>
      <c r="F38" s="4"/>
      <c r="G38" s="24" t="s">
        <v>17</v>
      </c>
      <c r="H38" s="37">
        <f>H37/exr</f>
        <v>1411.123076923077</v>
      </c>
      <c r="I38" s="38" t="str">
        <f>CONCATENATE("per ",C24)</f>
        <v>per ton</v>
      </c>
      <c r="J38" s="710"/>
      <c r="K38" s="711"/>
      <c r="L38" s="711"/>
      <c r="M38" s="711"/>
      <c r="N38" s="711"/>
      <c r="O38" s="711"/>
      <c r="P38" s="711"/>
      <c r="Q38" s="711"/>
      <c r="R38" s="712"/>
    </row>
    <row r="39" spans="1:18">
      <c r="A39" s="39"/>
      <c r="B39" s="40"/>
      <c r="C39" s="69"/>
      <c r="D39" s="41"/>
      <c r="E39" s="41"/>
      <c r="F39" s="41"/>
      <c r="G39" s="149" t="s">
        <v>460</v>
      </c>
      <c r="H39" s="150">
        <f>CEILING(SUM(M25,M26)/H32,0.0025)</f>
        <v>0.875</v>
      </c>
      <c r="I39" s="42"/>
      <c r="J39" s="43"/>
      <c r="K39" s="43"/>
      <c r="L39" s="43"/>
      <c r="M39" s="43"/>
      <c r="N39" s="43"/>
      <c r="O39" s="43"/>
      <c r="P39" s="43"/>
      <c r="Q39" s="43"/>
      <c r="R39" s="44"/>
    </row>
    <row r="41" spans="1:18">
      <c r="A41" s="693" t="s">
        <v>0</v>
      </c>
      <c r="B41" s="695" t="s">
        <v>1</v>
      </c>
      <c r="C41" s="695" t="s">
        <v>2</v>
      </c>
      <c r="D41" s="697" t="s">
        <v>3</v>
      </c>
      <c r="E41" s="698"/>
      <c r="F41" s="698"/>
      <c r="G41" s="698"/>
      <c r="H41" s="698"/>
      <c r="I41" s="699" t="s">
        <v>4</v>
      </c>
      <c r="J41" s="700"/>
      <c r="K41" s="700"/>
      <c r="L41" s="700"/>
      <c r="M41" s="700"/>
      <c r="N41" s="698" t="s">
        <v>5</v>
      </c>
      <c r="O41" s="698"/>
      <c r="P41" s="698"/>
      <c r="Q41" s="698"/>
      <c r="R41" s="698"/>
    </row>
    <row r="42" spans="1:18">
      <c r="A42" s="694"/>
      <c r="B42" s="696"/>
      <c r="C42" s="696"/>
      <c r="D42" s="45" t="s">
        <v>6</v>
      </c>
      <c r="E42" s="46" t="s">
        <v>2</v>
      </c>
      <c r="F42" s="46" t="s">
        <v>7</v>
      </c>
      <c r="G42" s="46" t="s">
        <v>8</v>
      </c>
      <c r="H42" s="46" t="s">
        <v>9</v>
      </c>
      <c r="I42" s="46" t="s">
        <v>10</v>
      </c>
      <c r="J42" s="46" t="s">
        <v>2</v>
      </c>
      <c r="K42" s="46" t="s">
        <v>7</v>
      </c>
      <c r="L42" s="46" t="s">
        <v>8</v>
      </c>
      <c r="M42" s="47" t="s">
        <v>9</v>
      </c>
      <c r="N42" s="46" t="s">
        <v>10</v>
      </c>
      <c r="O42" s="46" t="s">
        <v>2</v>
      </c>
      <c r="P42" s="46" t="s">
        <v>7</v>
      </c>
      <c r="Q42" s="46" t="s">
        <v>8</v>
      </c>
      <c r="R42" s="46" t="s">
        <v>9</v>
      </c>
    </row>
    <row r="43" spans="1:18">
      <c r="A43" s="33" t="s">
        <v>23</v>
      </c>
      <c r="B43" s="73" t="s">
        <v>278</v>
      </c>
      <c r="C43" s="65"/>
      <c r="D43" s="31"/>
      <c r="E43" s="31"/>
      <c r="F43" s="31"/>
      <c r="G43" s="31"/>
      <c r="H43" s="31"/>
      <c r="I43" s="31"/>
      <c r="J43" s="31"/>
      <c r="K43" s="31"/>
      <c r="L43" s="31"/>
      <c r="M43" s="31"/>
      <c r="N43" s="31"/>
      <c r="O43" s="31"/>
      <c r="P43" s="31"/>
      <c r="Q43" s="31"/>
      <c r="R43" s="32"/>
    </row>
    <row r="44" spans="1:18">
      <c r="A44" s="34">
        <f>A24+1</f>
        <v>3</v>
      </c>
      <c r="B44" s="713" t="s">
        <v>279</v>
      </c>
      <c r="C44" s="66" t="s">
        <v>113</v>
      </c>
      <c r="D44" s="4"/>
      <c r="E44" s="6"/>
      <c r="F44" s="29"/>
      <c r="G44" s="26"/>
      <c r="H44" s="26"/>
      <c r="I44" s="6"/>
      <c r="J44" s="6"/>
      <c r="K44" s="29"/>
      <c r="L44" s="26"/>
      <c r="M44" s="26"/>
      <c r="N44" s="6"/>
      <c r="O44" s="6"/>
      <c r="P44" s="29"/>
      <c r="Q44" s="26"/>
      <c r="R44" s="26"/>
    </row>
    <row r="45" spans="1:18">
      <c r="A45" s="2"/>
      <c r="B45" s="714"/>
      <c r="C45" s="66"/>
      <c r="D45" s="4" t="s">
        <v>251</v>
      </c>
      <c r="E45" s="6" t="s">
        <v>81</v>
      </c>
      <c r="F45" s="29">
        <v>9</v>
      </c>
      <c r="G45" s="26">
        <f>sr</f>
        <v>1100</v>
      </c>
      <c r="H45" s="26">
        <f>F45*G45</f>
        <v>9900</v>
      </c>
      <c r="I45" s="7" t="s">
        <v>30</v>
      </c>
      <c r="J45" s="8" t="s">
        <v>32</v>
      </c>
      <c r="K45" s="156">
        <v>1.05</v>
      </c>
      <c r="L45" s="28">
        <f>rebars</f>
        <v>128644.19</v>
      </c>
      <c r="M45" s="26">
        <f>K45*L45</f>
        <v>135076.3995</v>
      </c>
      <c r="N45" s="8"/>
      <c r="O45" s="6"/>
      <c r="P45" s="29"/>
      <c r="Q45" s="28"/>
      <c r="R45" s="26"/>
    </row>
    <row r="46" spans="1:18">
      <c r="A46" s="2"/>
      <c r="B46" s="714"/>
      <c r="C46" s="66"/>
      <c r="D46" s="4" t="s">
        <v>97</v>
      </c>
      <c r="E46" s="6" t="s">
        <v>81</v>
      </c>
      <c r="F46" s="29">
        <v>9</v>
      </c>
      <c r="G46" s="26">
        <f>ur</f>
        <v>850</v>
      </c>
      <c r="H46" s="26">
        <f>F46*G46</f>
        <v>7650</v>
      </c>
      <c r="I46" s="7" t="s">
        <v>29</v>
      </c>
      <c r="J46" s="8" t="s">
        <v>28</v>
      </c>
      <c r="K46" s="29">
        <v>9</v>
      </c>
      <c r="L46" s="28">
        <f>binding/1000</f>
        <v>104.14419000000001</v>
      </c>
      <c r="M46" s="26">
        <f>K46*L46</f>
        <v>937.29771000000005</v>
      </c>
      <c r="N46" s="8"/>
      <c r="O46" s="6"/>
      <c r="P46" s="29"/>
      <c r="Q46" s="28"/>
      <c r="R46" s="26"/>
    </row>
    <row r="47" spans="1:18">
      <c r="A47" s="2"/>
      <c r="B47" s="714"/>
      <c r="C47" s="66"/>
      <c r="D47" s="4"/>
      <c r="E47" s="6"/>
      <c r="F47" s="29"/>
      <c r="G47" s="26"/>
      <c r="H47" s="26"/>
      <c r="I47" s="7"/>
      <c r="J47" s="8"/>
      <c r="K47" s="29"/>
      <c r="L47" s="28"/>
      <c r="M47" s="26"/>
      <c r="N47" s="8"/>
      <c r="O47" s="6"/>
      <c r="P47" s="29"/>
      <c r="Q47" s="28"/>
      <c r="R47" s="28"/>
    </row>
    <row r="48" spans="1:18">
      <c r="A48" s="2"/>
      <c r="B48" s="714"/>
      <c r="C48" s="66"/>
      <c r="D48" s="4"/>
      <c r="E48" s="6"/>
      <c r="F48" s="29"/>
      <c r="G48" s="26"/>
      <c r="H48" s="26"/>
      <c r="I48" s="7"/>
      <c r="J48" s="8"/>
      <c r="K48" s="29"/>
      <c r="L48" s="28"/>
      <c r="M48" s="26"/>
      <c r="N48" s="8"/>
      <c r="O48" s="6"/>
      <c r="P48" s="29"/>
      <c r="Q48" s="28"/>
      <c r="R48" s="28"/>
    </row>
    <row r="49" spans="1:18">
      <c r="A49" s="2"/>
      <c r="B49" s="126"/>
      <c r="C49" s="66"/>
      <c r="D49" s="4"/>
      <c r="E49" s="6"/>
      <c r="F49" s="29"/>
      <c r="G49" s="26"/>
      <c r="H49" s="26"/>
      <c r="I49" s="7"/>
      <c r="J49" s="8"/>
      <c r="K49" s="29"/>
      <c r="L49" s="28"/>
      <c r="M49" s="26"/>
      <c r="N49" s="8"/>
      <c r="O49" s="6"/>
      <c r="P49" s="29"/>
      <c r="Q49" s="28"/>
      <c r="R49" s="28"/>
    </row>
    <row r="50" spans="1:18">
      <c r="A50" s="2"/>
      <c r="B50" s="5"/>
      <c r="C50" s="66"/>
      <c r="D50" s="4"/>
      <c r="E50" s="9"/>
      <c r="F50" s="30"/>
      <c r="G50" s="27"/>
      <c r="H50" s="27"/>
      <c r="I50" s="9"/>
      <c r="J50" s="10"/>
      <c r="K50" s="30"/>
      <c r="L50" s="28"/>
      <c r="M50" s="28"/>
      <c r="N50" s="8"/>
      <c r="O50" s="6"/>
      <c r="P50" s="30"/>
      <c r="Q50" s="28"/>
      <c r="R50" s="28"/>
    </row>
    <row r="51" spans="1:18">
      <c r="A51" s="2"/>
      <c r="B51" s="11"/>
      <c r="C51" s="66"/>
      <c r="D51" s="12"/>
      <c r="E51" s="59"/>
      <c r="F51" s="13"/>
      <c r="G51" s="13" t="s">
        <v>20</v>
      </c>
      <c r="H51" s="25">
        <f>SUM(H44:H50)</f>
        <v>17550</v>
      </c>
      <c r="I51" s="703"/>
      <c r="J51" s="703"/>
      <c r="K51" s="14"/>
      <c r="L51" s="13" t="s">
        <v>21</v>
      </c>
      <c r="M51" s="25">
        <f>SUM(M44:M50)</f>
        <v>136013.69721000001</v>
      </c>
      <c r="N51" s="3"/>
      <c r="O51" s="14"/>
      <c r="P51" s="14"/>
      <c r="Q51" s="13" t="s">
        <v>22</v>
      </c>
      <c r="R51" s="25">
        <f>SUM(R44:R50)</f>
        <v>0</v>
      </c>
    </row>
    <row r="52" spans="1:18">
      <c r="A52" s="2"/>
      <c r="B52" s="16" t="s">
        <v>13</v>
      </c>
      <c r="C52" s="67"/>
      <c r="D52" s="14"/>
      <c r="E52" s="14"/>
      <c r="F52" s="14"/>
      <c r="G52" s="13"/>
      <c r="H52" s="35">
        <f>M51+R51+H51</f>
        <v>153563.69721000001</v>
      </c>
      <c r="I52" s="17"/>
      <c r="J52" s="14"/>
      <c r="K52" s="14"/>
      <c r="L52" s="13"/>
      <c r="M52" s="15"/>
      <c r="N52" s="14"/>
      <c r="O52" s="14"/>
      <c r="P52" s="14"/>
      <c r="Q52" s="14"/>
      <c r="R52" s="17"/>
    </row>
    <row r="53" spans="1:18">
      <c r="A53" s="2"/>
      <c r="B53" s="11" t="s">
        <v>25</v>
      </c>
      <c r="C53" s="4" t="s">
        <v>647</v>
      </c>
      <c r="D53" s="4"/>
      <c r="E53" s="4"/>
      <c r="F53" s="4"/>
      <c r="G53" s="18"/>
      <c r="H53" s="36">
        <f>20%*H51</f>
        <v>3510</v>
      </c>
      <c r="I53" s="20"/>
      <c r="J53" s="4" t="s">
        <v>26</v>
      </c>
      <c r="K53" s="4"/>
      <c r="L53" s="18"/>
      <c r="M53" s="19"/>
      <c r="N53" s="4"/>
      <c r="O53" s="4"/>
      <c r="P53" s="4"/>
      <c r="Q53" s="4"/>
      <c r="R53" s="20"/>
    </row>
    <row r="54" spans="1:18">
      <c r="A54" s="23"/>
      <c r="B54" s="11" t="s">
        <v>14</v>
      </c>
      <c r="C54" s="68"/>
      <c r="D54" s="4"/>
      <c r="E54" s="4"/>
      <c r="F54" s="4"/>
      <c r="G54" s="18"/>
      <c r="H54" s="36">
        <f>SUM(H52:H53)</f>
        <v>157073.69721000001</v>
      </c>
      <c r="I54" s="20"/>
      <c r="J54" s="704"/>
      <c r="K54" s="705"/>
      <c r="L54" s="705"/>
      <c r="M54" s="705"/>
      <c r="N54" s="705"/>
      <c r="O54" s="705"/>
      <c r="P54" s="705"/>
      <c r="Q54" s="705"/>
      <c r="R54" s="706"/>
    </row>
    <row r="55" spans="1:18">
      <c r="A55" s="23"/>
      <c r="B55" s="11" t="s">
        <v>24</v>
      </c>
      <c r="C55" s="68"/>
      <c r="D55" s="4"/>
      <c r="E55" s="4"/>
      <c r="F55" s="4"/>
      <c r="G55" s="18"/>
      <c r="H55" s="36">
        <f>H54*15%</f>
        <v>23561.0545815</v>
      </c>
      <c r="I55" s="20"/>
      <c r="J55" s="707"/>
      <c r="K55" s="708"/>
      <c r="L55" s="708"/>
      <c r="M55" s="708"/>
      <c r="N55" s="708"/>
      <c r="O55" s="708"/>
      <c r="P55" s="708"/>
      <c r="Q55" s="708"/>
      <c r="R55" s="709"/>
    </row>
    <row r="56" spans="1:18">
      <c r="A56" s="23"/>
      <c r="B56" s="11" t="s">
        <v>15</v>
      </c>
      <c r="C56" s="68"/>
      <c r="D56" s="4"/>
      <c r="E56" s="4"/>
      <c r="F56" s="4"/>
      <c r="G56" s="21" t="s">
        <v>16</v>
      </c>
      <c r="H56" s="37">
        <f>H55+H54</f>
        <v>180634.75179150002</v>
      </c>
      <c r="I56" s="38" t="str">
        <f>CONCATENATE("per ",C44)</f>
        <v>per ton</v>
      </c>
      <c r="J56" s="707"/>
      <c r="K56" s="708"/>
      <c r="L56" s="708"/>
      <c r="M56" s="708"/>
      <c r="N56" s="708"/>
      <c r="O56" s="708"/>
      <c r="P56" s="708"/>
      <c r="Q56" s="708"/>
      <c r="R56" s="709"/>
    </row>
    <row r="57" spans="1:18">
      <c r="A57" s="23"/>
      <c r="B57" s="11" t="s">
        <v>18</v>
      </c>
      <c r="C57" s="125" t="s">
        <v>19</v>
      </c>
      <c r="D57" s="4"/>
      <c r="E57" s="4"/>
      <c r="F57" s="4"/>
      <c r="G57" s="21" t="s">
        <v>16</v>
      </c>
      <c r="H57" s="37">
        <f>CEILING(H56,0.5)</f>
        <v>180635</v>
      </c>
      <c r="I57" s="38" t="str">
        <f>CONCATENATE("per ",C44)</f>
        <v>per ton</v>
      </c>
      <c r="J57" s="707"/>
      <c r="K57" s="708"/>
      <c r="L57" s="708"/>
      <c r="M57" s="708"/>
      <c r="N57" s="708"/>
      <c r="O57" s="708"/>
      <c r="P57" s="708"/>
      <c r="Q57" s="708"/>
      <c r="R57" s="709"/>
    </row>
    <row r="58" spans="1:18">
      <c r="A58" s="23"/>
      <c r="B58" s="11"/>
      <c r="C58" s="68"/>
      <c r="D58" s="4"/>
      <c r="E58" s="4"/>
      <c r="F58" s="4"/>
      <c r="G58" s="24" t="s">
        <v>17</v>
      </c>
      <c r="H58" s="37"/>
      <c r="I58" s="38" t="str">
        <f>CONCATENATE("per ",C44)</f>
        <v>per ton</v>
      </c>
      <c r="J58" s="710"/>
      <c r="K58" s="711"/>
      <c r="L58" s="711"/>
      <c r="M58" s="711"/>
      <c r="N58" s="711"/>
      <c r="O58" s="711"/>
      <c r="P58" s="711"/>
      <c r="Q58" s="711"/>
      <c r="R58" s="712"/>
    </row>
    <row r="59" spans="1:18">
      <c r="A59" s="39"/>
      <c r="B59" s="40"/>
      <c r="C59" s="69"/>
      <c r="D59" s="41"/>
      <c r="E59" s="41"/>
      <c r="F59" s="41"/>
      <c r="G59" s="149" t="s">
        <v>460</v>
      </c>
      <c r="H59" s="150">
        <f>CEILING(SUM(M45,M46)/H52,0.0025)</f>
        <v>0.88750000000000007</v>
      </c>
      <c r="I59" s="42"/>
      <c r="J59" s="43"/>
      <c r="K59" s="43"/>
      <c r="L59" s="43"/>
      <c r="M59" s="43"/>
      <c r="N59" s="43"/>
      <c r="O59" s="43"/>
      <c r="P59" s="43"/>
      <c r="Q59" s="43"/>
      <c r="R59" s="44"/>
    </row>
  </sheetData>
  <mergeCells count="27">
    <mergeCell ref="N1:R1"/>
    <mergeCell ref="A1:A2"/>
    <mergeCell ref="B1:B2"/>
    <mergeCell ref="C1:C2"/>
    <mergeCell ref="D1:H1"/>
    <mergeCell ref="I1:M1"/>
    <mergeCell ref="B4:B8"/>
    <mergeCell ref="I11:J11"/>
    <mergeCell ref="J14:R18"/>
    <mergeCell ref="A21:A22"/>
    <mergeCell ref="B21:B22"/>
    <mergeCell ref="C21:C22"/>
    <mergeCell ref="D21:H21"/>
    <mergeCell ref="I21:M21"/>
    <mergeCell ref="N21:R21"/>
    <mergeCell ref="A41:A42"/>
    <mergeCell ref="B41:B42"/>
    <mergeCell ref="C41:C42"/>
    <mergeCell ref="D41:H41"/>
    <mergeCell ref="I41:M41"/>
    <mergeCell ref="B44:B48"/>
    <mergeCell ref="I51:J51"/>
    <mergeCell ref="J54:R58"/>
    <mergeCell ref="B24:B28"/>
    <mergeCell ref="I31:J31"/>
    <mergeCell ref="J34:R38"/>
    <mergeCell ref="N41:R4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25"/>
  <sheetViews>
    <sheetView workbookViewId="0">
      <selection sqref="A1:A2"/>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28515625" style="1" bestFit="1" customWidth="1"/>
    <col min="8" max="8" width="10.7109375" style="1" customWidth="1"/>
    <col min="9" max="9" width="18.42578125" style="1" customWidth="1"/>
    <col min="10" max="10" width="5.28515625" style="1" customWidth="1"/>
    <col min="11" max="11" width="9.28515625" style="1" bestFit="1" customWidth="1"/>
    <col min="12" max="12" width="9.42578125" style="1" bestFit="1" customWidth="1"/>
    <col min="13" max="13" width="10.7109375" style="1" customWidth="1"/>
    <col min="14" max="14" width="16.42578125" style="1" customWidth="1"/>
    <col min="15" max="15" width="5.28515625" style="1" customWidth="1"/>
    <col min="16" max="17" width="9.28515625" style="1" bestFit="1" customWidth="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282</v>
      </c>
      <c r="C3" s="65"/>
      <c r="D3" s="31"/>
      <c r="E3" s="31"/>
      <c r="F3" s="31"/>
      <c r="G3" s="31"/>
      <c r="H3" s="31"/>
      <c r="I3" s="31"/>
      <c r="J3" s="31"/>
      <c r="K3" s="31"/>
      <c r="L3" s="31"/>
      <c r="M3" s="31"/>
      <c r="N3" s="31"/>
      <c r="O3" s="31"/>
      <c r="P3" s="31"/>
      <c r="Q3" s="31"/>
      <c r="R3" s="32"/>
    </row>
    <row r="4" spans="1:18" ht="15.75" customHeight="1">
      <c r="A4" s="34">
        <v>1</v>
      </c>
      <c r="B4" s="713" t="s">
        <v>283</v>
      </c>
      <c r="C4" s="66" t="s">
        <v>11</v>
      </c>
      <c r="D4" s="4"/>
      <c r="E4" s="6"/>
      <c r="F4" s="29"/>
      <c r="G4" s="26"/>
      <c r="H4" s="26"/>
      <c r="I4" s="6"/>
      <c r="J4" s="6"/>
      <c r="K4" s="29"/>
      <c r="L4" s="26"/>
      <c r="M4" s="26"/>
      <c r="N4" s="6"/>
      <c r="O4" s="6"/>
      <c r="P4" s="29"/>
      <c r="Q4" s="26"/>
      <c r="R4" s="26"/>
    </row>
    <row r="5" spans="1:18">
      <c r="A5" s="2"/>
      <c r="B5" s="714"/>
      <c r="C5" s="66"/>
      <c r="D5" s="4" t="s">
        <v>251</v>
      </c>
      <c r="E5" s="6" t="s">
        <v>81</v>
      </c>
      <c r="F5" s="29">
        <v>1.5</v>
      </c>
      <c r="G5" s="26">
        <f>sr</f>
        <v>1100</v>
      </c>
      <c r="H5" s="26">
        <f>F5*G5</f>
        <v>1650</v>
      </c>
      <c r="I5" s="7" t="s">
        <v>284</v>
      </c>
      <c r="J5" s="8" t="s">
        <v>285</v>
      </c>
      <c r="K5" s="88">
        <v>560</v>
      </c>
      <c r="L5" s="28">
        <f>bricks</f>
        <v>17.5</v>
      </c>
      <c r="M5" s="26">
        <f>K5*L5</f>
        <v>9800</v>
      </c>
      <c r="N5" s="8" t="s">
        <v>287</v>
      </c>
      <c r="O5" s="6" t="s">
        <v>101</v>
      </c>
      <c r="P5" s="29">
        <v>0.15</v>
      </c>
      <c r="Q5" s="28">
        <f>mixer</f>
        <v>216.32</v>
      </c>
      <c r="R5" s="26">
        <f>P5*Q5</f>
        <v>32.448</v>
      </c>
    </row>
    <row r="6" spans="1:18">
      <c r="A6" s="2"/>
      <c r="B6" s="714"/>
      <c r="C6" s="66"/>
      <c r="D6" s="4" t="s">
        <v>97</v>
      </c>
      <c r="E6" s="6" t="s">
        <v>81</v>
      </c>
      <c r="F6" s="29">
        <v>2.5</v>
      </c>
      <c r="G6" s="26">
        <f>ur</f>
        <v>850</v>
      </c>
      <c r="H6" s="26">
        <f>F6*G6</f>
        <v>2125</v>
      </c>
      <c r="I6" s="7" t="s">
        <v>252</v>
      </c>
      <c r="J6" s="8" t="s">
        <v>32</v>
      </c>
      <c r="K6" s="88">
        <v>0.12</v>
      </c>
      <c r="L6" s="28">
        <f>cement</f>
        <v>24049.69</v>
      </c>
      <c r="M6" s="26">
        <f>K6*L6</f>
        <v>2885.9627999999998</v>
      </c>
      <c r="N6" s="8" t="s">
        <v>288</v>
      </c>
      <c r="O6" s="6"/>
      <c r="P6" s="29"/>
      <c r="Q6" s="28"/>
      <c r="R6" s="26"/>
    </row>
    <row r="7" spans="1:18">
      <c r="A7" s="2"/>
      <c r="B7" s="714"/>
      <c r="C7" s="66"/>
      <c r="D7" s="4"/>
      <c r="E7" s="6"/>
      <c r="F7" s="29"/>
      <c r="G7" s="26"/>
      <c r="H7" s="26"/>
      <c r="I7" s="7" t="s">
        <v>286</v>
      </c>
      <c r="J7" s="8" t="s">
        <v>34</v>
      </c>
      <c r="K7" s="88">
        <v>0.22</v>
      </c>
      <c r="L7" s="28">
        <f>sand</f>
        <v>1050</v>
      </c>
      <c r="M7" s="26">
        <f>K7*L7</f>
        <v>231</v>
      </c>
      <c r="N7" s="8"/>
      <c r="O7" s="6"/>
      <c r="P7" s="29"/>
      <c r="Q7" s="28"/>
      <c r="R7" s="28"/>
    </row>
    <row r="8" spans="1:18">
      <c r="A8" s="2"/>
      <c r="B8" s="714"/>
      <c r="C8" s="66"/>
      <c r="D8" s="4"/>
      <c r="E8" s="6"/>
      <c r="F8" s="29"/>
      <c r="G8" s="26"/>
      <c r="H8" s="26"/>
      <c r="I8" s="7" t="s">
        <v>67</v>
      </c>
      <c r="J8" s="8" t="s">
        <v>250</v>
      </c>
      <c r="K8" s="88">
        <v>1</v>
      </c>
      <c r="L8" s="28">
        <f>diesel</f>
        <v>177.6</v>
      </c>
      <c r="M8" s="26">
        <f>K8*L8</f>
        <v>177.6</v>
      </c>
      <c r="N8" s="8"/>
      <c r="O8" s="6"/>
      <c r="P8" s="29"/>
      <c r="Q8" s="28"/>
      <c r="R8" s="28"/>
    </row>
    <row r="9" spans="1:18">
      <c r="A9" s="2"/>
      <c r="B9" s="126"/>
      <c r="C9" s="66"/>
      <c r="D9" s="4"/>
      <c r="E9" s="6"/>
      <c r="F9" s="29"/>
      <c r="G9" s="26"/>
      <c r="H9" s="26"/>
      <c r="I9" s="7" t="s">
        <v>215</v>
      </c>
      <c r="J9" s="8" t="s">
        <v>250</v>
      </c>
      <c r="K9" s="88">
        <v>72</v>
      </c>
      <c r="L9" s="28"/>
      <c r="M9" s="26">
        <f>K9*L9</f>
        <v>0</v>
      </c>
      <c r="N9" s="8"/>
      <c r="O9" s="6"/>
      <c r="P9" s="29"/>
      <c r="Q9" s="28"/>
      <c r="R9" s="28"/>
    </row>
    <row r="10" spans="1:18">
      <c r="A10" s="2"/>
      <c r="B10" s="126"/>
      <c r="C10" s="66"/>
      <c r="D10" s="4"/>
      <c r="E10" s="6"/>
      <c r="F10" s="29"/>
      <c r="G10" s="26"/>
      <c r="H10" s="26"/>
      <c r="I10" s="7"/>
      <c r="J10" s="8"/>
      <c r="K10" s="29"/>
      <c r="L10" s="28"/>
      <c r="M10" s="26"/>
      <c r="N10" s="8"/>
      <c r="O10" s="6"/>
      <c r="P10" s="29"/>
      <c r="Q10" s="28"/>
      <c r="R10" s="28"/>
    </row>
    <row r="11" spans="1:18">
      <c r="A11" s="2"/>
      <c r="B11" s="5"/>
      <c r="C11" s="66"/>
      <c r="D11" s="4"/>
      <c r="E11" s="9"/>
      <c r="F11" s="30"/>
      <c r="G11" s="27"/>
      <c r="H11" s="27"/>
      <c r="I11" s="9"/>
      <c r="J11" s="10"/>
      <c r="K11" s="30"/>
      <c r="L11" s="28"/>
      <c r="M11" s="28"/>
      <c r="N11" s="8"/>
      <c r="O11" s="6"/>
      <c r="P11" s="30"/>
      <c r="Q11" s="28"/>
      <c r="R11" s="28"/>
    </row>
    <row r="12" spans="1:18">
      <c r="A12" s="2"/>
      <c r="B12" s="11"/>
      <c r="C12" s="66"/>
      <c r="D12" s="12"/>
      <c r="E12" s="59"/>
      <c r="F12" s="13"/>
      <c r="G12" s="13" t="s">
        <v>20</v>
      </c>
      <c r="H12" s="25">
        <f>SUM(H4:H11)</f>
        <v>3775</v>
      </c>
      <c r="I12" s="703"/>
      <c r="J12" s="703"/>
      <c r="K12" s="14"/>
      <c r="L12" s="13" t="s">
        <v>21</v>
      </c>
      <c r="M12" s="25">
        <f>SUM(M4:M11)</f>
        <v>13094.5628</v>
      </c>
      <c r="N12" s="3"/>
      <c r="O12" s="14"/>
      <c r="P12" s="14"/>
      <c r="Q12" s="13" t="s">
        <v>22</v>
      </c>
      <c r="R12" s="25">
        <f>SUM(R4:R11)</f>
        <v>32.448</v>
      </c>
    </row>
    <row r="13" spans="1:18">
      <c r="A13" s="2"/>
      <c r="B13" s="16" t="s">
        <v>13</v>
      </c>
      <c r="C13" s="67"/>
      <c r="D13" s="14"/>
      <c r="E13" s="14"/>
      <c r="F13" s="14"/>
      <c r="G13" s="13"/>
      <c r="H13" s="35">
        <f>M12+R12+H12</f>
        <v>16902.0108</v>
      </c>
      <c r="I13" s="17"/>
      <c r="J13" s="14"/>
      <c r="K13" s="14"/>
      <c r="L13" s="13"/>
      <c r="M13" s="15"/>
      <c r="N13" s="14"/>
      <c r="O13" s="14"/>
      <c r="P13" s="14"/>
      <c r="Q13" s="14"/>
      <c r="R13" s="17"/>
    </row>
    <row r="14" spans="1:18">
      <c r="A14" s="2"/>
      <c r="B14" s="11" t="s">
        <v>25</v>
      </c>
      <c r="C14" s="68"/>
      <c r="D14" s="4"/>
      <c r="E14" s="4"/>
      <c r="F14" s="4"/>
      <c r="G14" s="18"/>
      <c r="H14" s="36">
        <v>0</v>
      </c>
      <c r="I14" s="20"/>
      <c r="J14" s="4" t="s">
        <v>26</v>
      </c>
      <c r="K14" s="4"/>
      <c r="L14" s="18"/>
      <c r="M14" s="19"/>
      <c r="N14" s="4"/>
      <c r="O14" s="4"/>
      <c r="P14" s="4"/>
      <c r="Q14" s="4"/>
      <c r="R14" s="20"/>
    </row>
    <row r="15" spans="1:18">
      <c r="A15" s="23"/>
      <c r="B15" s="11" t="s">
        <v>14</v>
      </c>
      <c r="C15" s="68"/>
      <c r="D15" s="4"/>
      <c r="E15" s="4"/>
      <c r="F15" s="4"/>
      <c r="G15" s="18"/>
      <c r="H15" s="36">
        <f>SUM(H13:H14)</f>
        <v>16902.0108</v>
      </c>
      <c r="I15" s="20"/>
      <c r="J15" s="704"/>
      <c r="K15" s="705"/>
      <c r="L15" s="705"/>
      <c r="M15" s="705"/>
      <c r="N15" s="705"/>
      <c r="O15" s="705"/>
      <c r="P15" s="705"/>
      <c r="Q15" s="705"/>
      <c r="R15" s="706"/>
    </row>
    <row r="16" spans="1:18">
      <c r="A16" s="23"/>
      <c r="B16" s="11" t="s">
        <v>24</v>
      </c>
      <c r="C16" s="68"/>
      <c r="D16" s="4"/>
      <c r="E16" s="4"/>
      <c r="F16" s="4"/>
      <c r="G16" s="18"/>
      <c r="H16" s="36">
        <f>H15*15%</f>
        <v>2535.3016199999997</v>
      </c>
      <c r="I16" s="20"/>
      <c r="J16" s="707"/>
      <c r="K16" s="708"/>
      <c r="L16" s="708"/>
      <c r="M16" s="708"/>
      <c r="N16" s="708"/>
      <c r="O16" s="708"/>
      <c r="P16" s="708"/>
      <c r="Q16" s="708"/>
      <c r="R16" s="709"/>
    </row>
    <row r="17" spans="1:18">
      <c r="A17" s="23"/>
      <c r="B17" s="11" t="s">
        <v>15</v>
      </c>
      <c r="C17" s="68"/>
      <c r="D17" s="4"/>
      <c r="E17" s="4"/>
      <c r="F17" s="4"/>
      <c r="G17" s="21" t="s">
        <v>16</v>
      </c>
      <c r="H17" s="37">
        <f>H16+H15</f>
        <v>19437.312419999998</v>
      </c>
      <c r="I17" s="38" t="str">
        <f>CONCATENATE("per ",C4)</f>
        <v>per cum</v>
      </c>
      <c r="J17" s="707"/>
      <c r="K17" s="708"/>
      <c r="L17" s="708"/>
      <c r="M17" s="708"/>
      <c r="N17" s="708"/>
      <c r="O17" s="708"/>
      <c r="P17" s="708"/>
      <c r="Q17" s="708"/>
      <c r="R17" s="709"/>
    </row>
    <row r="18" spans="1:18">
      <c r="A18" s="23"/>
      <c r="B18" s="11" t="s">
        <v>18</v>
      </c>
      <c r="C18" s="125" t="s">
        <v>19</v>
      </c>
      <c r="D18" s="4"/>
      <c r="E18" s="4"/>
      <c r="F18" s="4"/>
      <c r="G18" s="21" t="s">
        <v>16</v>
      </c>
      <c r="H18" s="37">
        <f>CEILING(H17,0.5)</f>
        <v>19437.5</v>
      </c>
      <c r="I18" s="38" t="str">
        <f>CONCATENATE("per ",C4)</f>
        <v>per cum</v>
      </c>
      <c r="J18" s="707"/>
      <c r="K18" s="708"/>
      <c r="L18" s="708"/>
      <c r="M18" s="708"/>
      <c r="N18" s="708"/>
      <c r="O18" s="708"/>
      <c r="P18" s="708"/>
      <c r="Q18" s="708"/>
      <c r="R18" s="709"/>
    </row>
    <row r="19" spans="1:18">
      <c r="A19" s="23"/>
      <c r="B19" s="11"/>
      <c r="C19" s="68"/>
      <c r="D19" s="4"/>
      <c r="E19" s="4"/>
      <c r="F19" s="4"/>
      <c r="G19" s="24" t="s">
        <v>17</v>
      </c>
      <c r="H19" s="37">
        <f>H18/exr</f>
        <v>149.51923076923077</v>
      </c>
      <c r="I19" s="38" t="str">
        <f>CONCATENATE("per ",C4)</f>
        <v>per cum</v>
      </c>
      <c r="J19" s="710"/>
      <c r="K19" s="711"/>
      <c r="L19" s="711"/>
      <c r="M19" s="711"/>
      <c r="N19" s="711"/>
      <c r="O19" s="711"/>
      <c r="P19" s="711"/>
      <c r="Q19" s="711"/>
      <c r="R19" s="712"/>
    </row>
    <row r="20" spans="1:18">
      <c r="A20" s="39"/>
      <c r="B20" s="40"/>
      <c r="C20" s="69"/>
      <c r="D20" s="41"/>
      <c r="E20" s="41"/>
      <c r="F20" s="41"/>
      <c r="G20" s="149" t="s">
        <v>460</v>
      </c>
      <c r="H20" s="150">
        <f>CEILING(SUM(M6,M8,R5)/H13,0.0025)</f>
        <v>0.185</v>
      </c>
      <c r="I20" s="42"/>
      <c r="J20" s="43"/>
      <c r="K20" s="43"/>
      <c r="L20" s="43"/>
      <c r="M20" s="43"/>
      <c r="N20" s="43"/>
      <c r="O20" s="43"/>
      <c r="P20" s="43"/>
      <c r="Q20" s="43"/>
      <c r="R20" s="44"/>
    </row>
    <row r="21" spans="1:18">
      <c r="A21" s="22"/>
      <c r="B21" s="22"/>
      <c r="C21" s="70"/>
      <c r="D21" s="22"/>
      <c r="E21" s="22"/>
      <c r="F21" s="22"/>
      <c r="G21" s="22"/>
      <c r="H21" s="22"/>
      <c r="I21" s="22"/>
      <c r="J21" s="22"/>
      <c r="K21" s="22"/>
      <c r="L21" s="22"/>
      <c r="M21" s="22"/>
      <c r="N21" s="22"/>
      <c r="O21" s="22"/>
      <c r="P21" s="22"/>
      <c r="Q21" s="22"/>
      <c r="R21" s="22"/>
    </row>
    <row r="22" spans="1:18">
      <c r="A22" s="693" t="s">
        <v>0</v>
      </c>
      <c r="B22" s="695" t="s">
        <v>1</v>
      </c>
      <c r="C22" s="695" t="s">
        <v>2</v>
      </c>
      <c r="D22" s="697" t="s">
        <v>3</v>
      </c>
      <c r="E22" s="698"/>
      <c r="F22" s="698"/>
      <c r="G22" s="698"/>
      <c r="H22" s="698"/>
      <c r="I22" s="699" t="s">
        <v>4</v>
      </c>
      <c r="J22" s="700"/>
      <c r="K22" s="700"/>
      <c r="L22" s="700"/>
      <c r="M22" s="700"/>
      <c r="N22" s="698" t="s">
        <v>5</v>
      </c>
      <c r="O22" s="698"/>
      <c r="P22" s="698"/>
      <c r="Q22" s="698"/>
      <c r="R22" s="698"/>
    </row>
    <row r="23" spans="1:18">
      <c r="A23" s="694"/>
      <c r="B23" s="696"/>
      <c r="C23" s="696"/>
      <c r="D23" s="45" t="s">
        <v>6</v>
      </c>
      <c r="E23" s="46" t="s">
        <v>2</v>
      </c>
      <c r="F23" s="46" t="s">
        <v>7</v>
      </c>
      <c r="G23" s="46" t="s">
        <v>8</v>
      </c>
      <c r="H23" s="46" t="s">
        <v>9</v>
      </c>
      <c r="I23" s="46" t="s">
        <v>10</v>
      </c>
      <c r="J23" s="46" t="s">
        <v>2</v>
      </c>
      <c r="K23" s="46" t="s">
        <v>7</v>
      </c>
      <c r="L23" s="46" t="s">
        <v>8</v>
      </c>
      <c r="M23" s="47" t="s">
        <v>9</v>
      </c>
      <c r="N23" s="46" t="s">
        <v>10</v>
      </c>
      <c r="O23" s="46" t="s">
        <v>2</v>
      </c>
      <c r="P23" s="46" t="s">
        <v>7</v>
      </c>
      <c r="Q23" s="46" t="s">
        <v>8</v>
      </c>
      <c r="R23" s="46" t="s">
        <v>9</v>
      </c>
    </row>
    <row r="24" spans="1:18">
      <c r="A24" s="33" t="s">
        <v>23</v>
      </c>
      <c r="B24" s="73" t="s">
        <v>282</v>
      </c>
      <c r="C24" s="65"/>
      <c r="D24" s="31"/>
      <c r="E24" s="31"/>
      <c r="F24" s="31"/>
      <c r="G24" s="31"/>
      <c r="H24" s="31"/>
      <c r="I24" s="31"/>
      <c r="J24" s="31"/>
      <c r="K24" s="31"/>
      <c r="L24" s="31"/>
      <c r="M24" s="31"/>
      <c r="N24" s="31"/>
      <c r="O24" s="31"/>
      <c r="P24" s="31"/>
      <c r="Q24" s="31"/>
      <c r="R24" s="32"/>
    </row>
    <row r="25" spans="1:18">
      <c r="A25" s="34">
        <f>A4+1</f>
        <v>2</v>
      </c>
      <c r="B25" s="713" t="s">
        <v>289</v>
      </c>
      <c r="C25" s="66" t="s">
        <v>11</v>
      </c>
      <c r="D25" s="4"/>
      <c r="E25" s="6"/>
      <c r="F25" s="29"/>
      <c r="G25" s="26"/>
      <c r="H25" s="26"/>
      <c r="I25" s="6"/>
      <c r="J25" s="6"/>
      <c r="K25" s="29"/>
      <c r="L25" s="26"/>
      <c r="M25" s="26"/>
      <c r="N25" s="6"/>
      <c r="O25" s="6"/>
      <c r="P25" s="29"/>
      <c r="Q25" s="26"/>
      <c r="R25" s="26"/>
    </row>
    <row r="26" spans="1:18">
      <c r="A26" s="2"/>
      <c r="B26" s="714"/>
      <c r="C26" s="66"/>
      <c r="D26" s="4" t="s">
        <v>251</v>
      </c>
      <c r="E26" s="6" t="s">
        <v>81</v>
      </c>
      <c r="F26" s="29">
        <v>1.5</v>
      </c>
      <c r="G26" s="26">
        <f>sr</f>
        <v>1100</v>
      </c>
      <c r="H26" s="26">
        <f>F26*G26</f>
        <v>1650</v>
      </c>
      <c r="I26" s="7" t="s">
        <v>284</v>
      </c>
      <c r="J26" s="8" t="s">
        <v>285</v>
      </c>
      <c r="K26" s="88">
        <v>560</v>
      </c>
      <c r="L26" s="28">
        <f>bricks</f>
        <v>17.5</v>
      </c>
      <c r="M26" s="26">
        <f>K26*L26</f>
        <v>9800</v>
      </c>
      <c r="N26" s="8" t="s">
        <v>287</v>
      </c>
      <c r="O26" s="6" t="s">
        <v>101</v>
      </c>
      <c r="P26" s="29">
        <v>0.15</v>
      </c>
      <c r="Q26" s="28">
        <f>mixer</f>
        <v>216.32</v>
      </c>
      <c r="R26" s="26">
        <f>P26*Q26</f>
        <v>32.448</v>
      </c>
    </row>
    <row r="27" spans="1:18">
      <c r="A27" s="2"/>
      <c r="B27" s="714"/>
      <c r="C27" s="66"/>
      <c r="D27" s="4" t="s">
        <v>97</v>
      </c>
      <c r="E27" s="6" t="s">
        <v>81</v>
      </c>
      <c r="F27" s="29">
        <v>2.5</v>
      </c>
      <c r="G27" s="26">
        <f>ur</f>
        <v>850</v>
      </c>
      <c r="H27" s="26">
        <f>F27*G27</f>
        <v>2125</v>
      </c>
      <c r="I27" s="7" t="s">
        <v>252</v>
      </c>
      <c r="J27" s="8" t="s">
        <v>32</v>
      </c>
      <c r="K27" s="88">
        <v>0.09</v>
      </c>
      <c r="L27" s="28">
        <f>cement</f>
        <v>24049.69</v>
      </c>
      <c r="M27" s="26">
        <f>K27*L27</f>
        <v>2164.4721</v>
      </c>
      <c r="N27" s="8" t="s">
        <v>288</v>
      </c>
      <c r="O27" s="6"/>
      <c r="P27" s="29"/>
      <c r="Q27" s="28"/>
      <c r="R27" s="26"/>
    </row>
    <row r="28" spans="1:18">
      <c r="A28" s="2"/>
      <c r="B28" s="714"/>
      <c r="C28" s="66"/>
      <c r="D28" s="4"/>
      <c r="E28" s="6"/>
      <c r="F28" s="29"/>
      <c r="G28" s="26"/>
      <c r="H28" s="26"/>
      <c r="I28" s="7" t="s">
        <v>286</v>
      </c>
      <c r="J28" s="8" t="s">
        <v>34</v>
      </c>
      <c r="K28" s="88">
        <v>0.25</v>
      </c>
      <c r="L28" s="28">
        <f>sand</f>
        <v>1050</v>
      </c>
      <c r="M28" s="26">
        <f>K28*L28</f>
        <v>262.5</v>
      </c>
      <c r="N28" s="8"/>
      <c r="O28" s="6"/>
      <c r="P28" s="29"/>
      <c r="Q28" s="28"/>
      <c r="R28" s="28"/>
    </row>
    <row r="29" spans="1:18">
      <c r="A29" s="2"/>
      <c r="B29" s="714"/>
      <c r="C29" s="66"/>
      <c r="D29" s="4"/>
      <c r="E29" s="6"/>
      <c r="F29" s="29"/>
      <c r="G29" s="26"/>
      <c r="H29" s="26"/>
      <c r="I29" s="7" t="s">
        <v>67</v>
      </c>
      <c r="J29" s="8" t="s">
        <v>250</v>
      </c>
      <c r="K29" s="88">
        <v>1</v>
      </c>
      <c r="L29" s="28">
        <f>diesel</f>
        <v>177.6</v>
      </c>
      <c r="M29" s="26">
        <f>K29*L29</f>
        <v>177.6</v>
      </c>
      <c r="N29" s="8"/>
      <c r="O29" s="6"/>
      <c r="P29" s="29"/>
      <c r="Q29" s="28"/>
      <c r="R29" s="28"/>
    </row>
    <row r="30" spans="1:18">
      <c r="A30" s="2"/>
      <c r="B30" s="126"/>
      <c r="C30" s="66"/>
      <c r="D30" s="4"/>
      <c r="E30" s="6"/>
      <c r="F30" s="29"/>
      <c r="G30" s="26"/>
      <c r="H30" s="26"/>
      <c r="I30" s="7" t="s">
        <v>215</v>
      </c>
      <c r="J30" s="8" t="s">
        <v>250</v>
      </c>
      <c r="K30" s="88">
        <v>54</v>
      </c>
      <c r="L30" s="28"/>
      <c r="M30" s="26">
        <f>K30*L30</f>
        <v>0</v>
      </c>
      <c r="N30" s="8"/>
      <c r="O30" s="6"/>
      <c r="P30" s="29"/>
      <c r="Q30" s="28"/>
      <c r="R30" s="28"/>
    </row>
    <row r="31" spans="1:18">
      <c r="A31" s="2"/>
      <c r="B31" s="126"/>
      <c r="C31" s="66"/>
      <c r="D31" s="4"/>
      <c r="E31" s="6"/>
      <c r="F31" s="29"/>
      <c r="G31" s="26"/>
      <c r="H31" s="26"/>
      <c r="I31" s="7"/>
      <c r="J31" s="8"/>
      <c r="K31" s="29"/>
      <c r="L31" s="28"/>
      <c r="M31" s="26"/>
      <c r="N31" s="8"/>
      <c r="O31" s="6"/>
      <c r="P31" s="29"/>
      <c r="Q31" s="28"/>
      <c r="R31" s="28"/>
    </row>
    <row r="32" spans="1:18">
      <c r="A32" s="2"/>
      <c r="B32" s="5"/>
      <c r="C32" s="66"/>
      <c r="D32" s="4"/>
      <c r="E32" s="9"/>
      <c r="F32" s="30"/>
      <c r="G32" s="27"/>
      <c r="H32" s="27"/>
      <c r="I32" s="9"/>
      <c r="J32" s="10"/>
      <c r="K32" s="30"/>
      <c r="L32" s="28"/>
      <c r="M32" s="28"/>
      <c r="N32" s="8"/>
      <c r="O32" s="6"/>
      <c r="P32" s="30"/>
      <c r="Q32" s="28"/>
      <c r="R32" s="28"/>
    </row>
    <row r="33" spans="1:18">
      <c r="A33" s="2"/>
      <c r="B33" s="11"/>
      <c r="C33" s="66"/>
      <c r="D33" s="12"/>
      <c r="E33" s="59"/>
      <c r="F33" s="13"/>
      <c r="G33" s="13" t="s">
        <v>20</v>
      </c>
      <c r="H33" s="25">
        <f>SUM(H25:H32)</f>
        <v>3775</v>
      </c>
      <c r="I33" s="703"/>
      <c r="J33" s="703"/>
      <c r="K33" s="14"/>
      <c r="L33" s="13" t="s">
        <v>21</v>
      </c>
      <c r="M33" s="25">
        <f>SUM(M25:M32)</f>
        <v>12404.572099999999</v>
      </c>
      <c r="N33" s="3"/>
      <c r="O33" s="14"/>
      <c r="P33" s="14"/>
      <c r="Q33" s="13" t="s">
        <v>22</v>
      </c>
      <c r="R33" s="25">
        <f>SUM(R25:R32)</f>
        <v>32.448</v>
      </c>
    </row>
    <row r="34" spans="1:18">
      <c r="A34" s="2"/>
      <c r="B34" s="16" t="s">
        <v>13</v>
      </c>
      <c r="C34" s="67"/>
      <c r="D34" s="14"/>
      <c r="E34" s="14"/>
      <c r="F34" s="14"/>
      <c r="G34" s="13"/>
      <c r="H34" s="35">
        <f>M33+R33+H33</f>
        <v>16212.0201</v>
      </c>
      <c r="I34" s="17"/>
      <c r="J34" s="14"/>
      <c r="K34" s="14"/>
      <c r="L34" s="13"/>
      <c r="M34" s="15"/>
      <c r="N34" s="14"/>
      <c r="O34" s="14"/>
      <c r="P34" s="14"/>
      <c r="Q34" s="14"/>
      <c r="R34" s="17"/>
    </row>
    <row r="35" spans="1:18">
      <c r="A35" s="2"/>
      <c r="B35" s="11" t="s">
        <v>25</v>
      </c>
      <c r="C35" s="68"/>
      <c r="D35" s="4"/>
      <c r="E35" s="4"/>
      <c r="F35" s="4"/>
      <c r="G35" s="18"/>
      <c r="H35" s="36">
        <v>0</v>
      </c>
      <c r="I35" s="20"/>
      <c r="J35" s="4" t="s">
        <v>26</v>
      </c>
      <c r="K35" s="4"/>
      <c r="L35" s="18"/>
      <c r="M35" s="19"/>
      <c r="N35" s="4"/>
      <c r="O35" s="4"/>
      <c r="P35" s="4"/>
      <c r="Q35" s="4"/>
      <c r="R35" s="20"/>
    </row>
    <row r="36" spans="1:18">
      <c r="A36" s="23"/>
      <c r="B36" s="11" t="s">
        <v>14</v>
      </c>
      <c r="C36" s="68"/>
      <c r="D36" s="4"/>
      <c r="E36" s="4"/>
      <c r="F36" s="4"/>
      <c r="G36" s="18"/>
      <c r="H36" s="36">
        <f>SUM(H34:H35)</f>
        <v>16212.0201</v>
      </c>
      <c r="I36" s="20"/>
      <c r="J36" s="704"/>
      <c r="K36" s="705"/>
      <c r="L36" s="705"/>
      <c r="M36" s="705"/>
      <c r="N36" s="705"/>
      <c r="O36" s="705"/>
      <c r="P36" s="705"/>
      <c r="Q36" s="705"/>
      <c r="R36" s="706"/>
    </row>
    <row r="37" spans="1:18">
      <c r="A37" s="23"/>
      <c r="B37" s="11" t="s">
        <v>24</v>
      </c>
      <c r="C37" s="68"/>
      <c r="D37" s="4"/>
      <c r="E37" s="4"/>
      <c r="F37" s="4"/>
      <c r="G37" s="18"/>
      <c r="H37" s="36">
        <f>H36*15%</f>
        <v>2431.803015</v>
      </c>
      <c r="I37" s="20"/>
      <c r="J37" s="707"/>
      <c r="K37" s="708"/>
      <c r="L37" s="708"/>
      <c r="M37" s="708"/>
      <c r="N37" s="708"/>
      <c r="O37" s="708"/>
      <c r="P37" s="708"/>
      <c r="Q37" s="708"/>
      <c r="R37" s="709"/>
    </row>
    <row r="38" spans="1:18">
      <c r="A38" s="23"/>
      <c r="B38" s="11" t="s">
        <v>15</v>
      </c>
      <c r="C38" s="68"/>
      <c r="D38" s="4"/>
      <c r="E38" s="4"/>
      <c r="F38" s="4"/>
      <c r="G38" s="21" t="s">
        <v>16</v>
      </c>
      <c r="H38" s="37">
        <f>H37+H36</f>
        <v>18643.823114999999</v>
      </c>
      <c r="I38" s="38" t="str">
        <f>CONCATENATE("per ",C25)</f>
        <v>per cum</v>
      </c>
      <c r="J38" s="707"/>
      <c r="K38" s="708"/>
      <c r="L38" s="708"/>
      <c r="M38" s="708"/>
      <c r="N38" s="708"/>
      <c r="O38" s="708"/>
      <c r="P38" s="708"/>
      <c r="Q38" s="708"/>
      <c r="R38" s="709"/>
    </row>
    <row r="39" spans="1:18">
      <c r="A39" s="23"/>
      <c r="B39" s="11" t="s">
        <v>18</v>
      </c>
      <c r="C39" s="125" t="s">
        <v>19</v>
      </c>
      <c r="D39" s="4"/>
      <c r="E39" s="4"/>
      <c r="F39" s="4"/>
      <c r="G39" s="21" t="s">
        <v>16</v>
      </c>
      <c r="H39" s="37">
        <f>CEILING(H38,0.5)</f>
        <v>18644</v>
      </c>
      <c r="I39" s="38" t="str">
        <f>CONCATENATE("per ",C25)</f>
        <v>per cum</v>
      </c>
      <c r="J39" s="707"/>
      <c r="K39" s="708"/>
      <c r="L39" s="708"/>
      <c r="M39" s="708"/>
      <c r="N39" s="708"/>
      <c r="O39" s="708"/>
      <c r="P39" s="708"/>
      <c r="Q39" s="708"/>
      <c r="R39" s="709"/>
    </row>
    <row r="40" spans="1:18">
      <c r="A40" s="23"/>
      <c r="B40" s="11"/>
      <c r="C40" s="68"/>
      <c r="D40" s="4"/>
      <c r="E40" s="4"/>
      <c r="F40" s="4"/>
      <c r="G40" s="24" t="s">
        <v>17</v>
      </c>
      <c r="H40" s="37">
        <f>H39/exr</f>
        <v>143.41538461538462</v>
      </c>
      <c r="I40" s="38" t="str">
        <f>CONCATENATE("per ",C25)</f>
        <v>per cum</v>
      </c>
      <c r="J40" s="710"/>
      <c r="K40" s="711"/>
      <c r="L40" s="711"/>
      <c r="M40" s="711"/>
      <c r="N40" s="711"/>
      <c r="O40" s="711"/>
      <c r="P40" s="711"/>
      <c r="Q40" s="711"/>
      <c r="R40" s="712"/>
    </row>
    <row r="41" spans="1:18">
      <c r="A41" s="39"/>
      <c r="B41" s="40"/>
      <c r="C41" s="69"/>
      <c r="D41" s="41"/>
      <c r="E41" s="41"/>
      <c r="F41" s="41"/>
      <c r="G41" s="149" t="s">
        <v>460</v>
      </c>
      <c r="H41" s="150">
        <f>CEILING(SUM(M27,M29,R26)/H34,0.0025)</f>
        <v>0.14749999999999999</v>
      </c>
      <c r="I41" s="42"/>
      <c r="J41" s="43"/>
      <c r="K41" s="43"/>
      <c r="L41" s="43"/>
      <c r="M41" s="43"/>
      <c r="N41" s="43"/>
      <c r="O41" s="43"/>
      <c r="P41" s="43"/>
      <c r="Q41" s="43"/>
      <c r="R41" s="44"/>
    </row>
    <row r="43" spans="1:18">
      <c r="A43" s="693" t="s">
        <v>0</v>
      </c>
      <c r="B43" s="695" t="s">
        <v>1</v>
      </c>
      <c r="C43" s="695" t="s">
        <v>2</v>
      </c>
      <c r="D43" s="697" t="s">
        <v>3</v>
      </c>
      <c r="E43" s="698"/>
      <c r="F43" s="698"/>
      <c r="G43" s="698"/>
      <c r="H43" s="698"/>
      <c r="I43" s="699" t="s">
        <v>4</v>
      </c>
      <c r="J43" s="700"/>
      <c r="K43" s="700"/>
      <c r="L43" s="700"/>
      <c r="M43" s="700"/>
      <c r="N43" s="698" t="s">
        <v>5</v>
      </c>
      <c r="O43" s="698"/>
      <c r="P43" s="698"/>
      <c r="Q43" s="698"/>
      <c r="R43" s="698"/>
    </row>
    <row r="44" spans="1:18">
      <c r="A44" s="694"/>
      <c r="B44" s="696"/>
      <c r="C44" s="696"/>
      <c r="D44" s="45" t="s">
        <v>6</v>
      </c>
      <c r="E44" s="46" t="s">
        <v>2</v>
      </c>
      <c r="F44" s="46" t="s">
        <v>7</v>
      </c>
      <c r="G44" s="46" t="s">
        <v>8</v>
      </c>
      <c r="H44" s="46" t="s">
        <v>9</v>
      </c>
      <c r="I44" s="46" t="s">
        <v>10</v>
      </c>
      <c r="J44" s="46" t="s">
        <v>2</v>
      </c>
      <c r="K44" s="46" t="s">
        <v>7</v>
      </c>
      <c r="L44" s="46" t="s">
        <v>8</v>
      </c>
      <c r="M44" s="47" t="s">
        <v>9</v>
      </c>
      <c r="N44" s="46" t="s">
        <v>10</v>
      </c>
      <c r="O44" s="46" t="s">
        <v>2</v>
      </c>
      <c r="P44" s="46" t="s">
        <v>7</v>
      </c>
      <c r="Q44" s="46" t="s">
        <v>8</v>
      </c>
      <c r="R44" s="46" t="s">
        <v>9</v>
      </c>
    </row>
    <row r="45" spans="1:18">
      <c r="A45" s="33" t="s">
        <v>23</v>
      </c>
      <c r="B45" s="73" t="s">
        <v>282</v>
      </c>
      <c r="C45" s="65"/>
      <c r="D45" s="31"/>
      <c r="E45" s="31"/>
      <c r="F45" s="31"/>
      <c r="G45" s="31"/>
      <c r="H45" s="31"/>
      <c r="I45" s="31"/>
      <c r="J45" s="31"/>
      <c r="K45" s="31"/>
      <c r="L45" s="31"/>
      <c r="M45" s="31"/>
      <c r="N45" s="31"/>
      <c r="O45" s="31"/>
      <c r="P45" s="31"/>
      <c r="Q45" s="31"/>
      <c r="R45" s="32"/>
    </row>
    <row r="46" spans="1:18">
      <c r="A46" s="34">
        <f>A25+1</f>
        <v>3</v>
      </c>
      <c r="B46" s="713" t="s">
        <v>290</v>
      </c>
      <c r="C46" s="66" t="s">
        <v>11</v>
      </c>
      <c r="D46" s="4"/>
      <c r="E46" s="6"/>
      <c r="F46" s="29"/>
      <c r="G46" s="26"/>
      <c r="H46" s="26"/>
      <c r="I46" s="6"/>
      <c r="J46" s="6"/>
      <c r="K46" s="29"/>
      <c r="L46" s="26"/>
      <c r="M46" s="26"/>
      <c r="N46" s="6"/>
      <c r="O46" s="6"/>
      <c r="P46" s="29"/>
      <c r="Q46" s="26"/>
      <c r="R46" s="26"/>
    </row>
    <row r="47" spans="1:18">
      <c r="A47" s="2"/>
      <c r="B47" s="714"/>
      <c r="C47" s="66"/>
      <c r="D47" s="4" t="s">
        <v>251</v>
      </c>
      <c r="E47" s="6" t="s">
        <v>81</v>
      </c>
      <c r="F47" s="29">
        <v>1.5</v>
      </c>
      <c r="G47" s="26">
        <f>sr</f>
        <v>1100</v>
      </c>
      <c r="H47" s="26">
        <f>F47*G47</f>
        <v>1650</v>
      </c>
      <c r="I47" s="7" t="s">
        <v>284</v>
      </c>
      <c r="J47" s="8" t="s">
        <v>285</v>
      </c>
      <c r="K47" s="88">
        <v>560</v>
      </c>
      <c r="L47" s="28">
        <f>bricks</f>
        <v>17.5</v>
      </c>
      <c r="M47" s="26">
        <f>K47*L47</f>
        <v>9800</v>
      </c>
      <c r="N47" s="8" t="s">
        <v>287</v>
      </c>
      <c r="O47" s="6" t="s">
        <v>101</v>
      </c>
      <c r="P47" s="29">
        <v>0.15</v>
      </c>
      <c r="Q47" s="28">
        <f>mixer</f>
        <v>216.32</v>
      </c>
      <c r="R47" s="26">
        <f>P47*Q47</f>
        <v>32.448</v>
      </c>
    </row>
    <row r="48" spans="1:18">
      <c r="A48" s="2"/>
      <c r="B48" s="714"/>
      <c r="C48" s="66"/>
      <c r="D48" s="4" t="s">
        <v>97</v>
      </c>
      <c r="E48" s="6" t="s">
        <v>81</v>
      </c>
      <c r="F48" s="29">
        <v>2.5</v>
      </c>
      <c r="G48" s="26">
        <f>ur</f>
        <v>850</v>
      </c>
      <c r="H48" s="26">
        <f>F48*G48</f>
        <v>2125</v>
      </c>
      <c r="I48" s="7" t="s">
        <v>252</v>
      </c>
      <c r="J48" s="8" t="s">
        <v>32</v>
      </c>
      <c r="K48" s="88">
        <v>0.06</v>
      </c>
      <c r="L48" s="28">
        <f>cement</f>
        <v>24049.69</v>
      </c>
      <c r="M48" s="26">
        <f>K48*L48</f>
        <v>1442.9813999999999</v>
      </c>
      <c r="N48" s="8" t="s">
        <v>288</v>
      </c>
      <c r="O48" s="6"/>
      <c r="P48" s="29"/>
      <c r="Q48" s="28"/>
      <c r="R48" s="26"/>
    </row>
    <row r="49" spans="1:18">
      <c r="A49" s="2"/>
      <c r="B49" s="714"/>
      <c r="C49" s="66"/>
      <c r="D49" s="4"/>
      <c r="E49" s="6"/>
      <c r="F49" s="29"/>
      <c r="G49" s="26"/>
      <c r="H49" s="26"/>
      <c r="I49" s="7" t="s">
        <v>286</v>
      </c>
      <c r="J49" s="8" t="s">
        <v>34</v>
      </c>
      <c r="K49" s="88">
        <v>0.3</v>
      </c>
      <c r="L49" s="28">
        <f>sand</f>
        <v>1050</v>
      </c>
      <c r="M49" s="26">
        <f>K49*L49</f>
        <v>315</v>
      </c>
      <c r="N49" s="8"/>
      <c r="O49" s="6"/>
      <c r="P49" s="29"/>
      <c r="Q49" s="28"/>
      <c r="R49" s="28"/>
    </row>
    <row r="50" spans="1:18">
      <c r="A50" s="2"/>
      <c r="B50" s="714"/>
      <c r="C50" s="66"/>
      <c r="D50" s="4"/>
      <c r="E50" s="6"/>
      <c r="F50" s="29"/>
      <c r="G50" s="26"/>
      <c r="H50" s="26"/>
      <c r="I50" s="7" t="s">
        <v>67</v>
      </c>
      <c r="J50" s="8" t="s">
        <v>250</v>
      </c>
      <c r="K50" s="88">
        <v>1</v>
      </c>
      <c r="L50" s="28">
        <f>diesel</f>
        <v>177.6</v>
      </c>
      <c r="M50" s="26">
        <f>K50*L50</f>
        <v>177.6</v>
      </c>
      <c r="N50" s="8"/>
      <c r="O50" s="6"/>
      <c r="P50" s="29"/>
      <c r="Q50" s="28"/>
      <c r="R50" s="28"/>
    </row>
    <row r="51" spans="1:18">
      <c r="A51" s="2"/>
      <c r="B51" s="126"/>
      <c r="C51" s="66"/>
      <c r="D51" s="4"/>
      <c r="E51" s="6"/>
      <c r="F51" s="29"/>
      <c r="G51" s="26"/>
      <c r="H51" s="26"/>
      <c r="I51" s="7" t="s">
        <v>215</v>
      </c>
      <c r="J51" s="8" t="s">
        <v>250</v>
      </c>
      <c r="K51" s="88">
        <v>36</v>
      </c>
      <c r="L51" s="28"/>
      <c r="M51" s="26">
        <f>K51*L51</f>
        <v>0</v>
      </c>
      <c r="N51" s="8"/>
      <c r="O51" s="6"/>
      <c r="P51" s="29"/>
      <c r="Q51" s="28"/>
      <c r="R51" s="28"/>
    </row>
    <row r="52" spans="1:18">
      <c r="A52" s="2"/>
      <c r="B52" s="126"/>
      <c r="C52" s="66"/>
      <c r="D52" s="4"/>
      <c r="E52" s="6"/>
      <c r="F52" s="29"/>
      <c r="G52" s="26"/>
      <c r="H52" s="26"/>
      <c r="I52" s="7"/>
      <c r="J52" s="8"/>
      <c r="K52" s="29"/>
      <c r="L52" s="28"/>
      <c r="M52" s="26"/>
      <c r="N52" s="8"/>
      <c r="O52" s="6"/>
      <c r="P52" s="29"/>
      <c r="Q52" s="28"/>
      <c r="R52" s="28"/>
    </row>
    <row r="53" spans="1:18">
      <c r="A53" s="2"/>
      <c r="B53" s="5"/>
      <c r="C53" s="66"/>
      <c r="D53" s="4"/>
      <c r="E53" s="9"/>
      <c r="F53" s="30"/>
      <c r="G53" s="27"/>
      <c r="H53" s="27"/>
      <c r="I53" s="9"/>
      <c r="J53" s="10"/>
      <c r="K53" s="30"/>
      <c r="L53" s="28"/>
      <c r="M53" s="28"/>
      <c r="N53" s="8"/>
      <c r="O53" s="6"/>
      <c r="P53" s="30"/>
      <c r="Q53" s="28"/>
      <c r="R53" s="28"/>
    </row>
    <row r="54" spans="1:18">
      <c r="A54" s="2"/>
      <c r="B54" s="11"/>
      <c r="C54" s="66"/>
      <c r="D54" s="12"/>
      <c r="E54" s="59"/>
      <c r="F54" s="13"/>
      <c r="G54" s="13" t="s">
        <v>20</v>
      </c>
      <c r="H54" s="25">
        <f>SUM(H46:H53)</f>
        <v>3775</v>
      </c>
      <c r="I54" s="703"/>
      <c r="J54" s="703"/>
      <c r="K54" s="14"/>
      <c r="L54" s="13" t="s">
        <v>21</v>
      </c>
      <c r="M54" s="25">
        <f>SUM(M46:M53)</f>
        <v>11735.581400000001</v>
      </c>
      <c r="N54" s="3"/>
      <c r="O54" s="14"/>
      <c r="P54" s="14"/>
      <c r="Q54" s="13" t="s">
        <v>22</v>
      </c>
      <c r="R54" s="25">
        <f>SUM(R46:R53)</f>
        <v>32.448</v>
      </c>
    </row>
    <row r="55" spans="1:18">
      <c r="A55" s="2"/>
      <c r="B55" s="16" t="s">
        <v>13</v>
      </c>
      <c r="C55" s="67"/>
      <c r="D55" s="14"/>
      <c r="E55" s="14"/>
      <c r="F55" s="14"/>
      <c r="G55" s="13"/>
      <c r="H55" s="35">
        <f>M54+R54+H54</f>
        <v>15543.029400000001</v>
      </c>
      <c r="I55" s="17"/>
      <c r="J55" s="14"/>
      <c r="K55" s="14"/>
      <c r="L55" s="13"/>
      <c r="M55" s="15"/>
      <c r="N55" s="14"/>
      <c r="O55" s="14"/>
      <c r="P55" s="14"/>
      <c r="Q55" s="14"/>
      <c r="R55" s="17"/>
    </row>
    <row r="56" spans="1:18">
      <c r="A56" s="2"/>
      <c r="B56" s="11" t="s">
        <v>25</v>
      </c>
      <c r="C56" s="68"/>
      <c r="D56" s="4"/>
      <c r="E56" s="4"/>
      <c r="F56" s="4"/>
      <c r="G56" s="18"/>
      <c r="H56" s="36">
        <v>0</v>
      </c>
      <c r="I56" s="20"/>
      <c r="J56" s="4" t="s">
        <v>26</v>
      </c>
      <c r="K56" s="4"/>
      <c r="L56" s="18"/>
      <c r="M56" s="19"/>
      <c r="N56" s="4"/>
      <c r="O56" s="4"/>
      <c r="P56" s="4"/>
      <c r="Q56" s="4"/>
      <c r="R56" s="20"/>
    </row>
    <row r="57" spans="1:18">
      <c r="A57" s="23"/>
      <c r="B57" s="11" t="s">
        <v>14</v>
      </c>
      <c r="C57" s="68"/>
      <c r="D57" s="4"/>
      <c r="E57" s="4"/>
      <c r="F57" s="4"/>
      <c r="G57" s="18"/>
      <c r="H57" s="36">
        <f>SUM(H55:H56)</f>
        <v>15543.029400000001</v>
      </c>
      <c r="I57" s="20"/>
      <c r="J57" s="704"/>
      <c r="K57" s="705"/>
      <c r="L57" s="705"/>
      <c r="M57" s="705"/>
      <c r="N57" s="705"/>
      <c r="O57" s="705"/>
      <c r="P57" s="705"/>
      <c r="Q57" s="705"/>
      <c r="R57" s="706"/>
    </row>
    <row r="58" spans="1:18">
      <c r="A58" s="23"/>
      <c r="B58" s="11" t="s">
        <v>24</v>
      </c>
      <c r="C58" s="68"/>
      <c r="D58" s="4"/>
      <c r="E58" s="4"/>
      <c r="F58" s="4"/>
      <c r="G58" s="18"/>
      <c r="H58" s="36"/>
      <c r="I58" s="20"/>
      <c r="J58" s="707"/>
      <c r="K58" s="708"/>
      <c r="L58" s="708"/>
      <c r="M58" s="708"/>
      <c r="N58" s="708"/>
      <c r="O58" s="708"/>
      <c r="P58" s="708"/>
      <c r="Q58" s="708"/>
      <c r="R58" s="709"/>
    </row>
    <row r="59" spans="1:18">
      <c r="A59" s="23"/>
      <c r="B59" s="11" t="s">
        <v>15</v>
      </c>
      <c r="C59" s="68"/>
      <c r="D59" s="4"/>
      <c r="E59" s="4"/>
      <c r="F59" s="4"/>
      <c r="G59" s="21" t="s">
        <v>16</v>
      </c>
      <c r="H59" s="37">
        <f>H58+H57</f>
        <v>15543.029400000001</v>
      </c>
      <c r="I59" s="38" t="str">
        <f>CONCATENATE("per ",C46)</f>
        <v>per cum</v>
      </c>
      <c r="J59" s="707"/>
      <c r="K59" s="708"/>
      <c r="L59" s="708"/>
      <c r="M59" s="708"/>
      <c r="N59" s="708"/>
      <c r="O59" s="708"/>
      <c r="P59" s="708"/>
      <c r="Q59" s="708"/>
      <c r="R59" s="709"/>
    </row>
    <row r="60" spans="1:18">
      <c r="A60" s="23"/>
      <c r="B60" s="11" t="s">
        <v>18</v>
      </c>
      <c r="C60" s="125" t="s">
        <v>19</v>
      </c>
      <c r="D60" s="4"/>
      <c r="E60" s="4"/>
      <c r="F60" s="4"/>
      <c r="G60" s="21" t="s">
        <v>16</v>
      </c>
      <c r="H60" s="37">
        <f>CEILING(H59,0.5)</f>
        <v>15543.5</v>
      </c>
      <c r="I60" s="38" t="str">
        <f>CONCATENATE("per ",C46)</f>
        <v>per cum</v>
      </c>
      <c r="J60" s="707"/>
      <c r="K60" s="708"/>
      <c r="L60" s="708"/>
      <c r="M60" s="708"/>
      <c r="N60" s="708"/>
      <c r="O60" s="708"/>
      <c r="P60" s="708"/>
      <c r="Q60" s="708"/>
      <c r="R60" s="709"/>
    </row>
    <row r="61" spans="1:18">
      <c r="A61" s="23"/>
      <c r="B61" s="11"/>
      <c r="C61" s="68"/>
      <c r="D61" s="4"/>
      <c r="E61" s="4"/>
      <c r="F61" s="4"/>
      <c r="G61" s="24" t="s">
        <v>17</v>
      </c>
      <c r="H61" s="37">
        <f>H60/exr</f>
        <v>119.56538461538462</v>
      </c>
      <c r="I61" s="38" t="str">
        <f>CONCATENATE("per ",C46)</f>
        <v>per cum</v>
      </c>
      <c r="J61" s="710"/>
      <c r="K61" s="711"/>
      <c r="L61" s="711"/>
      <c r="M61" s="711"/>
      <c r="N61" s="711"/>
      <c r="O61" s="711"/>
      <c r="P61" s="711"/>
      <c r="Q61" s="711"/>
      <c r="R61" s="712"/>
    </row>
    <row r="62" spans="1:18">
      <c r="A62" s="39"/>
      <c r="B62" s="40"/>
      <c r="C62" s="69"/>
      <c r="D62" s="41"/>
      <c r="E62" s="41"/>
      <c r="F62" s="41"/>
      <c r="G62" s="149" t="s">
        <v>460</v>
      </c>
      <c r="H62" s="150">
        <f>CEILING(SUM(M48,M50,R47)/H55,0.0025)</f>
        <v>0.1075</v>
      </c>
      <c r="I62" s="42"/>
      <c r="J62" s="43"/>
      <c r="K62" s="43"/>
      <c r="L62" s="43"/>
      <c r="M62" s="43"/>
      <c r="N62" s="43"/>
      <c r="O62" s="43"/>
      <c r="P62" s="43"/>
      <c r="Q62" s="43"/>
      <c r="R62" s="44"/>
    </row>
    <row r="64" spans="1:18">
      <c r="A64" s="693" t="s">
        <v>0</v>
      </c>
      <c r="B64" s="695" t="s">
        <v>1</v>
      </c>
      <c r="C64" s="695" t="s">
        <v>2</v>
      </c>
      <c r="D64" s="697" t="s">
        <v>3</v>
      </c>
      <c r="E64" s="698"/>
      <c r="F64" s="698"/>
      <c r="G64" s="698"/>
      <c r="H64" s="698"/>
      <c r="I64" s="699" t="s">
        <v>4</v>
      </c>
      <c r="J64" s="700"/>
      <c r="K64" s="700"/>
      <c r="L64" s="700"/>
      <c r="M64" s="700"/>
      <c r="N64" s="698" t="s">
        <v>5</v>
      </c>
      <c r="O64" s="698"/>
      <c r="P64" s="698"/>
      <c r="Q64" s="698"/>
      <c r="R64" s="698"/>
    </row>
    <row r="65" spans="1:18">
      <c r="A65" s="694"/>
      <c r="B65" s="696"/>
      <c r="C65" s="696"/>
      <c r="D65" s="45" t="s">
        <v>6</v>
      </c>
      <c r="E65" s="46" t="s">
        <v>2</v>
      </c>
      <c r="F65" s="46" t="s">
        <v>7</v>
      </c>
      <c r="G65" s="46" t="s">
        <v>8</v>
      </c>
      <c r="H65" s="46" t="s">
        <v>9</v>
      </c>
      <c r="I65" s="46" t="s">
        <v>10</v>
      </c>
      <c r="J65" s="46" t="s">
        <v>2</v>
      </c>
      <c r="K65" s="46" t="s">
        <v>7</v>
      </c>
      <c r="L65" s="46" t="s">
        <v>8</v>
      </c>
      <c r="M65" s="47" t="s">
        <v>9</v>
      </c>
      <c r="N65" s="46" t="s">
        <v>10</v>
      </c>
      <c r="O65" s="46" t="s">
        <v>2</v>
      </c>
      <c r="P65" s="46" t="s">
        <v>7</v>
      </c>
      <c r="Q65" s="46" t="s">
        <v>8</v>
      </c>
      <c r="R65" s="46" t="s">
        <v>9</v>
      </c>
    </row>
    <row r="66" spans="1:18">
      <c r="A66" s="33" t="s">
        <v>23</v>
      </c>
      <c r="B66" s="73" t="s">
        <v>291</v>
      </c>
      <c r="C66" s="65"/>
      <c r="D66" s="31"/>
      <c r="E66" s="31"/>
      <c r="F66" s="31"/>
      <c r="G66" s="31"/>
      <c r="H66" s="31"/>
      <c r="I66" s="31"/>
      <c r="J66" s="31"/>
      <c r="K66" s="31"/>
      <c r="L66" s="31"/>
      <c r="M66" s="31"/>
      <c r="N66" s="31"/>
      <c r="O66" s="31"/>
      <c r="P66" s="31"/>
      <c r="Q66" s="31"/>
      <c r="R66" s="32"/>
    </row>
    <row r="67" spans="1:18">
      <c r="A67" s="34">
        <f>A46+1</f>
        <v>4</v>
      </c>
      <c r="B67" s="713" t="s">
        <v>293</v>
      </c>
      <c r="C67" s="66" t="s">
        <v>11</v>
      </c>
      <c r="D67" s="4"/>
      <c r="E67" s="6"/>
      <c r="F67" s="29"/>
      <c r="G67" s="26"/>
      <c r="H67" s="26"/>
      <c r="I67" s="6"/>
      <c r="J67" s="6"/>
      <c r="K67" s="29"/>
      <c r="L67" s="26"/>
      <c r="M67" s="26"/>
      <c r="N67" s="6"/>
      <c r="O67" s="6"/>
      <c r="P67" s="29"/>
      <c r="Q67" s="26"/>
      <c r="R67" s="26"/>
    </row>
    <row r="68" spans="1:18">
      <c r="A68" s="2"/>
      <c r="B68" s="714"/>
      <c r="C68" s="66"/>
      <c r="D68" s="4" t="s">
        <v>251</v>
      </c>
      <c r="E68" s="6" t="s">
        <v>81</v>
      </c>
      <c r="F68" s="29">
        <v>1.5</v>
      </c>
      <c r="G68" s="26">
        <f>sr</f>
        <v>1100</v>
      </c>
      <c r="H68" s="26">
        <f>F68*G68</f>
        <v>1650</v>
      </c>
      <c r="I68" s="7" t="s">
        <v>284</v>
      </c>
      <c r="J68" s="8" t="s">
        <v>285</v>
      </c>
      <c r="K68" s="88">
        <v>560</v>
      </c>
      <c r="L68" s="28">
        <f>bricks</f>
        <v>17.5</v>
      </c>
      <c r="M68" s="26">
        <f>K68*L68</f>
        <v>9800</v>
      </c>
      <c r="N68" s="8" t="s">
        <v>294</v>
      </c>
      <c r="O68" s="6"/>
      <c r="P68" s="29"/>
      <c r="Q68" s="28"/>
      <c r="R68" s="26">
        <f>3%*H75</f>
        <v>126</v>
      </c>
    </row>
    <row r="69" spans="1:18">
      <c r="A69" s="2"/>
      <c r="B69" s="714"/>
      <c r="C69" s="66"/>
      <c r="D69" s="4" t="s">
        <v>97</v>
      </c>
      <c r="E69" s="6" t="s">
        <v>81</v>
      </c>
      <c r="F69" s="29">
        <v>3</v>
      </c>
      <c r="G69" s="26">
        <f>ur</f>
        <v>850</v>
      </c>
      <c r="H69" s="26">
        <f>F69*G69</f>
        <v>2550</v>
      </c>
      <c r="I69" s="7" t="s">
        <v>252</v>
      </c>
      <c r="J69" s="8" t="s">
        <v>32</v>
      </c>
      <c r="K69" s="88">
        <v>0.12</v>
      </c>
      <c r="L69" s="28">
        <f>cement</f>
        <v>24049.69</v>
      </c>
      <c r="M69" s="26">
        <f>K69*L69</f>
        <v>2885.9627999999998</v>
      </c>
      <c r="N69" s="8"/>
      <c r="O69" s="6"/>
      <c r="P69" s="29"/>
      <c r="Q69" s="28"/>
      <c r="R69" s="26"/>
    </row>
    <row r="70" spans="1:18">
      <c r="A70" s="2"/>
      <c r="B70" s="714"/>
      <c r="C70" s="66"/>
      <c r="D70" s="4"/>
      <c r="E70" s="6"/>
      <c r="F70" s="29"/>
      <c r="G70" s="26"/>
      <c r="H70" s="26"/>
      <c r="I70" s="7" t="s">
        <v>286</v>
      </c>
      <c r="J70" s="8" t="s">
        <v>34</v>
      </c>
      <c r="K70" s="88">
        <v>0.22</v>
      </c>
      <c r="L70" s="28">
        <f>sand</f>
        <v>1050</v>
      </c>
      <c r="M70" s="26">
        <f>K70*L70</f>
        <v>231</v>
      </c>
      <c r="N70" s="8"/>
      <c r="O70" s="6"/>
      <c r="P70" s="29"/>
      <c r="Q70" s="28"/>
      <c r="R70" s="28"/>
    </row>
    <row r="71" spans="1:18">
      <c r="A71" s="2"/>
      <c r="B71" s="714"/>
      <c r="C71" s="66"/>
      <c r="D71" s="4"/>
      <c r="E71" s="6"/>
      <c r="F71" s="29"/>
      <c r="G71" s="26"/>
      <c r="H71" s="26"/>
      <c r="I71" s="7" t="s">
        <v>215</v>
      </c>
      <c r="J71" s="8" t="s">
        <v>250</v>
      </c>
      <c r="K71" s="88">
        <v>72</v>
      </c>
      <c r="L71" s="28"/>
      <c r="M71" s="26">
        <f>K71*L71</f>
        <v>0</v>
      </c>
      <c r="N71" s="8"/>
      <c r="O71" s="6"/>
      <c r="P71" s="29"/>
      <c r="Q71" s="28"/>
      <c r="R71" s="28"/>
    </row>
    <row r="72" spans="1:18">
      <c r="A72" s="2"/>
      <c r="B72" s="126"/>
      <c r="C72" s="66"/>
      <c r="D72" s="4"/>
      <c r="E72" s="6"/>
      <c r="F72" s="29"/>
      <c r="G72" s="26"/>
      <c r="H72" s="26"/>
      <c r="I72" s="7"/>
      <c r="J72" s="8"/>
      <c r="K72" s="88"/>
      <c r="L72" s="28"/>
      <c r="M72" s="26"/>
      <c r="N72" s="8"/>
      <c r="O72" s="6"/>
      <c r="P72" s="29"/>
      <c r="Q72" s="28"/>
      <c r="R72" s="28"/>
    </row>
    <row r="73" spans="1:18">
      <c r="A73" s="2"/>
      <c r="B73" s="126"/>
      <c r="C73" s="66"/>
      <c r="D73" s="4"/>
      <c r="E73" s="6"/>
      <c r="F73" s="29"/>
      <c r="G73" s="26"/>
      <c r="H73" s="26"/>
      <c r="I73" s="7"/>
      <c r="J73" s="8"/>
      <c r="K73" s="29"/>
      <c r="L73" s="28"/>
      <c r="M73" s="26"/>
      <c r="N73" s="8"/>
      <c r="O73" s="6"/>
      <c r="P73" s="29"/>
      <c r="Q73" s="28"/>
      <c r="R73" s="28"/>
    </row>
    <row r="74" spans="1:18">
      <c r="A74" s="2"/>
      <c r="B74" s="5"/>
      <c r="C74" s="66"/>
      <c r="D74" s="4"/>
      <c r="E74" s="9"/>
      <c r="F74" s="30"/>
      <c r="G74" s="27"/>
      <c r="H74" s="27"/>
      <c r="I74" s="9"/>
      <c r="J74" s="10"/>
      <c r="K74" s="30"/>
      <c r="L74" s="28"/>
      <c r="M74" s="28"/>
      <c r="N74" s="8"/>
      <c r="O74" s="6"/>
      <c r="P74" s="30"/>
      <c r="Q74" s="28"/>
      <c r="R74" s="28"/>
    </row>
    <row r="75" spans="1:18">
      <c r="A75" s="2"/>
      <c r="B75" s="11"/>
      <c r="C75" s="66"/>
      <c r="D75" s="12"/>
      <c r="E75" s="59"/>
      <c r="F75" s="13"/>
      <c r="G75" s="13" t="s">
        <v>20</v>
      </c>
      <c r="H75" s="25">
        <f>SUM(H67:H74)</f>
        <v>4200</v>
      </c>
      <c r="I75" s="703"/>
      <c r="J75" s="703"/>
      <c r="K75" s="14"/>
      <c r="L75" s="13" t="s">
        <v>21</v>
      </c>
      <c r="M75" s="25">
        <f>SUM(M67:M74)</f>
        <v>12916.962799999999</v>
      </c>
      <c r="N75" s="3"/>
      <c r="O75" s="14"/>
      <c r="P75" s="14"/>
      <c r="Q75" s="13" t="s">
        <v>22</v>
      </c>
      <c r="R75" s="25">
        <f>SUM(R67:R74)</f>
        <v>126</v>
      </c>
    </row>
    <row r="76" spans="1:18">
      <c r="A76" s="2"/>
      <c r="B76" s="16" t="s">
        <v>13</v>
      </c>
      <c r="C76" s="67"/>
      <c r="D76" s="14"/>
      <c r="E76" s="14"/>
      <c r="F76" s="14"/>
      <c r="G76" s="13"/>
      <c r="H76" s="35">
        <f>M75+R75+H75</f>
        <v>17242.962800000001</v>
      </c>
      <c r="I76" s="17"/>
      <c r="J76" s="14"/>
      <c r="K76" s="14"/>
      <c r="L76" s="13"/>
      <c r="M76" s="15"/>
      <c r="N76" s="14"/>
      <c r="O76" s="14"/>
      <c r="P76" s="14"/>
      <c r="Q76" s="14"/>
      <c r="R76" s="17"/>
    </row>
    <row r="77" spans="1:18">
      <c r="A77" s="2"/>
      <c r="B77" s="11" t="s">
        <v>25</v>
      </c>
      <c r="C77" s="68"/>
      <c r="D77" s="4"/>
      <c r="E77" s="4"/>
      <c r="F77" s="4"/>
      <c r="G77" s="18"/>
      <c r="H77" s="36">
        <v>0</v>
      </c>
      <c r="I77" s="20"/>
      <c r="J77" s="4" t="s">
        <v>26</v>
      </c>
      <c r="K77" s="4"/>
      <c r="L77" s="18"/>
      <c r="M77" s="19"/>
      <c r="N77" s="4"/>
      <c r="O77" s="4"/>
      <c r="P77" s="4"/>
      <c r="Q77" s="4"/>
      <c r="R77" s="20"/>
    </row>
    <row r="78" spans="1:18">
      <c r="A78" s="23"/>
      <c r="B78" s="11" t="s">
        <v>14</v>
      </c>
      <c r="C78" s="68"/>
      <c r="D78" s="4"/>
      <c r="E78" s="4"/>
      <c r="F78" s="4"/>
      <c r="G78" s="18"/>
      <c r="H78" s="36">
        <f>SUM(H76:H77)</f>
        <v>17242.962800000001</v>
      </c>
      <c r="I78" s="20"/>
      <c r="J78" s="704"/>
      <c r="K78" s="705"/>
      <c r="L78" s="705"/>
      <c r="M78" s="705"/>
      <c r="N78" s="705"/>
      <c r="O78" s="705"/>
      <c r="P78" s="705"/>
      <c r="Q78" s="705"/>
      <c r="R78" s="706"/>
    </row>
    <row r="79" spans="1:18">
      <c r="A79" s="23"/>
      <c r="B79" s="11" t="s">
        <v>24</v>
      </c>
      <c r="C79" s="68"/>
      <c r="D79" s="4"/>
      <c r="E79" s="4"/>
      <c r="F79" s="4"/>
      <c r="G79" s="18"/>
      <c r="H79" s="36">
        <f>H78*15%</f>
        <v>2586.4444200000003</v>
      </c>
      <c r="I79" s="20"/>
      <c r="J79" s="707"/>
      <c r="K79" s="708"/>
      <c r="L79" s="708"/>
      <c r="M79" s="708"/>
      <c r="N79" s="708"/>
      <c r="O79" s="708"/>
      <c r="P79" s="708"/>
      <c r="Q79" s="708"/>
      <c r="R79" s="709"/>
    </row>
    <row r="80" spans="1:18">
      <c r="A80" s="23"/>
      <c r="B80" s="11" t="s">
        <v>15</v>
      </c>
      <c r="C80" s="68"/>
      <c r="D80" s="4"/>
      <c r="E80" s="4"/>
      <c r="F80" s="4"/>
      <c r="G80" s="21" t="s">
        <v>16</v>
      </c>
      <c r="H80" s="37">
        <f>H79+H78</f>
        <v>19829.407220000001</v>
      </c>
      <c r="I80" s="38" t="str">
        <f>CONCATENATE("per ",C67)</f>
        <v>per cum</v>
      </c>
      <c r="J80" s="707"/>
      <c r="K80" s="708"/>
      <c r="L80" s="708"/>
      <c r="M80" s="708"/>
      <c r="N80" s="708"/>
      <c r="O80" s="708"/>
      <c r="P80" s="708"/>
      <c r="Q80" s="708"/>
      <c r="R80" s="709"/>
    </row>
    <row r="81" spans="1:18">
      <c r="A81" s="23"/>
      <c r="B81" s="11" t="s">
        <v>18</v>
      </c>
      <c r="C81" s="125" t="s">
        <v>19</v>
      </c>
      <c r="D81" s="4"/>
      <c r="E81" s="4"/>
      <c r="F81" s="4"/>
      <c r="G81" s="21" t="s">
        <v>16</v>
      </c>
      <c r="H81" s="37">
        <f>CEILING(H80,0.5)</f>
        <v>19829.5</v>
      </c>
      <c r="I81" s="38" t="str">
        <f>CONCATENATE("per ",C67)</f>
        <v>per cum</v>
      </c>
      <c r="J81" s="707"/>
      <c r="K81" s="708"/>
      <c r="L81" s="708"/>
      <c r="M81" s="708"/>
      <c r="N81" s="708"/>
      <c r="O81" s="708"/>
      <c r="P81" s="708"/>
      <c r="Q81" s="708"/>
      <c r="R81" s="709"/>
    </row>
    <row r="82" spans="1:18">
      <c r="A82" s="23"/>
      <c r="B82" s="11"/>
      <c r="C82" s="68"/>
      <c r="D82" s="4"/>
      <c r="E82" s="4"/>
      <c r="F82" s="4"/>
      <c r="G82" s="24" t="s">
        <v>17</v>
      </c>
      <c r="H82" s="37">
        <f>H81/exr</f>
        <v>152.53461538461539</v>
      </c>
      <c r="I82" s="38" t="str">
        <f>CONCATENATE("per ",C67)</f>
        <v>per cum</v>
      </c>
      <c r="J82" s="710"/>
      <c r="K82" s="711"/>
      <c r="L82" s="711"/>
      <c r="M82" s="711"/>
      <c r="N82" s="711"/>
      <c r="O82" s="711"/>
      <c r="P82" s="711"/>
      <c r="Q82" s="711"/>
      <c r="R82" s="712"/>
    </row>
    <row r="83" spans="1:18">
      <c r="A83" s="39"/>
      <c r="B83" s="40"/>
      <c r="C83" s="69"/>
      <c r="D83" s="41"/>
      <c r="E83" s="41"/>
      <c r="F83" s="41"/>
      <c r="G83" s="149" t="s">
        <v>460</v>
      </c>
      <c r="H83" s="150">
        <f>CEILING(SUM(M69)/H76,0.0025)</f>
        <v>0.16750000000000001</v>
      </c>
      <c r="I83" s="42"/>
      <c r="J83" s="43"/>
      <c r="K83" s="43"/>
      <c r="L83" s="43"/>
      <c r="M83" s="43"/>
      <c r="N83" s="43"/>
      <c r="O83" s="43"/>
      <c r="P83" s="43"/>
      <c r="Q83" s="43"/>
      <c r="R83" s="44"/>
    </row>
    <row r="85" spans="1:18">
      <c r="A85" s="693" t="s">
        <v>0</v>
      </c>
      <c r="B85" s="695" t="s">
        <v>1</v>
      </c>
      <c r="C85" s="695" t="s">
        <v>2</v>
      </c>
      <c r="D85" s="697" t="s">
        <v>3</v>
      </c>
      <c r="E85" s="698"/>
      <c r="F85" s="698"/>
      <c r="G85" s="698"/>
      <c r="H85" s="698"/>
      <c r="I85" s="699" t="s">
        <v>4</v>
      </c>
      <c r="J85" s="700"/>
      <c r="K85" s="700"/>
      <c r="L85" s="700"/>
      <c r="M85" s="700"/>
      <c r="N85" s="698" t="s">
        <v>5</v>
      </c>
      <c r="O85" s="698"/>
      <c r="P85" s="698"/>
      <c r="Q85" s="698"/>
      <c r="R85" s="698"/>
    </row>
    <row r="86" spans="1:18">
      <c r="A86" s="694"/>
      <c r="B86" s="696"/>
      <c r="C86" s="696"/>
      <c r="D86" s="45" t="s">
        <v>6</v>
      </c>
      <c r="E86" s="46" t="s">
        <v>2</v>
      </c>
      <c r="F86" s="46" t="s">
        <v>7</v>
      </c>
      <c r="G86" s="46" t="s">
        <v>8</v>
      </c>
      <c r="H86" s="46" t="s">
        <v>9</v>
      </c>
      <c r="I86" s="46" t="s">
        <v>10</v>
      </c>
      <c r="J86" s="46" t="s">
        <v>2</v>
      </c>
      <c r="K86" s="46" t="s">
        <v>7</v>
      </c>
      <c r="L86" s="46" t="s">
        <v>8</v>
      </c>
      <c r="M86" s="47" t="s">
        <v>9</v>
      </c>
      <c r="N86" s="46" t="s">
        <v>10</v>
      </c>
      <c r="O86" s="46" t="s">
        <v>2</v>
      </c>
      <c r="P86" s="46" t="s">
        <v>7</v>
      </c>
      <c r="Q86" s="46" t="s">
        <v>8</v>
      </c>
      <c r="R86" s="46" t="s">
        <v>9</v>
      </c>
    </row>
    <row r="87" spans="1:18">
      <c r="A87" s="33" t="s">
        <v>23</v>
      </c>
      <c r="B87" s="73" t="s">
        <v>291</v>
      </c>
      <c r="C87" s="65"/>
      <c r="D87" s="31"/>
      <c r="E87" s="31"/>
      <c r="F87" s="31"/>
      <c r="G87" s="31"/>
      <c r="H87" s="31"/>
      <c r="I87" s="31"/>
      <c r="J87" s="31"/>
      <c r="K87" s="31"/>
      <c r="L87" s="31"/>
      <c r="M87" s="31"/>
      <c r="N87" s="31"/>
      <c r="O87" s="31"/>
      <c r="P87" s="31"/>
      <c r="Q87" s="31"/>
      <c r="R87" s="32"/>
    </row>
    <row r="88" spans="1:18">
      <c r="A88" s="34">
        <f>A67+1</f>
        <v>5</v>
      </c>
      <c r="B88" s="713" t="s">
        <v>295</v>
      </c>
      <c r="C88" s="66" t="s">
        <v>11</v>
      </c>
      <c r="D88" s="4"/>
      <c r="E88" s="6"/>
      <c r="F88" s="29"/>
      <c r="G88" s="26"/>
      <c r="H88" s="26"/>
      <c r="I88" s="6"/>
      <c r="J88" s="6"/>
      <c r="K88" s="29"/>
      <c r="L88" s="26"/>
      <c r="M88" s="26"/>
      <c r="N88" s="6"/>
      <c r="O88" s="6"/>
      <c r="P88" s="29"/>
      <c r="Q88" s="26"/>
      <c r="R88" s="26"/>
    </row>
    <row r="89" spans="1:18">
      <c r="A89" s="2"/>
      <c r="B89" s="714"/>
      <c r="C89" s="66"/>
      <c r="D89" s="4" t="s">
        <v>251</v>
      </c>
      <c r="E89" s="6" t="s">
        <v>81</v>
      </c>
      <c r="F89" s="29">
        <v>1.5</v>
      </c>
      <c r="G89" s="26">
        <f>sr</f>
        <v>1100</v>
      </c>
      <c r="H89" s="26">
        <f>F89*G89</f>
        <v>1650</v>
      </c>
      <c r="I89" s="7" t="s">
        <v>284</v>
      </c>
      <c r="J89" s="8" t="s">
        <v>285</v>
      </c>
      <c r="K89" s="88">
        <v>560</v>
      </c>
      <c r="L89" s="28">
        <f>bricks</f>
        <v>17.5</v>
      </c>
      <c r="M89" s="26">
        <f>K89*L89</f>
        <v>9800</v>
      </c>
      <c r="N89" s="8" t="s">
        <v>294</v>
      </c>
      <c r="O89" s="6"/>
      <c r="P89" s="29"/>
      <c r="Q89" s="28"/>
      <c r="R89" s="26">
        <f>3%*H96</f>
        <v>126</v>
      </c>
    </row>
    <row r="90" spans="1:18">
      <c r="A90" s="2"/>
      <c r="B90" s="714"/>
      <c r="C90" s="66"/>
      <c r="D90" s="4" t="s">
        <v>97</v>
      </c>
      <c r="E90" s="6" t="s">
        <v>81</v>
      </c>
      <c r="F90" s="29">
        <v>3</v>
      </c>
      <c r="G90" s="26">
        <f>ur</f>
        <v>850</v>
      </c>
      <c r="H90" s="26">
        <f>F90*G90</f>
        <v>2550</v>
      </c>
      <c r="I90" s="7" t="s">
        <v>252</v>
      </c>
      <c r="J90" s="8" t="s">
        <v>32</v>
      </c>
      <c r="K90" s="88">
        <v>0.09</v>
      </c>
      <c r="L90" s="28">
        <f>cement</f>
        <v>24049.69</v>
      </c>
      <c r="M90" s="26">
        <f>K90*L90</f>
        <v>2164.4721</v>
      </c>
      <c r="N90" s="8"/>
      <c r="O90" s="6"/>
      <c r="P90" s="29"/>
      <c r="Q90" s="28"/>
      <c r="R90" s="26"/>
    </row>
    <row r="91" spans="1:18">
      <c r="A91" s="2"/>
      <c r="B91" s="714"/>
      <c r="C91" s="66"/>
      <c r="D91" s="4"/>
      <c r="E91" s="6"/>
      <c r="F91" s="29"/>
      <c r="G91" s="26"/>
      <c r="H91" s="26"/>
      <c r="I91" s="7" t="s">
        <v>286</v>
      </c>
      <c r="J91" s="8" t="s">
        <v>34</v>
      </c>
      <c r="K91" s="88">
        <v>0.25</v>
      </c>
      <c r="L91" s="28">
        <f>sand</f>
        <v>1050</v>
      </c>
      <c r="M91" s="26">
        <f>K91*L91</f>
        <v>262.5</v>
      </c>
      <c r="N91" s="8"/>
      <c r="O91" s="6"/>
      <c r="P91" s="29"/>
      <c r="Q91" s="28"/>
      <c r="R91" s="28"/>
    </row>
    <row r="92" spans="1:18">
      <c r="A92" s="2"/>
      <c r="B92" s="714"/>
      <c r="C92" s="66"/>
      <c r="D92" s="4"/>
      <c r="E92" s="6"/>
      <c r="F92" s="29"/>
      <c r="G92" s="26"/>
      <c r="H92" s="26"/>
      <c r="I92" s="7" t="s">
        <v>215</v>
      </c>
      <c r="J92" s="8" t="s">
        <v>250</v>
      </c>
      <c r="K92" s="88">
        <v>54</v>
      </c>
      <c r="L92" s="28"/>
      <c r="M92" s="26">
        <f>K92*L92</f>
        <v>0</v>
      </c>
      <c r="N92" s="8"/>
      <c r="O92" s="6"/>
      <c r="P92" s="29"/>
      <c r="Q92" s="28"/>
      <c r="R92" s="28"/>
    </row>
    <row r="93" spans="1:18">
      <c r="A93" s="2"/>
      <c r="B93" s="126"/>
      <c r="C93" s="66"/>
      <c r="D93" s="4"/>
      <c r="E93" s="6"/>
      <c r="F93" s="29"/>
      <c r="G93" s="26"/>
      <c r="H93" s="26"/>
      <c r="I93" s="7"/>
      <c r="J93" s="8"/>
      <c r="K93" s="88"/>
      <c r="L93" s="28"/>
      <c r="M93" s="26"/>
      <c r="N93" s="8"/>
      <c r="O93" s="6"/>
      <c r="P93" s="29"/>
      <c r="Q93" s="28"/>
      <c r="R93" s="28"/>
    </row>
    <row r="94" spans="1:18">
      <c r="A94" s="2"/>
      <c r="B94" s="126"/>
      <c r="C94" s="66"/>
      <c r="D94" s="4"/>
      <c r="E94" s="6"/>
      <c r="F94" s="29"/>
      <c r="G94" s="26"/>
      <c r="H94" s="26"/>
      <c r="I94" s="7"/>
      <c r="J94" s="8"/>
      <c r="K94" s="29"/>
      <c r="L94" s="28"/>
      <c r="M94" s="26"/>
      <c r="N94" s="8"/>
      <c r="O94" s="6"/>
      <c r="P94" s="29"/>
      <c r="Q94" s="28"/>
      <c r="R94" s="28"/>
    </row>
    <row r="95" spans="1:18">
      <c r="A95" s="2"/>
      <c r="B95" s="5"/>
      <c r="C95" s="66"/>
      <c r="D95" s="4"/>
      <c r="E95" s="9"/>
      <c r="F95" s="30"/>
      <c r="G95" s="27"/>
      <c r="H95" s="27"/>
      <c r="I95" s="9"/>
      <c r="J95" s="10"/>
      <c r="K95" s="30"/>
      <c r="L95" s="28"/>
      <c r="M95" s="28"/>
      <c r="N95" s="8"/>
      <c r="O95" s="6"/>
      <c r="P95" s="30"/>
      <c r="Q95" s="28"/>
      <c r="R95" s="28"/>
    </row>
    <row r="96" spans="1:18">
      <c r="A96" s="2"/>
      <c r="B96" s="11"/>
      <c r="C96" s="66"/>
      <c r="D96" s="12"/>
      <c r="E96" s="59"/>
      <c r="F96" s="13"/>
      <c r="G96" s="13" t="s">
        <v>20</v>
      </c>
      <c r="H96" s="25">
        <f>SUM(H88:H95)</f>
        <v>4200</v>
      </c>
      <c r="I96" s="703"/>
      <c r="J96" s="703"/>
      <c r="K96" s="14"/>
      <c r="L96" s="13" t="s">
        <v>21</v>
      </c>
      <c r="M96" s="25">
        <f>SUM(M88:M95)</f>
        <v>12226.972099999999</v>
      </c>
      <c r="N96" s="3"/>
      <c r="O96" s="14"/>
      <c r="P96" s="14"/>
      <c r="Q96" s="13" t="s">
        <v>22</v>
      </c>
      <c r="R96" s="25">
        <f>SUM(R88:R95)</f>
        <v>126</v>
      </c>
    </row>
    <row r="97" spans="1:18">
      <c r="A97" s="2"/>
      <c r="B97" s="16" t="s">
        <v>13</v>
      </c>
      <c r="C97" s="67"/>
      <c r="D97" s="14"/>
      <c r="E97" s="14"/>
      <c r="F97" s="14"/>
      <c r="G97" s="13"/>
      <c r="H97" s="35">
        <f>M96+R96+H96</f>
        <v>16552.972099999999</v>
      </c>
      <c r="I97" s="17"/>
      <c r="J97" s="14"/>
      <c r="K97" s="14"/>
      <c r="L97" s="13"/>
      <c r="M97" s="15"/>
      <c r="N97" s="14"/>
      <c r="O97" s="14"/>
      <c r="P97" s="14"/>
      <c r="Q97" s="14"/>
      <c r="R97" s="17"/>
    </row>
    <row r="98" spans="1:18">
      <c r="A98" s="2"/>
      <c r="B98" s="11" t="s">
        <v>25</v>
      </c>
      <c r="C98" s="68"/>
      <c r="D98" s="4"/>
      <c r="E98" s="4"/>
      <c r="F98" s="4"/>
      <c r="G98" s="18"/>
      <c r="H98" s="36">
        <v>0</v>
      </c>
      <c r="I98" s="20"/>
      <c r="J98" s="4" t="s">
        <v>26</v>
      </c>
      <c r="K98" s="4"/>
      <c r="L98" s="18"/>
      <c r="M98" s="19"/>
      <c r="N98" s="4"/>
      <c r="O98" s="4"/>
      <c r="P98" s="4"/>
      <c r="Q98" s="4"/>
      <c r="R98" s="20"/>
    </row>
    <row r="99" spans="1:18">
      <c r="A99" s="23"/>
      <c r="B99" s="11" t="s">
        <v>14</v>
      </c>
      <c r="C99" s="68"/>
      <c r="D99" s="4"/>
      <c r="E99" s="4"/>
      <c r="F99" s="4"/>
      <c r="G99" s="18"/>
      <c r="H99" s="36">
        <f>SUM(H97:H98)</f>
        <v>16552.972099999999</v>
      </c>
      <c r="I99" s="20"/>
      <c r="J99" s="704"/>
      <c r="K99" s="705"/>
      <c r="L99" s="705"/>
      <c r="M99" s="705"/>
      <c r="N99" s="705"/>
      <c r="O99" s="705"/>
      <c r="P99" s="705"/>
      <c r="Q99" s="705"/>
      <c r="R99" s="706"/>
    </row>
    <row r="100" spans="1:18">
      <c r="A100" s="23"/>
      <c r="B100" s="11" t="s">
        <v>24</v>
      </c>
      <c r="C100" s="68"/>
      <c r="D100" s="4"/>
      <c r="E100" s="4"/>
      <c r="F100" s="4"/>
      <c r="G100" s="18"/>
      <c r="H100" s="36">
        <f>H99*15%</f>
        <v>2482.9458149999996</v>
      </c>
      <c r="I100" s="20"/>
      <c r="J100" s="707"/>
      <c r="K100" s="708"/>
      <c r="L100" s="708"/>
      <c r="M100" s="708"/>
      <c r="N100" s="708"/>
      <c r="O100" s="708"/>
      <c r="P100" s="708"/>
      <c r="Q100" s="708"/>
      <c r="R100" s="709"/>
    </row>
    <row r="101" spans="1:18">
      <c r="A101" s="23"/>
      <c r="B101" s="11" t="s">
        <v>15</v>
      </c>
      <c r="C101" s="68"/>
      <c r="D101" s="4"/>
      <c r="E101" s="4"/>
      <c r="F101" s="4"/>
      <c r="G101" s="21" t="s">
        <v>16</v>
      </c>
      <c r="H101" s="37">
        <f>H100+H99</f>
        <v>19035.917914999998</v>
      </c>
      <c r="I101" s="38" t="str">
        <f>CONCATENATE("per ",C88)</f>
        <v>per cum</v>
      </c>
      <c r="J101" s="707"/>
      <c r="K101" s="708"/>
      <c r="L101" s="708"/>
      <c r="M101" s="708"/>
      <c r="N101" s="708"/>
      <c r="O101" s="708"/>
      <c r="P101" s="708"/>
      <c r="Q101" s="708"/>
      <c r="R101" s="709"/>
    </row>
    <row r="102" spans="1:18">
      <c r="A102" s="23"/>
      <c r="B102" s="11" t="s">
        <v>18</v>
      </c>
      <c r="C102" s="125" t="s">
        <v>19</v>
      </c>
      <c r="D102" s="4"/>
      <c r="E102" s="4"/>
      <c r="F102" s="4"/>
      <c r="G102" s="21" t="s">
        <v>16</v>
      </c>
      <c r="H102" s="37">
        <f>CEILING(H101,0.5)</f>
        <v>19036</v>
      </c>
      <c r="I102" s="38" t="str">
        <f>CONCATENATE("per ",C88)</f>
        <v>per cum</v>
      </c>
      <c r="J102" s="707"/>
      <c r="K102" s="708"/>
      <c r="L102" s="708"/>
      <c r="M102" s="708"/>
      <c r="N102" s="708"/>
      <c r="O102" s="708"/>
      <c r="P102" s="708"/>
      <c r="Q102" s="708"/>
      <c r="R102" s="709"/>
    </row>
    <row r="103" spans="1:18">
      <c r="A103" s="23"/>
      <c r="B103" s="11"/>
      <c r="C103" s="68"/>
      <c r="D103" s="4"/>
      <c r="E103" s="4"/>
      <c r="F103" s="4"/>
      <c r="G103" s="24" t="s">
        <v>17</v>
      </c>
      <c r="H103" s="37">
        <f>H102/exr</f>
        <v>146.43076923076924</v>
      </c>
      <c r="I103" s="38" t="str">
        <f>CONCATENATE("per ",C88)</f>
        <v>per cum</v>
      </c>
      <c r="J103" s="710"/>
      <c r="K103" s="711"/>
      <c r="L103" s="711"/>
      <c r="M103" s="711"/>
      <c r="N103" s="711"/>
      <c r="O103" s="711"/>
      <c r="P103" s="711"/>
      <c r="Q103" s="711"/>
      <c r="R103" s="712"/>
    </row>
    <row r="104" spans="1:18">
      <c r="A104" s="39"/>
      <c r="B104" s="40"/>
      <c r="C104" s="69"/>
      <c r="D104" s="41"/>
      <c r="E104" s="41"/>
      <c r="F104" s="41"/>
      <c r="G104" s="149" t="s">
        <v>460</v>
      </c>
      <c r="H104" s="150">
        <f>CEILING(SUM(M90)/H97,0.0025)</f>
        <v>0.13250000000000001</v>
      </c>
      <c r="I104" s="42"/>
      <c r="J104" s="43"/>
      <c r="K104" s="43"/>
      <c r="L104" s="43"/>
      <c r="M104" s="43"/>
      <c r="N104" s="43"/>
      <c r="O104" s="43"/>
      <c r="P104" s="43"/>
      <c r="Q104" s="43"/>
      <c r="R104" s="44"/>
    </row>
    <row r="106" spans="1:18">
      <c r="A106" s="693" t="s">
        <v>0</v>
      </c>
      <c r="B106" s="695" t="s">
        <v>1</v>
      </c>
      <c r="C106" s="695" t="s">
        <v>2</v>
      </c>
      <c r="D106" s="697" t="s">
        <v>3</v>
      </c>
      <c r="E106" s="698"/>
      <c r="F106" s="698"/>
      <c r="G106" s="698"/>
      <c r="H106" s="698"/>
      <c r="I106" s="699" t="s">
        <v>4</v>
      </c>
      <c r="J106" s="700"/>
      <c r="K106" s="700"/>
      <c r="L106" s="700"/>
      <c r="M106" s="700"/>
      <c r="N106" s="698" t="s">
        <v>5</v>
      </c>
      <c r="O106" s="698"/>
      <c r="P106" s="698"/>
      <c r="Q106" s="698"/>
      <c r="R106" s="698"/>
    </row>
    <row r="107" spans="1:18">
      <c r="A107" s="694"/>
      <c r="B107" s="696"/>
      <c r="C107" s="696"/>
      <c r="D107" s="45" t="s">
        <v>6</v>
      </c>
      <c r="E107" s="46" t="s">
        <v>2</v>
      </c>
      <c r="F107" s="46" t="s">
        <v>7</v>
      </c>
      <c r="G107" s="46" t="s">
        <v>8</v>
      </c>
      <c r="H107" s="46" t="s">
        <v>9</v>
      </c>
      <c r="I107" s="46" t="s">
        <v>10</v>
      </c>
      <c r="J107" s="46" t="s">
        <v>2</v>
      </c>
      <c r="K107" s="46" t="s">
        <v>7</v>
      </c>
      <c r="L107" s="46" t="s">
        <v>8</v>
      </c>
      <c r="M107" s="47" t="s">
        <v>9</v>
      </c>
      <c r="N107" s="46" t="s">
        <v>10</v>
      </c>
      <c r="O107" s="46" t="s">
        <v>2</v>
      </c>
      <c r="P107" s="46" t="s">
        <v>7</v>
      </c>
      <c r="Q107" s="46" t="s">
        <v>8</v>
      </c>
      <c r="R107" s="46" t="s">
        <v>9</v>
      </c>
    </row>
    <row r="108" spans="1:18">
      <c r="A108" s="33" t="s">
        <v>23</v>
      </c>
      <c r="B108" s="73" t="s">
        <v>291</v>
      </c>
      <c r="C108" s="65"/>
      <c r="D108" s="31"/>
      <c r="E108" s="31"/>
      <c r="F108" s="31"/>
      <c r="G108" s="31"/>
      <c r="H108" s="31"/>
      <c r="I108" s="31"/>
      <c r="J108" s="31"/>
      <c r="K108" s="31"/>
      <c r="L108" s="31"/>
      <c r="M108" s="31"/>
      <c r="N108" s="31"/>
      <c r="O108" s="31"/>
      <c r="P108" s="31"/>
      <c r="Q108" s="31"/>
      <c r="R108" s="32"/>
    </row>
    <row r="109" spans="1:18">
      <c r="A109" s="34">
        <f>A88+1</f>
        <v>6</v>
      </c>
      <c r="B109" s="713" t="s">
        <v>292</v>
      </c>
      <c r="C109" s="66" t="s">
        <v>11</v>
      </c>
      <c r="D109" s="4"/>
      <c r="E109" s="6"/>
      <c r="F109" s="29"/>
      <c r="G109" s="26"/>
      <c r="H109" s="26"/>
      <c r="I109" s="6"/>
      <c r="J109" s="6"/>
      <c r="K109" s="29"/>
      <c r="L109" s="26"/>
      <c r="M109" s="26"/>
      <c r="N109" s="6"/>
      <c r="O109" s="6"/>
      <c r="P109" s="29"/>
      <c r="Q109" s="26"/>
      <c r="R109" s="26"/>
    </row>
    <row r="110" spans="1:18">
      <c r="A110" s="2"/>
      <c r="B110" s="714"/>
      <c r="C110" s="66"/>
      <c r="D110" s="4" t="s">
        <v>251</v>
      </c>
      <c r="E110" s="6" t="s">
        <v>81</v>
      </c>
      <c r="F110" s="29">
        <v>1.5</v>
      </c>
      <c r="G110" s="26">
        <f>sr</f>
        <v>1100</v>
      </c>
      <c r="H110" s="26">
        <f>F110*G110</f>
        <v>1650</v>
      </c>
      <c r="I110" s="7" t="s">
        <v>284</v>
      </c>
      <c r="J110" s="8" t="s">
        <v>285</v>
      </c>
      <c r="K110" s="88">
        <v>560</v>
      </c>
      <c r="L110" s="28">
        <f>bricks</f>
        <v>17.5</v>
      </c>
      <c r="M110" s="26">
        <f>K110*L110</f>
        <v>9800</v>
      </c>
      <c r="N110" s="8" t="s">
        <v>294</v>
      </c>
      <c r="O110" s="6"/>
      <c r="P110" s="29"/>
      <c r="Q110" s="28"/>
      <c r="R110" s="26">
        <f>3%*H117</f>
        <v>126</v>
      </c>
    </row>
    <row r="111" spans="1:18">
      <c r="A111" s="2"/>
      <c r="B111" s="714"/>
      <c r="C111" s="66"/>
      <c r="D111" s="4" t="s">
        <v>97</v>
      </c>
      <c r="E111" s="6" t="s">
        <v>81</v>
      </c>
      <c r="F111" s="29">
        <v>3</v>
      </c>
      <c r="G111" s="26">
        <f>ur</f>
        <v>850</v>
      </c>
      <c r="H111" s="26">
        <f>F111*G111</f>
        <v>2550</v>
      </c>
      <c r="I111" s="7" t="s">
        <v>252</v>
      </c>
      <c r="J111" s="8" t="s">
        <v>32</v>
      </c>
      <c r="K111" s="88">
        <v>0.06</v>
      </c>
      <c r="L111" s="28">
        <f>cement</f>
        <v>24049.69</v>
      </c>
      <c r="M111" s="26">
        <f>K111*L111</f>
        <v>1442.9813999999999</v>
      </c>
      <c r="N111" s="8"/>
      <c r="O111" s="6"/>
      <c r="P111" s="29"/>
      <c r="Q111" s="28"/>
      <c r="R111" s="26"/>
    </row>
    <row r="112" spans="1:18">
      <c r="A112" s="2"/>
      <c r="B112" s="714"/>
      <c r="C112" s="66"/>
      <c r="D112" s="4"/>
      <c r="E112" s="6"/>
      <c r="F112" s="29"/>
      <c r="G112" s="26"/>
      <c r="H112" s="26"/>
      <c r="I112" s="7" t="s">
        <v>286</v>
      </c>
      <c r="J112" s="8" t="s">
        <v>34</v>
      </c>
      <c r="K112" s="88">
        <v>0.3</v>
      </c>
      <c r="L112" s="28">
        <f>sand</f>
        <v>1050</v>
      </c>
      <c r="M112" s="26">
        <f>K112*L112</f>
        <v>315</v>
      </c>
      <c r="N112" s="8"/>
      <c r="O112" s="6"/>
      <c r="P112" s="29"/>
      <c r="Q112" s="28"/>
      <c r="R112" s="28"/>
    </row>
    <row r="113" spans="1:18">
      <c r="A113" s="2"/>
      <c r="B113" s="714"/>
      <c r="C113" s="66"/>
      <c r="D113" s="4"/>
      <c r="E113" s="6"/>
      <c r="F113" s="29"/>
      <c r="G113" s="26"/>
      <c r="H113" s="26"/>
      <c r="I113" s="7" t="s">
        <v>215</v>
      </c>
      <c r="J113" s="8" t="s">
        <v>250</v>
      </c>
      <c r="K113" s="88">
        <v>36</v>
      </c>
      <c r="L113" s="28"/>
      <c r="M113" s="26">
        <f>K113*L113</f>
        <v>0</v>
      </c>
      <c r="N113" s="8"/>
      <c r="O113" s="6"/>
      <c r="P113" s="29"/>
      <c r="Q113" s="28"/>
      <c r="R113" s="28"/>
    </row>
    <row r="114" spans="1:18">
      <c r="A114" s="2"/>
      <c r="B114" s="126"/>
      <c r="C114" s="66"/>
      <c r="D114" s="4"/>
      <c r="E114" s="6"/>
      <c r="F114" s="29"/>
      <c r="G114" s="26"/>
      <c r="H114" s="26"/>
      <c r="I114" s="7"/>
      <c r="J114" s="8"/>
      <c r="K114" s="88"/>
      <c r="L114" s="28"/>
      <c r="M114" s="26"/>
      <c r="N114" s="8"/>
      <c r="O114" s="6"/>
      <c r="P114" s="29"/>
      <c r="Q114" s="28"/>
      <c r="R114" s="28"/>
    </row>
    <row r="115" spans="1:18">
      <c r="A115" s="2"/>
      <c r="B115" s="126"/>
      <c r="C115" s="66"/>
      <c r="D115" s="4"/>
      <c r="E115" s="6"/>
      <c r="F115" s="29"/>
      <c r="G115" s="26"/>
      <c r="H115" s="26"/>
      <c r="I115" s="7"/>
      <c r="J115" s="8"/>
      <c r="K115" s="29"/>
      <c r="L115" s="28"/>
      <c r="M115" s="26"/>
      <c r="N115" s="8"/>
      <c r="O115" s="6"/>
      <c r="P115" s="29"/>
      <c r="Q115" s="28"/>
      <c r="R115" s="28"/>
    </row>
    <row r="116" spans="1:18">
      <c r="A116" s="2"/>
      <c r="B116" s="5"/>
      <c r="C116" s="66"/>
      <c r="D116" s="4"/>
      <c r="E116" s="9"/>
      <c r="F116" s="30"/>
      <c r="G116" s="27"/>
      <c r="H116" s="27"/>
      <c r="I116" s="9"/>
      <c r="J116" s="10"/>
      <c r="K116" s="30"/>
      <c r="L116" s="28"/>
      <c r="M116" s="28"/>
      <c r="N116" s="8"/>
      <c r="O116" s="6"/>
      <c r="P116" s="30"/>
      <c r="Q116" s="28"/>
      <c r="R116" s="28"/>
    </row>
    <row r="117" spans="1:18">
      <c r="A117" s="2"/>
      <c r="B117" s="11"/>
      <c r="C117" s="66"/>
      <c r="D117" s="12"/>
      <c r="E117" s="59"/>
      <c r="F117" s="13"/>
      <c r="G117" s="13" t="s">
        <v>20</v>
      </c>
      <c r="H117" s="25">
        <f>SUM(H109:H116)</f>
        <v>4200</v>
      </c>
      <c r="I117" s="703"/>
      <c r="J117" s="703"/>
      <c r="K117" s="14"/>
      <c r="L117" s="13" t="s">
        <v>21</v>
      </c>
      <c r="M117" s="25">
        <f>SUM(M109:M116)</f>
        <v>11557.981400000001</v>
      </c>
      <c r="N117" s="3"/>
      <c r="O117" s="14"/>
      <c r="P117" s="14"/>
      <c r="Q117" s="13" t="s">
        <v>22</v>
      </c>
      <c r="R117" s="25">
        <f>SUM(R109:R116)</f>
        <v>126</v>
      </c>
    </row>
    <row r="118" spans="1:18">
      <c r="A118" s="2"/>
      <c r="B118" s="16" t="s">
        <v>13</v>
      </c>
      <c r="C118" s="67"/>
      <c r="D118" s="14"/>
      <c r="E118" s="14"/>
      <c r="F118" s="14"/>
      <c r="G118" s="13"/>
      <c r="H118" s="35">
        <f>M117+R117+H117</f>
        <v>15883.981400000001</v>
      </c>
      <c r="I118" s="17"/>
      <c r="J118" s="14"/>
      <c r="K118" s="14"/>
      <c r="L118" s="13"/>
      <c r="M118" s="15"/>
      <c r="N118" s="14"/>
      <c r="O118" s="14"/>
      <c r="P118" s="14"/>
      <c r="Q118" s="14"/>
      <c r="R118" s="17"/>
    </row>
    <row r="119" spans="1:18">
      <c r="A119" s="2"/>
      <c r="B119" s="11" t="s">
        <v>25</v>
      </c>
      <c r="C119" s="68"/>
      <c r="D119" s="4"/>
      <c r="E119" s="4"/>
      <c r="F119" s="4"/>
      <c r="G119" s="18"/>
      <c r="H119" s="36">
        <v>0</v>
      </c>
      <c r="I119" s="20"/>
      <c r="J119" s="4" t="s">
        <v>26</v>
      </c>
      <c r="K119" s="4"/>
      <c r="L119" s="18"/>
      <c r="M119" s="19"/>
      <c r="N119" s="4"/>
      <c r="O119" s="4"/>
      <c r="P119" s="4"/>
      <c r="Q119" s="4"/>
      <c r="R119" s="20"/>
    </row>
    <row r="120" spans="1:18">
      <c r="A120" s="23"/>
      <c r="B120" s="11" t="s">
        <v>14</v>
      </c>
      <c r="C120" s="68"/>
      <c r="D120" s="4"/>
      <c r="E120" s="4"/>
      <c r="F120" s="4"/>
      <c r="G120" s="18"/>
      <c r="H120" s="36">
        <f>SUM(H118:H119)</f>
        <v>15883.981400000001</v>
      </c>
      <c r="I120" s="20"/>
      <c r="J120" s="704"/>
      <c r="K120" s="705"/>
      <c r="L120" s="705"/>
      <c r="M120" s="705"/>
      <c r="N120" s="705"/>
      <c r="O120" s="705"/>
      <c r="P120" s="705"/>
      <c r="Q120" s="705"/>
      <c r="R120" s="706"/>
    </row>
    <row r="121" spans="1:18">
      <c r="A121" s="23"/>
      <c r="B121" s="11" t="s">
        <v>24</v>
      </c>
      <c r="C121" s="68"/>
      <c r="D121" s="4"/>
      <c r="E121" s="4"/>
      <c r="F121" s="4"/>
      <c r="G121" s="18"/>
      <c r="H121" s="36">
        <f>H120*15%</f>
        <v>2382.5972099999999</v>
      </c>
      <c r="I121" s="20"/>
      <c r="J121" s="707"/>
      <c r="K121" s="708"/>
      <c r="L121" s="708"/>
      <c r="M121" s="708"/>
      <c r="N121" s="708"/>
      <c r="O121" s="708"/>
      <c r="P121" s="708"/>
      <c r="Q121" s="708"/>
      <c r="R121" s="709"/>
    </row>
    <row r="122" spans="1:18">
      <c r="A122" s="23"/>
      <c r="B122" s="11" t="s">
        <v>15</v>
      </c>
      <c r="C122" s="68"/>
      <c r="D122" s="4"/>
      <c r="E122" s="4"/>
      <c r="F122" s="4"/>
      <c r="G122" s="21" t="s">
        <v>16</v>
      </c>
      <c r="H122" s="37">
        <f>H121+H120</f>
        <v>18266.57861</v>
      </c>
      <c r="I122" s="38" t="str">
        <f>CONCATENATE("per ",C109)</f>
        <v>per cum</v>
      </c>
      <c r="J122" s="707"/>
      <c r="K122" s="708"/>
      <c r="L122" s="708"/>
      <c r="M122" s="708"/>
      <c r="N122" s="708"/>
      <c r="O122" s="708"/>
      <c r="P122" s="708"/>
      <c r="Q122" s="708"/>
      <c r="R122" s="709"/>
    </row>
    <row r="123" spans="1:18">
      <c r="A123" s="23"/>
      <c r="B123" s="11" t="s">
        <v>18</v>
      </c>
      <c r="C123" s="125" t="s">
        <v>19</v>
      </c>
      <c r="D123" s="4"/>
      <c r="E123" s="4"/>
      <c r="F123" s="4"/>
      <c r="G123" s="21" t="s">
        <v>16</v>
      </c>
      <c r="H123" s="37">
        <f>CEILING(H122,0.5)</f>
        <v>18267</v>
      </c>
      <c r="I123" s="38" t="str">
        <f>CONCATENATE("per ",C109)</f>
        <v>per cum</v>
      </c>
      <c r="J123" s="707"/>
      <c r="K123" s="708"/>
      <c r="L123" s="708"/>
      <c r="M123" s="708"/>
      <c r="N123" s="708"/>
      <c r="O123" s="708"/>
      <c r="P123" s="708"/>
      <c r="Q123" s="708"/>
      <c r="R123" s="709"/>
    </row>
    <row r="124" spans="1:18">
      <c r="A124" s="23"/>
      <c r="B124" s="11"/>
      <c r="C124" s="68"/>
      <c r="D124" s="4"/>
      <c r="E124" s="4"/>
      <c r="F124" s="4"/>
      <c r="G124" s="24" t="s">
        <v>17</v>
      </c>
      <c r="H124" s="37">
        <f>H123/exr</f>
        <v>140.51538461538462</v>
      </c>
      <c r="I124" s="38" t="str">
        <f>CONCATENATE("per ",C109)</f>
        <v>per cum</v>
      </c>
      <c r="J124" s="710"/>
      <c r="K124" s="711"/>
      <c r="L124" s="711"/>
      <c r="M124" s="711"/>
      <c r="N124" s="711"/>
      <c r="O124" s="711"/>
      <c r="P124" s="711"/>
      <c r="Q124" s="711"/>
      <c r="R124" s="712"/>
    </row>
    <row r="125" spans="1:18">
      <c r="A125" s="39"/>
      <c r="B125" s="40"/>
      <c r="C125" s="69"/>
      <c r="D125" s="41"/>
      <c r="E125" s="41"/>
      <c r="F125" s="41"/>
      <c r="G125" s="149" t="s">
        <v>460</v>
      </c>
      <c r="H125" s="150">
        <f>CEILING(SUM(M111)/H118,0.0025)</f>
        <v>9.2499999999999999E-2</v>
      </c>
      <c r="I125" s="42"/>
      <c r="J125" s="43"/>
      <c r="K125" s="43"/>
      <c r="L125" s="43"/>
      <c r="M125" s="43"/>
      <c r="N125" s="43"/>
      <c r="O125" s="43"/>
      <c r="P125" s="43"/>
      <c r="Q125" s="43"/>
      <c r="R125" s="44"/>
    </row>
  </sheetData>
  <mergeCells count="54">
    <mergeCell ref="B109:B113"/>
    <mergeCell ref="I117:J117"/>
    <mergeCell ref="J120:R124"/>
    <mergeCell ref="B88:B92"/>
    <mergeCell ref="I96:J96"/>
    <mergeCell ref="J99:R103"/>
    <mergeCell ref="N106:R106"/>
    <mergeCell ref="A106:A107"/>
    <mergeCell ref="B106:B107"/>
    <mergeCell ref="C106:C107"/>
    <mergeCell ref="D106:H106"/>
    <mergeCell ref="I106:M106"/>
    <mergeCell ref="B67:B71"/>
    <mergeCell ref="I75:J75"/>
    <mergeCell ref="J78:R82"/>
    <mergeCell ref="A85:A86"/>
    <mergeCell ref="B85:B86"/>
    <mergeCell ref="C85:C86"/>
    <mergeCell ref="D85:H85"/>
    <mergeCell ref="I85:M85"/>
    <mergeCell ref="N85:R85"/>
    <mergeCell ref="B46:B50"/>
    <mergeCell ref="I54:J54"/>
    <mergeCell ref="J57:R61"/>
    <mergeCell ref="A64:A65"/>
    <mergeCell ref="B64:B65"/>
    <mergeCell ref="C64:C65"/>
    <mergeCell ref="D64:H64"/>
    <mergeCell ref="I64:M64"/>
    <mergeCell ref="N64:R64"/>
    <mergeCell ref="J36:R40"/>
    <mergeCell ref="N22:R22"/>
    <mergeCell ref="B25:B29"/>
    <mergeCell ref="I33:J33"/>
    <mergeCell ref="A43:A44"/>
    <mergeCell ref="B43:B44"/>
    <mergeCell ref="C43:C44"/>
    <mergeCell ref="D43:H43"/>
    <mergeCell ref="I43:M43"/>
    <mergeCell ref="N43:R43"/>
    <mergeCell ref="A22:A23"/>
    <mergeCell ref="B22:B23"/>
    <mergeCell ref="C22:C23"/>
    <mergeCell ref="D22:H22"/>
    <mergeCell ref="I22:M22"/>
    <mergeCell ref="B4:B8"/>
    <mergeCell ref="I12:J12"/>
    <mergeCell ref="J15:R19"/>
    <mergeCell ref="N1:R1"/>
    <mergeCell ref="A1:A2"/>
    <mergeCell ref="B1:B2"/>
    <mergeCell ref="C1:C2"/>
    <mergeCell ref="D1:H1"/>
    <mergeCell ref="I1:M1"/>
  </mergeCells>
  <printOptions horizontalCentered="1"/>
  <pageMargins left="0.7" right="0.7" top="0.75" bottom="0.75" header="0.3" footer="0.3"/>
  <pageSetup paperSize="9" scale="66" orientation="landscape" r:id="rId1"/>
  <headerFooter>
    <oddHeader>&amp;L&amp;"Gill Sans MT,Italic"&amp;9Hydro Consult
Nyadi Hydropower Project&amp;C&amp;"Gill Sans MT,Regular"RATE ANALYSIS&amp;R&amp;"Gill Sans MT,Italic"&amp;9&amp;A</oddHeader>
    <oddFooter xml:space="preserve">&amp;R&amp;"Gill Sans MT,Italic"&amp;9Page &amp;P of &amp;N </oddFooter>
  </headerFooter>
  <rowBreaks count="2" manualBreakCount="2">
    <brk id="42" max="16383" man="1"/>
    <brk id="84"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59"/>
  <sheetViews>
    <sheetView workbookViewId="0">
      <selection sqref="A1:A2"/>
    </sheetView>
  </sheetViews>
  <sheetFormatPr defaultColWidth="9.140625" defaultRowHeight="15.75"/>
  <cols>
    <col min="1" max="1" width="10.7109375" style="1" customWidth="1"/>
    <col min="2" max="2" width="33" style="1" customWidth="1"/>
    <col min="3" max="3" width="5.28515625" style="1" customWidth="1"/>
    <col min="4" max="4" width="9.140625" style="1"/>
    <col min="5" max="5" width="5.28515625" style="1" customWidth="1"/>
    <col min="6" max="7" width="9.28515625" style="1" bestFit="1" customWidth="1"/>
    <col min="8" max="8" width="10.7109375" style="1" customWidth="1"/>
    <col min="9" max="9" width="20.140625" style="1" customWidth="1"/>
    <col min="10" max="10" width="5.28515625" style="1" customWidth="1"/>
    <col min="11" max="11" width="9.28515625" style="1" bestFit="1" customWidth="1"/>
    <col min="12" max="12" width="9.42578125" style="1" bestFit="1" customWidth="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298</v>
      </c>
      <c r="C3" s="31"/>
      <c r="D3" s="31"/>
      <c r="E3" s="31"/>
      <c r="F3" s="31"/>
      <c r="G3" s="31"/>
      <c r="H3" s="31"/>
      <c r="I3" s="31"/>
      <c r="J3" s="31"/>
      <c r="K3" s="31"/>
      <c r="L3" s="31"/>
      <c r="M3" s="31"/>
      <c r="N3" s="31"/>
      <c r="O3" s="31"/>
      <c r="P3" s="31"/>
      <c r="Q3" s="31"/>
      <c r="R3" s="32"/>
    </row>
    <row r="4" spans="1:18" ht="15.75" customHeight="1">
      <c r="A4" s="34">
        <v>1</v>
      </c>
      <c r="B4" s="713" t="s">
        <v>299</v>
      </c>
      <c r="C4" s="66">
        <v>100</v>
      </c>
      <c r="D4" s="4"/>
      <c r="E4" s="6"/>
      <c r="F4" s="29"/>
      <c r="G4" s="26"/>
      <c r="H4" s="26"/>
      <c r="I4" s="6"/>
      <c r="J4" s="6"/>
      <c r="K4" s="29"/>
      <c r="L4" s="26"/>
      <c r="M4" s="26"/>
      <c r="N4" s="6"/>
      <c r="O4" s="6"/>
      <c r="P4" s="29"/>
      <c r="Q4" s="26"/>
      <c r="R4" s="26"/>
    </row>
    <row r="5" spans="1:18">
      <c r="A5" s="2"/>
      <c r="B5" s="714"/>
      <c r="C5" s="124" t="s">
        <v>127</v>
      </c>
      <c r="D5" s="4" t="s">
        <v>96</v>
      </c>
      <c r="E5" s="6" t="s">
        <v>81</v>
      </c>
      <c r="F5" s="29">
        <v>12</v>
      </c>
      <c r="G5" s="26">
        <f>sr</f>
        <v>1100</v>
      </c>
      <c r="H5" s="26">
        <f>F5*G5</f>
        <v>13200</v>
      </c>
      <c r="I5" s="7" t="s">
        <v>300</v>
      </c>
      <c r="J5" s="8" t="s">
        <v>32</v>
      </c>
      <c r="K5" s="29">
        <v>0.85</v>
      </c>
      <c r="L5" s="28">
        <f>cement</f>
        <v>24049.69</v>
      </c>
      <c r="M5" s="26">
        <f>K5*L5</f>
        <v>20442.236499999999</v>
      </c>
      <c r="N5" s="8" t="s">
        <v>294</v>
      </c>
      <c r="O5" s="6"/>
      <c r="P5" s="29"/>
      <c r="Q5" s="28"/>
      <c r="R5" s="26">
        <f>3%*H10</f>
        <v>804</v>
      </c>
    </row>
    <row r="6" spans="1:18">
      <c r="A6" s="2"/>
      <c r="B6" s="714"/>
      <c r="C6" s="6"/>
      <c r="D6" s="4" t="s">
        <v>97</v>
      </c>
      <c r="E6" s="6" t="s">
        <v>81</v>
      </c>
      <c r="F6" s="29">
        <v>16</v>
      </c>
      <c r="G6" s="26">
        <f>ur</f>
        <v>850</v>
      </c>
      <c r="H6" s="26">
        <f>F6*G6</f>
        <v>13600</v>
      </c>
      <c r="I6" s="7" t="s">
        <v>301</v>
      </c>
      <c r="J6" s="8" t="s">
        <v>11</v>
      </c>
      <c r="K6" s="29">
        <v>1.2</v>
      </c>
      <c r="L6" s="28">
        <f>sand</f>
        <v>1050</v>
      </c>
      <c r="M6" s="26">
        <f>K6*L6</f>
        <v>1260</v>
      </c>
      <c r="N6" s="8"/>
      <c r="O6" s="6"/>
      <c r="P6" s="29"/>
      <c r="Q6" s="28"/>
      <c r="R6" s="26"/>
    </row>
    <row r="7" spans="1:18">
      <c r="A7" s="2"/>
      <c r="B7" s="714"/>
      <c r="C7" s="6"/>
      <c r="D7" s="4"/>
      <c r="E7" s="6"/>
      <c r="F7" s="29"/>
      <c r="G7" s="26"/>
      <c r="H7" s="26"/>
      <c r="I7" s="7" t="s">
        <v>255</v>
      </c>
      <c r="J7" s="8" t="s">
        <v>250</v>
      </c>
      <c r="K7" s="29">
        <v>300</v>
      </c>
      <c r="L7" s="28"/>
      <c r="M7" s="26">
        <f>K7*L7</f>
        <v>0</v>
      </c>
      <c r="N7" s="8"/>
      <c r="O7" s="6"/>
      <c r="P7" s="29"/>
      <c r="Q7" s="28"/>
      <c r="R7" s="26"/>
    </row>
    <row r="8" spans="1:18">
      <c r="A8" s="2"/>
      <c r="B8" s="714"/>
      <c r="C8" s="6"/>
      <c r="D8" s="4"/>
      <c r="E8" s="6"/>
      <c r="F8" s="29"/>
      <c r="G8" s="26"/>
      <c r="H8" s="26"/>
      <c r="I8" s="7"/>
      <c r="J8" s="8"/>
      <c r="K8" s="29"/>
      <c r="L8" s="28"/>
      <c r="M8" s="28"/>
      <c r="N8" s="8"/>
      <c r="O8" s="6"/>
      <c r="P8" s="29"/>
      <c r="Q8" s="28"/>
      <c r="R8" s="28"/>
    </row>
    <row r="9" spans="1:18">
      <c r="A9" s="2"/>
      <c r="B9" s="5"/>
      <c r="C9" s="6"/>
      <c r="D9" s="4"/>
      <c r="E9" s="9"/>
      <c r="F9" s="30"/>
      <c r="G9" s="27"/>
      <c r="H9" s="27"/>
      <c r="I9" s="9"/>
      <c r="J9" s="10"/>
      <c r="K9" s="30"/>
      <c r="L9" s="28"/>
      <c r="M9" s="28"/>
      <c r="N9" s="8"/>
      <c r="O9" s="6"/>
      <c r="P9" s="30"/>
      <c r="Q9" s="28"/>
      <c r="R9" s="28"/>
    </row>
    <row r="10" spans="1:18">
      <c r="A10" s="2"/>
      <c r="B10" s="11"/>
      <c r="C10" s="6"/>
      <c r="D10" s="12"/>
      <c r="E10" s="59"/>
      <c r="F10" s="13"/>
      <c r="G10" s="13" t="s">
        <v>20</v>
      </c>
      <c r="H10" s="25">
        <f>SUM(H4:H9)</f>
        <v>26800</v>
      </c>
      <c r="I10" s="703"/>
      <c r="J10" s="703"/>
      <c r="K10" s="14"/>
      <c r="L10" s="13" t="s">
        <v>21</v>
      </c>
      <c r="M10" s="25">
        <f>SUM(M4:M9)</f>
        <v>21702.236499999999</v>
      </c>
      <c r="N10" s="3"/>
      <c r="O10" s="14"/>
      <c r="P10" s="14"/>
      <c r="Q10" s="13" t="s">
        <v>22</v>
      </c>
      <c r="R10" s="25">
        <f>SUM(R4:R9)</f>
        <v>804</v>
      </c>
    </row>
    <row r="11" spans="1:18">
      <c r="A11" s="2"/>
      <c r="B11" s="16" t="s">
        <v>13</v>
      </c>
      <c r="C11" s="14"/>
      <c r="D11" s="14"/>
      <c r="E11" s="14"/>
      <c r="F11" s="14"/>
      <c r="G11" s="13"/>
      <c r="H11" s="35">
        <f>M10+R10+H10</f>
        <v>49306.236499999999</v>
      </c>
      <c r="I11" s="17"/>
      <c r="J11" s="14"/>
      <c r="K11" s="14"/>
      <c r="L11" s="13"/>
      <c r="M11" s="15"/>
      <c r="N11" s="14"/>
      <c r="O11" s="14"/>
      <c r="P11" s="14"/>
      <c r="Q11" s="14"/>
      <c r="R11" s="17"/>
    </row>
    <row r="12" spans="1:18">
      <c r="A12" s="2"/>
      <c r="B12" s="11" t="s">
        <v>25</v>
      </c>
      <c r="C12" s="4"/>
      <c r="D12" s="4"/>
      <c r="E12" s="4"/>
      <c r="F12" s="4"/>
      <c r="G12" s="18"/>
      <c r="H12" s="36">
        <v>0</v>
      </c>
      <c r="I12" s="20"/>
      <c r="J12" s="4" t="s">
        <v>26</v>
      </c>
      <c r="K12" s="4"/>
      <c r="L12" s="18"/>
      <c r="M12" s="19"/>
      <c r="N12" s="4"/>
      <c r="O12" s="4"/>
      <c r="P12" s="4"/>
      <c r="Q12" s="4"/>
      <c r="R12" s="20"/>
    </row>
    <row r="13" spans="1:18">
      <c r="A13" s="23"/>
      <c r="B13" s="11" t="s">
        <v>14</v>
      </c>
      <c r="C13" s="4"/>
      <c r="D13" s="4"/>
      <c r="E13" s="4"/>
      <c r="F13" s="4"/>
      <c r="G13" s="18"/>
      <c r="H13" s="36">
        <f>SUM(H11:H12)</f>
        <v>49306.236499999999</v>
      </c>
      <c r="I13" s="20"/>
      <c r="J13" s="741"/>
      <c r="K13" s="742"/>
      <c r="L13" s="742"/>
      <c r="M13" s="742"/>
      <c r="N13" s="742"/>
      <c r="O13" s="742"/>
      <c r="P13" s="742"/>
      <c r="Q13" s="742"/>
      <c r="R13" s="743"/>
    </row>
    <row r="14" spans="1:18">
      <c r="A14" s="23"/>
      <c r="B14" s="11" t="s">
        <v>24</v>
      </c>
      <c r="C14" s="4"/>
      <c r="D14" s="4"/>
      <c r="E14" s="4"/>
      <c r="F14" s="4"/>
      <c r="G14" s="18"/>
      <c r="H14" s="36">
        <f>H13*15%</f>
        <v>7395.9354749999993</v>
      </c>
      <c r="I14" s="20"/>
      <c r="J14" s="744"/>
      <c r="K14" s="745"/>
      <c r="L14" s="745"/>
      <c r="M14" s="745"/>
      <c r="N14" s="745"/>
      <c r="O14" s="745"/>
      <c r="P14" s="745"/>
      <c r="Q14" s="745"/>
      <c r="R14" s="746"/>
    </row>
    <row r="15" spans="1:18">
      <c r="A15" s="23"/>
      <c r="B15" s="11" t="s">
        <v>15</v>
      </c>
      <c r="C15" s="4"/>
      <c r="D15" s="4"/>
      <c r="E15" s="4"/>
      <c r="F15" s="4"/>
      <c r="G15" s="21" t="s">
        <v>16</v>
      </c>
      <c r="H15" s="37">
        <f>H14+H13</f>
        <v>56702.171974999997</v>
      </c>
      <c r="I15" s="38" t="str">
        <f>CONCATENATE("per ",C4, C5)</f>
        <v>per 100sqm</v>
      </c>
      <c r="J15" s="744"/>
      <c r="K15" s="745"/>
      <c r="L15" s="745"/>
      <c r="M15" s="745"/>
      <c r="N15" s="745"/>
      <c r="O15" s="745"/>
      <c r="P15" s="745"/>
      <c r="Q15" s="745"/>
      <c r="R15" s="746"/>
    </row>
    <row r="16" spans="1:18">
      <c r="A16" s="23"/>
      <c r="B16" s="11"/>
      <c r="C16" s="4"/>
      <c r="D16" s="4"/>
      <c r="E16" s="4"/>
      <c r="F16" s="4"/>
      <c r="G16" s="21" t="s">
        <v>16</v>
      </c>
      <c r="H16" s="37">
        <f>H15/C4</f>
        <v>567.02171974999999</v>
      </c>
      <c r="I16" s="38" t="str">
        <f>CONCATENATE("per ",C5)</f>
        <v>per sqm</v>
      </c>
      <c r="J16" s="744"/>
      <c r="K16" s="745"/>
      <c r="L16" s="745"/>
      <c r="M16" s="745"/>
      <c r="N16" s="745"/>
      <c r="O16" s="745"/>
      <c r="P16" s="745"/>
      <c r="Q16" s="745"/>
      <c r="R16" s="746"/>
    </row>
    <row r="17" spans="1:18">
      <c r="A17" s="23"/>
      <c r="B17" s="11" t="s">
        <v>18</v>
      </c>
      <c r="C17" s="4" t="s">
        <v>19</v>
      </c>
      <c r="D17" s="4"/>
      <c r="E17" s="4"/>
      <c r="F17" s="4"/>
      <c r="G17" s="21" t="s">
        <v>16</v>
      </c>
      <c r="H17" s="37">
        <f>CEILING(H16,0.5)</f>
        <v>567.5</v>
      </c>
      <c r="I17" s="38" t="str">
        <f>CONCATENATE("per ",C5)</f>
        <v>per sqm</v>
      </c>
      <c r="J17" s="744"/>
      <c r="K17" s="745"/>
      <c r="L17" s="745"/>
      <c r="M17" s="745"/>
      <c r="N17" s="745"/>
      <c r="O17" s="745"/>
      <c r="P17" s="745"/>
      <c r="Q17" s="745"/>
      <c r="R17" s="746"/>
    </row>
    <row r="18" spans="1:18">
      <c r="A18" s="23"/>
      <c r="B18" s="11"/>
      <c r="C18" s="4"/>
      <c r="D18" s="4"/>
      <c r="E18" s="4"/>
      <c r="F18" s="4"/>
      <c r="G18" s="24" t="s">
        <v>17</v>
      </c>
      <c r="H18" s="37">
        <f>H17/exr</f>
        <v>4.365384615384615</v>
      </c>
      <c r="I18" s="38" t="str">
        <f>CONCATENATE("per ",C5)</f>
        <v>per sqm</v>
      </c>
      <c r="J18" s="747"/>
      <c r="K18" s="748"/>
      <c r="L18" s="748"/>
      <c r="M18" s="748"/>
      <c r="N18" s="748"/>
      <c r="O18" s="748"/>
      <c r="P18" s="748"/>
      <c r="Q18" s="748"/>
      <c r="R18" s="749"/>
    </row>
    <row r="19" spans="1:18">
      <c r="A19" s="39"/>
      <c r="B19" s="40"/>
      <c r="C19" s="41"/>
      <c r="D19" s="41"/>
      <c r="E19" s="41"/>
      <c r="F19" s="41"/>
      <c r="G19" s="149" t="s">
        <v>460</v>
      </c>
      <c r="H19" s="150">
        <f>CEILING(SUM(M5)/H11,0.0025)</f>
        <v>0.41500000000000004</v>
      </c>
      <c r="I19" s="42"/>
      <c r="J19" s="43"/>
      <c r="K19" s="43"/>
      <c r="L19" s="43"/>
      <c r="M19" s="43"/>
      <c r="N19" s="43"/>
      <c r="O19" s="43"/>
      <c r="P19" s="43"/>
      <c r="Q19" s="43"/>
      <c r="R19" s="44"/>
    </row>
    <row r="20" spans="1:18">
      <c r="A20" s="22"/>
      <c r="B20" s="22"/>
      <c r="C20" s="22"/>
      <c r="D20" s="22"/>
      <c r="E20" s="22"/>
      <c r="F20" s="22"/>
      <c r="G20" s="22"/>
      <c r="H20" s="22"/>
      <c r="I20" s="22"/>
      <c r="J20" s="22"/>
      <c r="K20" s="22"/>
      <c r="L20" s="22"/>
      <c r="M20" s="22"/>
      <c r="N20" s="22"/>
      <c r="O20" s="22"/>
      <c r="P20" s="22"/>
      <c r="Q20" s="22"/>
      <c r="R20" s="22"/>
    </row>
    <row r="21" spans="1:18">
      <c r="A21" s="693" t="s">
        <v>0</v>
      </c>
      <c r="B21" s="695" t="s">
        <v>1</v>
      </c>
      <c r="C21" s="695" t="s">
        <v>2</v>
      </c>
      <c r="D21" s="697" t="s">
        <v>3</v>
      </c>
      <c r="E21" s="698"/>
      <c r="F21" s="698"/>
      <c r="G21" s="698"/>
      <c r="H21" s="698"/>
      <c r="I21" s="699" t="s">
        <v>4</v>
      </c>
      <c r="J21" s="700"/>
      <c r="K21" s="700"/>
      <c r="L21" s="700"/>
      <c r="M21" s="700"/>
      <c r="N21" s="698" t="s">
        <v>5</v>
      </c>
      <c r="O21" s="698"/>
      <c r="P21" s="698"/>
      <c r="Q21" s="698"/>
      <c r="R21" s="698"/>
    </row>
    <row r="22" spans="1:18">
      <c r="A22" s="694"/>
      <c r="B22" s="696"/>
      <c r="C22" s="696"/>
      <c r="D22" s="45" t="s">
        <v>6</v>
      </c>
      <c r="E22" s="46" t="s">
        <v>2</v>
      </c>
      <c r="F22" s="46" t="s">
        <v>7</v>
      </c>
      <c r="G22" s="46" t="s">
        <v>8</v>
      </c>
      <c r="H22" s="46" t="s">
        <v>9</v>
      </c>
      <c r="I22" s="46" t="s">
        <v>10</v>
      </c>
      <c r="J22" s="46" t="s">
        <v>2</v>
      </c>
      <c r="K22" s="46" t="s">
        <v>7</v>
      </c>
      <c r="L22" s="46" t="s">
        <v>8</v>
      </c>
      <c r="M22" s="47" t="s">
        <v>9</v>
      </c>
      <c r="N22" s="46" t="s">
        <v>10</v>
      </c>
      <c r="O22" s="46" t="s">
        <v>2</v>
      </c>
      <c r="P22" s="46" t="s">
        <v>7</v>
      </c>
      <c r="Q22" s="46" t="s">
        <v>8</v>
      </c>
      <c r="R22" s="46" t="s">
        <v>9</v>
      </c>
    </row>
    <row r="23" spans="1:18">
      <c r="A23" s="33" t="s">
        <v>23</v>
      </c>
      <c r="B23" s="73" t="s">
        <v>298</v>
      </c>
      <c r="C23" s="31"/>
      <c r="D23" s="31"/>
      <c r="E23" s="31"/>
      <c r="F23" s="31"/>
      <c r="G23" s="31"/>
      <c r="H23" s="31"/>
      <c r="I23" s="31"/>
      <c r="J23" s="31"/>
      <c r="K23" s="31"/>
      <c r="L23" s="31"/>
      <c r="M23" s="31"/>
      <c r="N23" s="31"/>
      <c r="O23" s="31"/>
      <c r="P23" s="31"/>
      <c r="Q23" s="31"/>
      <c r="R23" s="32"/>
    </row>
    <row r="24" spans="1:18">
      <c r="A24" s="34">
        <f>A4+1</f>
        <v>2</v>
      </c>
      <c r="B24" s="713" t="s">
        <v>302</v>
      </c>
      <c r="C24" s="66">
        <v>100</v>
      </c>
      <c r="D24" s="4"/>
      <c r="E24" s="6"/>
      <c r="F24" s="29"/>
      <c r="G24" s="26"/>
      <c r="H24" s="26"/>
      <c r="I24" s="6"/>
      <c r="J24" s="6"/>
      <c r="K24" s="29"/>
      <c r="L24" s="26"/>
      <c r="M24" s="26"/>
      <c r="N24" s="6"/>
      <c r="O24" s="6"/>
      <c r="P24" s="29"/>
      <c r="Q24" s="26"/>
      <c r="R24" s="26"/>
    </row>
    <row r="25" spans="1:18">
      <c r="A25" s="2"/>
      <c r="B25" s="714"/>
      <c r="C25" s="124" t="s">
        <v>127</v>
      </c>
      <c r="D25" s="4" t="s">
        <v>96</v>
      </c>
      <c r="E25" s="6" t="s">
        <v>81</v>
      </c>
      <c r="F25" s="29">
        <v>12</v>
      </c>
      <c r="G25" s="26">
        <f>sr</f>
        <v>1100</v>
      </c>
      <c r="H25" s="26">
        <f>F25*G25</f>
        <v>13200</v>
      </c>
      <c r="I25" s="7" t="s">
        <v>300</v>
      </c>
      <c r="J25" s="8" t="s">
        <v>32</v>
      </c>
      <c r="K25" s="29">
        <v>0.65</v>
      </c>
      <c r="L25" s="28">
        <f>cement</f>
        <v>24049.69</v>
      </c>
      <c r="M25" s="26">
        <f>K25*L25</f>
        <v>15632.298499999999</v>
      </c>
      <c r="N25" s="8" t="s">
        <v>294</v>
      </c>
      <c r="O25" s="6"/>
      <c r="P25" s="29"/>
      <c r="Q25" s="28"/>
      <c r="R25" s="26">
        <f>3%*H30</f>
        <v>804</v>
      </c>
    </row>
    <row r="26" spans="1:18">
      <c r="A26" s="2"/>
      <c r="B26" s="714"/>
      <c r="C26" s="6"/>
      <c r="D26" s="4" t="s">
        <v>97</v>
      </c>
      <c r="E26" s="6" t="s">
        <v>81</v>
      </c>
      <c r="F26" s="29">
        <v>16</v>
      </c>
      <c r="G26" s="26">
        <f>ur</f>
        <v>850</v>
      </c>
      <c r="H26" s="26">
        <f>F26*G26</f>
        <v>13600</v>
      </c>
      <c r="I26" s="7" t="s">
        <v>301</v>
      </c>
      <c r="J26" s="8" t="s">
        <v>11</v>
      </c>
      <c r="K26" s="29">
        <v>1.3</v>
      </c>
      <c r="L26" s="28">
        <f>sand</f>
        <v>1050</v>
      </c>
      <c r="M26" s="26">
        <f>K26*L26</f>
        <v>1365</v>
      </c>
      <c r="N26" s="8"/>
      <c r="O26" s="6"/>
      <c r="P26" s="29"/>
      <c r="Q26" s="28"/>
      <c r="R26" s="26"/>
    </row>
    <row r="27" spans="1:18">
      <c r="A27" s="2"/>
      <c r="B27" s="714"/>
      <c r="C27" s="6"/>
      <c r="D27" s="4"/>
      <c r="E27" s="6"/>
      <c r="F27" s="29"/>
      <c r="G27" s="26"/>
      <c r="H27" s="26"/>
      <c r="I27" s="7" t="s">
        <v>255</v>
      </c>
      <c r="J27" s="8" t="s">
        <v>250</v>
      </c>
      <c r="K27" s="29">
        <v>200</v>
      </c>
      <c r="L27" s="28"/>
      <c r="M27" s="26">
        <f>K27*L27</f>
        <v>0</v>
      </c>
      <c r="N27" s="8"/>
      <c r="O27" s="6"/>
      <c r="P27" s="29"/>
      <c r="Q27" s="28"/>
      <c r="R27" s="26"/>
    </row>
    <row r="28" spans="1:18">
      <c r="A28" s="2"/>
      <c r="B28" s="714"/>
      <c r="C28" s="6"/>
      <c r="D28" s="4"/>
      <c r="E28" s="6"/>
      <c r="F28" s="29"/>
      <c r="G28" s="26"/>
      <c r="H28" s="26"/>
      <c r="I28" s="7"/>
      <c r="J28" s="8"/>
      <c r="K28" s="29"/>
      <c r="L28" s="28"/>
      <c r="M28" s="28"/>
      <c r="N28" s="8"/>
      <c r="O28" s="6"/>
      <c r="P28" s="29"/>
      <c r="Q28" s="28"/>
      <c r="R28" s="28"/>
    </row>
    <row r="29" spans="1:18">
      <c r="A29" s="2"/>
      <c r="B29" s="5"/>
      <c r="C29" s="6"/>
      <c r="D29" s="4"/>
      <c r="E29" s="9"/>
      <c r="F29" s="30"/>
      <c r="G29" s="27"/>
      <c r="H29" s="27"/>
      <c r="I29" s="9"/>
      <c r="J29" s="10"/>
      <c r="K29" s="30"/>
      <c r="L29" s="28"/>
      <c r="M29" s="28"/>
      <c r="N29" s="8"/>
      <c r="O29" s="6"/>
      <c r="P29" s="30"/>
      <c r="Q29" s="28"/>
      <c r="R29" s="28"/>
    </row>
    <row r="30" spans="1:18">
      <c r="A30" s="2"/>
      <c r="B30" s="11"/>
      <c r="C30" s="6"/>
      <c r="D30" s="12"/>
      <c r="E30" s="59"/>
      <c r="F30" s="13"/>
      <c r="G30" s="13" t="s">
        <v>20</v>
      </c>
      <c r="H30" s="25">
        <f>SUM(H24:H29)</f>
        <v>26800</v>
      </c>
      <c r="I30" s="703"/>
      <c r="J30" s="703"/>
      <c r="K30" s="14"/>
      <c r="L30" s="13" t="s">
        <v>21</v>
      </c>
      <c r="M30" s="25">
        <f>SUM(M24:M29)</f>
        <v>16997.298499999997</v>
      </c>
      <c r="N30" s="3"/>
      <c r="O30" s="14"/>
      <c r="P30" s="14"/>
      <c r="Q30" s="13" t="s">
        <v>22</v>
      </c>
      <c r="R30" s="25">
        <f>SUM(R24:R29)</f>
        <v>804</v>
      </c>
    </row>
    <row r="31" spans="1:18">
      <c r="A31" s="2"/>
      <c r="B31" s="16" t="s">
        <v>13</v>
      </c>
      <c r="C31" s="14"/>
      <c r="D31" s="14"/>
      <c r="E31" s="14"/>
      <c r="F31" s="14"/>
      <c r="G31" s="13"/>
      <c r="H31" s="35">
        <f>M30+R30+H30</f>
        <v>44601.298499999997</v>
      </c>
      <c r="I31" s="17"/>
      <c r="J31" s="14"/>
      <c r="K31" s="14"/>
      <c r="L31" s="13"/>
      <c r="M31" s="15"/>
      <c r="N31" s="14"/>
      <c r="O31" s="14"/>
      <c r="P31" s="14"/>
      <c r="Q31" s="14"/>
      <c r="R31" s="17"/>
    </row>
    <row r="32" spans="1:18">
      <c r="A32" s="2"/>
      <c r="B32" s="11" t="s">
        <v>25</v>
      </c>
      <c r="C32" s="4"/>
      <c r="D32" s="4"/>
      <c r="E32" s="4"/>
      <c r="F32" s="4"/>
      <c r="G32" s="18"/>
      <c r="H32" s="36">
        <v>0</v>
      </c>
      <c r="I32" s="20"/>
      <c r="J32" s="4" t="s">
        <v>26</v>
      </c>
      <c r="K32" s="4"/>
      <c r="L32" s="18"/>
      <c r="M32" s="19"/>
      <c r="N32" s="4"/>
      <c r="O32" s="4"/>
      <c r="P32" s="4"/>
      <c r="Q32" s="4"/>
      <c r="R32" s="20"/>
    </row>
    <row r="33" spans="1:18">
      <c r="A33" s="23"/>
      <c r="B33" s="11" t="s">
        <v>14</v>
      </c>
      <c r="C33" s="4"/>
      <c r="D33" s="4"/>
      <c r="E33" s="4"/>
      <c r="F33" s="4"/>
      <c r="G33" s="18"/>
      <c r="H33" s="36">
        <f>SUM(H31:H32)</f>
        <v>44601.298499999997</v>
      </c>
      <c r="I33" s="20"/>
      <c r="J33" s="741"/>
      <c r="K33" s="742"/>
      <c r="L33" s="742"/>
      <c r="M33" s="742"/>
      <c r="N33" s="742"/>
      <c r="O33" s="742"/>
      <c r="P33" s="742"/>
      <c r="Q33" s="742"/>
      <c r="R33" s="743"/>
    </row>
    <row r="34" spans="1:18">
      <c r="A34" s="23"/>
      <c r="B34" s="11" t="s">
        <v>24</v>
      </c>
      <c r="C34" s="4"/>
      <c r="D34" s="4"/>
      <c r="E34" s="4"/>
      <c r="F34" s="4"/>
      <c r="G34" s="18"/>
      <c r="H34" s="36">
        <f>H33*15%</f>
        <v>6690.194774999999</v>
      </c>
      <c r="I34" s="20"/>
      <c r="J34" s="744"/>
      <c r="K34" s="745"/>
      <c r="L34" s="745"/>
      <c r="M34" s="745"/>
      <c r="N34" s="745"/>
      <c r="O34" s="745"/>
      <c r="P34" s="745"/>
      <c r="Q34" s="745"/>
      <c r="R34" s="746"/>
    </row>
    <row r="35" spans="1:18">
      <c r="A35" s="23"/>
      <c r="B35" s="11" t="s">
        <v>15</v>
      </c>
      <c r="C35" s="4"/>
      <c r="D35" s="4"/>
      <c r="E35" s="4"/>
      <c r="F35" s="4"/>
      <c r="G35" s="21" t="s">
        <v>16</v>
      </c>
      <c r="H35" s="37">
        <f>H34+H33</f>
        <v>51291.493274999993</v>
      </c>
      <c r="I35" s="38" t="str">
        <f>CONCATENATE("per ",C24, C25)</f>
        <v>per 100sqm</v>
      </c>
      <c r="J35" s="744"/>
      <c r="K35" s="745"/>
      <c r="L35" s="745"/>
      <c r="M35" s="745"/>
      <c r="N35" s="745"/>
      <c r="O35" s="745"/>
      <c r="P35" s="745"/>
      <c r="Q35" s="745"/>
      <c r="R35" s="746"/>
    </row>
    <row r="36" spans="1:18">
      <c r="A36" s="23"/>
      <c r="B36" s="11"/>
      <c r="C36" s="4"/>
      <c r="D36" s="4"/>
      <c r="E36" s="4"/>
      <c r="F36" s="4"/>
      <c r="G36" s="21" t="s">
        <v>16</v>
      </c>
      <c r="H36" s="37">
        <f>H35/C24</f>
        <v>512.91493274999993</v>
      </c>
      <c r="I36" s="38" t="str">
        <f>CONCATENATE("per ",C25)</f>
        <v>per sqm</v>
      </c>
      <c r="J36" s="744"/>
      <c r="K36" s="745"/>
      <c r="L36" s="745"/>
      <c r="M36" s="745"/>
      <c r="N36" s="745"/>
      <c r="O36" s="745"/>
      <c r="P36" s="745"/>
      <c r="Q36" s="745"/>
      <c r="R36" s="746"/>
    </row>
    <row r="37" spans="1:18">
      <c r="A37" s="23"/>
      <c r="B37" s="11" t="s">
        <v>18</v>
      </c>
      <c r="C37" s="4" t="s">
        <v>19</v>
      </c>
      <c r="D37" s="4"/>
      <c r="E37" s="4"/>
      <c r="F37" s="4"/>
      <c r="G37" s="21" t="s">
        <v>16</v>
      </c>
      <c r="H37" s="37">
        <f>CEILING(H36,0.5)</f>
        <v>513</v>
      </c>
      <c r="I37" s="38" t="str">
        <f>CONCATENATE("per ",C25)</f>
        <v>per sqm</v>
      </c>
      <c r="J37" s="744"/>
      <c r="K37" s="745"/>
      <c r="L37" s="745"/>
      <c r="M37" s="745"/>
      <c r="N37" s="745"/>
      <c r="O37" s="745"/>
      <c r="P37" s="745"/>
      <c r="Q37" s="745"/>
      <c r="R37" s="746"/>
    </row>
    <row r="38" spans="1:18">
      <c r="A38" s="23"/>
      <c r="B38" s="11"/>
      <c r="C38" s="4"/>
      <c r="D38" s="4"/>
      <c r="E38" s="4"/>
      <c r="F38" s="4"/>
      <c r="G38" s="24" t="s">
        <v>17</v>
      </c>
      <c r="H38" s="37">
        <f>H37/exr</f>
        <v>3.9461538461538463</v>
      </c>
      <c r="I38" s="38" t="str">
        <f>CONCATENATE("per ",C25)</f>
        <v>per sqm</v>
      </c>
      <c r="J38" s="747"/>
      <c r="K38" s="748"/>
      <c r="L38" s="748"/>
      <c r="M38" s="748"/>
      <c r="N38" s="748"/>
      <c r="O38" s="748"/>
      <c r="P38" s="748"/>
      <c r="Q38" s="748"/>
      <c r="R38" s="749"/>
    </row>
    <row r="39" spans="1:18">
      <c r="A39" s="39"/>
      <c r="B39" s="40"/>
      <c r="C39" s="41"/>
      <c r="D39" s="41"/>
      <c r="E39" s="41"/>
      <c r="F39" s="41"/>
      <c r="G39" s="149" t="s">
        <v>460</v>
      </c>
      <c r="H39" s="150">
        <f>CEILING(SUM(M25)/H31,0.0025)</f>
        <v>0.35249999999999998</v>
      </c>
      <c r="I39" s="42"/>
      <c r="J39" s="43"/>
      <c r="K39" s="43"/>
      <c r="L39" s="43"/>
      <c r="M39" s="43"/>
      <c r="N39" s="43"/>
      <c r="O39" s="43"/>
      <c r="P39" s="43"/>
      <c r="Q39" s="43"/>
      <c r="R39" s="44"/>
    </row>
    <row r="41" spans="1:18">
      <c r="A41" s="693" t="s">
        <v>0</v>
      </c>
      <c r="B41" s="695" t="s">
        <v>1</v>
      </c>
      <c r="C41" s="695" t="s">
        <v>2</v>
      </c>
      <c r="D41" s="697" t="s">
        <v>3</v>
      </c>
      <c r="E41" s="698"/>
      <c r="F41" s="698"/>
      <c r="G41" s="698"/>
      <c r="H41" s="698"/>
      <c r="I41" s="699" t="s">
        <v>4</v>
      </c>
      <c r="J41" s="700"/>
      <c r="K41" s="700"/>
      <c r="L41" s="700"/>
      <c r="M41" s="700"/>
      <c r="N41" s="698" t="s">
        <v>5</v>
      </c>
      <c r="O41" s="698"/>
      <c r="P41" s="698"/>
      <c r="Q41" s="698"/>
      <c r="R41" s="698"/>
    </row>
    <row r="42" spans="1:18">
      <c r="A42" s="694"/>
      <c r="B42" s="696"/>
      <c r="C42" s="696"/>
      <c r="D42" s="45" t="s">
        <v>6</v>
      </c>
      <c r="E42" s="46" t="s">
        <v>2</v>
      </c>
      <c r="F42" s="46" t="s">
        <v>7</v>
      </c>
      <c r="G42" s="46" t="s">
        <v>8</v>
      </c>
      <c r="H42" s="46" t="s">
        <v>9</v>
      </c>
      <c r="I42" s="46" t="s">
        <v>10</v>
      </c>
      <c r="J42" s="46" t="s">
        <v>2</v>
      </c>
      <c r="K42" s="46" t="s">
        <v>7</v>
      </c>
      <c r="L42" s="46" t="s">
        <v>8</v>
      </c>
      <c r="M42" s="47" t="s">
        <v>9</v>
      </c>
      <c r="N42" s="46" t="s">
        <v>10</v>
      </c>
      <c r="O42" s="46" t="s">
        <v>2</v>
      </c>
      <c r="P42" s="46" t="s">
        <v>7</v>
      </c>
      <c r="Q42" s="46" t="s">
        <v>8</v>
      </c>
      <c r="R42" s="46" t="s">
        <v>9</v>
      </c>
    </row>
    <row r="43" spans="1:18">
      <c r="A43" s="33" t="s">
        <v>23</v>
      </c>
      <c r="B43" s="73" t="s">
        <v>298</v>
      </c>
      <c r="C43" s="31"/>
      <c r="D43" s="31"/>
      <c r="E43" s="31"/>
      <c r="F43" s="31"/>
      <c r="G43" s="31"/>
      <c r="H43" s="31"/>
      <c r="I43" s="31"/>
      <c r="J43" s="31"/>
      <c r="K43" s="31"/>
      <c r="L43" s="31"/>
      <c r="M43" s="31"/>
      <c r="N43" s="31"/>
      <c r="O43" s="31"/>
      <c r="P43" s="31"/>
      <c r="Q43" s="31"/>
      <c r="R43" s="32"/>
    </row>
    <row r="44" spans="1:18">
      <c r="A44" s="34">
        <f>A24+1</f>
        <v>3</v>
      </c>
      <c r="B44" s="713" t="s">
        <v>303</v>
      </c>
      <c r="C44" s="66">
        <v>100</v>
      </c>
      <c r="D44" s="4"/>
      <c r="E44" s="6"/>
      <c r="F44" s="29"/>
      <c r="G44" s="26"/>
      <c r="H44" s="26"/>
      <c r="I44" s="6"/>
      <c r="J44" s="6"/>
      <c r="K44" s="29"/>
      <c r="L44" s="26"/>
      <c r="M44" s="26"/>
      <c r="N44" s="6"/>
      <c r="O44" s="6"/>
      <c r="P44" s="29"/>
      <c r="Q44" s="26"/>
      <c r="R44" s="26"/>
    </row>
    <row r="45" spans="1:18">
      <c r="A45" s="2"/>
      <c r="B45" s="714"/>
      <c r="C45" s="124" t="s">
        <v>127</v>
      </c>
      <c r="D45" s="4" t="s">
        <v>96</v>
      </c>
      <c r="E45" s="6" t="s">
        <v>81</v>
      </c>
      <c r="F45" s="29">
        <v>12</v>
      </c>
      <c r="G45" s="26">
        <f>sr</f>
        <v>1100</v>
      </c>
      <c r="H45" s="26">
        <f>F45*G45</f>
        <v>13200</v>
      </c>
      <c r="I45" s="7" t="s">
        <v>300</v>
      </c>
      <c r="J45" s="8" t="s">
        <v>32</v>
      </c>
      <c r="K45" s="29">
        <v>0.55000000000000004</v>
      </c>
      <c r="L45" s="28">
        <f>cement</f>
        <v>24049.69</v>
      </c>
      <c r="M45" s="26">
        <f>K45*L45</f>
        <v>13227.3295</v>
      </c>
      <c r="N45" s="8" t="s">
        <v>294</v>
      </c>
      <c r="O45" s="6"/>
      <c r="P45" s="29"/>
      <c r="Q45" s="28"/>
      <c r="R45" s="26">
        <f>3%*H50</f>
        <v>804</v>
      </c>
    </row>
    <row r="46" spans="1:18">
      <c r="A46" s="2"/>
      <c r="B46" s="714"/>
      <c r="C46" s="6"/>
      <c r="D46" s="4" t="s">
        <v>97</v>
      </c>
      <c r="E46" s="6" t="s">
        <v>81</v>
      </c>
      <c r="F46" s="29">
        <v>16</v>
      </c>
      <c r="G46" s="26">
        <f>ur</f>
        <v>850</v>
      </c>
      <c r="H46" s="26">
        <f>F46*G46</f>
        <v>13600</v>
      </c>
      <c r="I46" s="7" t="s">
        <v>301</v>
      </c>
      <c r="J46" s="8" t="s">
        <v>11</v>
      </c>
      <c r="K46" s="29">
        <v>1.45</v>
      </c>
      <c r="L46" s="28">
        <f>sand</f>
        <v>1050</v>
      </c>
      <c r="M46" s="26">
        <f>K46*L46</f>
        <v>1522.5</v>
      </c>
      <c r="N46" s="8"/>
      <c r="O46" s="6"/>
      <c r="P46" s="29"/>
      <c r="Q46" s="28"/>
      <c r="R46" s="26"/>
    </row>
    <row r="47" spans="1:18">
      <c r="A47" s="2"/>
      <c r="B47" s="714"/>
      <c r="C47" s="6"/>
      <c r="D47" s="4"/>
      <c r="E47" s="6"/>
      <c r="F47" s="29"/>
      <c r="G47" s="26"/>
      <c r="H47" s="26"/>
      <c r="I47" s="7" t="s">
        <v>255</v>
      </c>
      <c r="J47" s="8" t="s">
        <v>250</v>
      </c>
      <c r="K47" s="29">
        <v>170</v>
      </c>
      <c r="L47" s="28"/>
      <c r="M47" s="26">
        <f>K47*L47</f>
        <v>0</v>
      </c>
      <c r="N47" s="8"/>
      <c r="O47" s="6"/>
      <c r="P47" s="29"/>
      <c r="Q47" s="28"/>
      <c r="R47" s="26"/>
    </row>
    <row r="48" spans="1:18">
      <c r="A48" s="2"/>
      <c r="B48" s="714"/>
      <c r="C48" s="6"/>
      <c r="D48" s="4"/>
      <c r="E48" s="6"/>
      <c r="F48" s="29"/>
      <c r="G48" s="26"/>
      <c r="H48" s="26"/>
      <c r="I48" s="7"/>
      <c r="J48" s="8"/>
      <c r="K48" s="29"/>
      <c r="L48" s="28"/>
      <c r="M48" s="28"/>
      <c r="N48" s="8"/>
      <c r="O48" s="6"/>
      <c r="P48" s="29"/>
      <c r="Q48" s="28"/>
      <c r="R48" s="28"/>
    </row>
    <row r="49" spans="1:18">
      <c r="A49" s="2"/>
      <c r="B49" s="5"/>
      <c r="C49" s="6"/>
      <c r="D49" s="4"/>
      <c r="E49" s="9"/>
      <c r="F49" s="30"/>
      <c r="G49" s="27"/>
      <c r="H49" s="27"/>
      <c r="I49" s="9"/>
      <c r="J49" s="10"/>
      <c r="K49" s="30"/>
      <c r="L49" s="28"/>
      <c r="M49" s="28"/>
      <c r="N49" s="8"/>
      <c r="O49" s="6"/>
      <c r="P49" s="30"/>
      <c r="Q49" s="28"/>
      <c r="R49" s="28"/>
    </row>
    <row r="50" spans="1:18">
      <c r="A50" s="2"/>
      <c r="B50" s="11"/>
      <c r="C50" s="6"/>
      <c r="D50" s="12"/>
      <c r="E50" s="59"/>
      <c r="F50" s="13"/>
      <c r="G50" s="13" t="s">
        <v>20</v>
      </c>
      <c r="H50" s="25">
        <f>SUM(H44:H49)</f>
        <v>26800</v>
      </c>
      <c r="I50" s="703"/>
      <c r="J50" s="703"/>
      <c r="K50" s="14"/>
      <c r="L50" s="13" t="s">
        <v>21</v>
      </c>
      <c r="M50" s="25">
        <f>SUM(M44:M49)</f>
        <v>14749.8295</v>
      </c>
      <c r="N50" s="3"/>
      <c r="O50" s="14"/>
      <c r="P50" s="14"/>
      <c r="Q50" s="13" t="s">
        <v>22</v>
      </c>
      <c r="R50" s="25">
        <f>SUM(R44:R49)</f>
        <v>804</v>
      </c>
    </row>
    <row r="51" spans="1:18">
      <c r="A51" s="2"/>
      <c r="B51" s="16" t="s">
        <v>13</v>
      </c>
      <c r="C51" s="14"/>
      <c r="D51" s="14"/>
      <c r="E51" s="14"/>
      <c r="F51" s="14"/>
      <c r="G51" s="13"/>
      <c r="H51" s="35">
        <f>M50+R50+H50</f>
        <v>42353.8295</v>
      </c>
      <c r="I51" s="17"/>
      <c r="J51" s="14"/>
      <c r="K51" s="14"/>
      <c r="L51" s="13"/>
      <c r="M51" s="15"/>
      <c r="N51" s="14"/>
      <c r="O51" s="14"/>
      <c r="P51" s="14"/>
      <c r="Q51" s="14"/>
      <c r="R51" s="17"/>
    </row>
    <row r="52" spans="1:18">
      <c r="A52" s="2"/>
      <c r="B52" s="11" t="s">
        <v>25</v>
      </c>
      <c r="C52" s="4"/>
      <c r="D52" s="4"/>
      <c r="E52" s="4"/>
      <c r="F52" s="4"/>
      <c r="G52" s="18"/>
      <c r="H52" s="36">
        <v>0</v>
      </c>
      <c r="I52" s="20"/>
      <c r="J52" s="4" t="s">
        <v>26</v>
      </c>
      <c r="K52" s="4"/>
      <c r="L52" s="18"/>
      <c r="M52" s="19"/>
      <c r="N52" s="4"/>
      <c r="O52" s="4"/>
      <c r="P52" s="4"/>
      <c r="Q52" s="4"/>
      <c r="R52" s="20"/>
    </row>
    <row r="53" spans="1:18">
      <c r="A53" s="23"/>
      <c r="B53" s="11" t="s">
        <v>14</v>
      </c>
      <c r="C53" s="4"/>
      <c r="D53" s="4"/>
      <c r="E53" s="4"/>
      <c r="F53" s="4"/>
      <c r="G53" s="18"/>
      <c r="H53" s="36">
        <f>SUM(H51:H52)</f>
        <v>42353.8295</v>
      </c>
      <c r="I53" s="20"/>
      <c r="J53" s="741"/>
      <c r="K53" s="742"/>
      <c r="L53" s="742"/>
      <c r="M53" s="742"/>
      <c r="N53" s="742"/>
      <c r="O53" s="742"/>
      <c r="P53" s="742"/>
      <c r="Q53" s="742"/>
      <c r="R53" s="743"/>
    </row>
    <row r="54" spans="1:18">
      <c r="A54" s="23"/>
      <c r="B54" s="11" t="s">
        <v>24</v>
      </c>
      <c r="C54" s="4"/>
      <c r="D54" s="4"/>
      <c r="E54" s="4"/>
      <c r="F54" s="4"/>
      <c r="G54" s="18"/>
      <c r="H54" s="36">
        <f>H53*15%</f>
        <v>6353.0744249999998</v>
      </c>
      <c r="I54" s="20"/>
      <c r="J54" s="744"/>
      <c r="K54" s="745"/>
      <c r="L54" s="745"/>
      <c r="M54" s="745"/>
      <c r="N54" s="745"/>
      <c r="O54" s="745"/>
      <c r="P54" s="745"/>
      <c r="Q54" s="745"/>
      <c r="R54" s="746"/>
    </row>
    <row r="55" spans="1:18">
      <c r="A55" s="23"/>
      <c r="B55" s="11" t="s">
        <v>15</v>
      </c>
      <c r="C55" s="4"/>
      <c r="D55" s="4"/>
      <c r="E55" s="4"/>
      <c r="F55" s="4"/>
      <c r="G55" s="21" t="s">
        <v>16</v>
      </c>
      <c r="H55" s="37">
        <f>H54+H53</f>
        <v>48706.903924999999</v>
      </c>
      <c r="I55" s="38" t="str">
        <f>CONCATENATE("per ",C44, C45)</f>
        <v>per 100sqm</v>
      </c>
      <c r="J55" s="744"/>
      <c r="K55" s="745"/>
      <c r="L55" s="745"/>
      <c r="M55" s="745"/>
      <c r="N55" s="745"/>
      <c r="O55" s="745"/>
      <c r="P55" s="745"/>
      <c r="Q55" s="745"/>
      <c r="R55" s="746"/>
    </row>
    <row r="56" spans="1:18">
      <c r="A56" s="23"/>
      <c r="B56" s="11"/>
      <c r="C56" s="4"/>
      <c r="D56" s="4"/>
      <c r="E56" s="4"/>
      <c r="F56" s="4"/>
      <c r="G56" s="21" t="s">
        <v>16</v>
      </c>
      <c r="H56" s="37">
        <f>H55/C44</f>
        <v>487.06903925</v>
      </c>
      <c r="I56" s="38" t="str">
        <f>CONCATENATE("per ",C45)</f>
        <v>per sqm</v>
      </c>
      <c r="J56" s="744"/>
      <c r="K56" s="745"/>
      <c r="L56" s="745"/>
      <c r="M56" s="745"/>
      <c r="N56" s="745"/>
      <c r="O56" s="745"/>
      <c r="P56" s="745"/>
      <c r="Q56" s="745"/>
      <c r="R56" s="746"/>
    </row>
    <row r="57" spans="1:18">
      <c r="A57" s="23"/>
      <c r="B57" s="11" t="s">
        <v>18</v>
      </c>
      <c r="C57" s="4" t="s">
        <v>19</v>
      </c>
      <c r="D57" s="4"/>
      <c r="E57" s="4"/>
      <c r="F57" s="4"/>
      <c r="G57" s="21" t="s">
        <v>16</v>
      </c>
      <c r="H57" s="37">
        <f>CEILING(H56,0.5)</f>
        <v>487.5</v>
      </c>
      <c r="I57" s="38" t="str">
        <f>CONCATENATE("per ",C45)</f>
        <v>per sqm</v>
      </c>
      <c r="J57" s="744"/>
      <c r="K57" s="745"/>
      <c r="L57" s="745"/>
      <c r="M57" s="745"/>
      <c r="N57" s="745"/>
      <c r="O57" s="745"/>
      <c r="P57" s="745"/>
      <c r="Q57" s="745"/>
      <c r="R57" s="746"/>
    </row>
    <row r="58" spans="1:18">
      <c r="A58" s="23"/>
      <c r="B58" s="11"/>
      <c r="C58" s="4"/>
      <c r="D58" s="4"/>
      <c r="E58" s="4"/>
      <c r="F58" s="4"/>
      <c r="G58" s="24" t="s">
        <v>17</v>
      </c>
      <c r="H58" s="37"/>
      <c r="I58" s="38" t="str">
        <f>CONCATENATE("per ",C45)</f>
        <v>per sqm</v>
      </c>
      <c r="J58" s="747"/>
      <c r="K58" s="748"/>
      <c r="L58" s="748"/>
      <c r="M58" s="748"/>
      <c r="N58" s="748"/>
      <c r="O58" s="748"/>
      <c r="P58" s="748"/>
      <c r="Q58" s="748"/>
      <c r="R58" s="749"/>
    </row>
    <row r="59" spans="1:18">
      <c r="A59" s="39"/>
      <c r="B59" s="40"/>
      <c r="C59" s="41"/>
      <c r="D59" s="41"/>
      <c r="E59" s="41"/>
      <c r="F59" s="41"/>
      <c r="G59" s="149" t="s">
        <v>460</v>
      </c>
      <c r="H59" s="150">
        <f>CEILING(SUM(M45)/H51,0.0025)</f>
        <v>0.3125</v>
      </c>
      <c r="I59" s="42"/>
      <c r="J59" s="43"/>
      <c r="K59" s="43"/>
      <c r="L59" s="43"/>
      <c r="M59" s="43"/>
      <c r="N59" s="43"/>
      <c r="O59" s="43"/>
      <c r="P59" s="43"/>
      <c r="Q59" s="43"/>
      <c r="R59" s="44"/>
    </row>
    <row r="61" spans="1:18">
      <c r="A61" s="693" t="s">
        <v>0</v>
      </c>
      <c r="B61" s="695" t="s">
        <v>1</v>
      </c>
      <c r="C61" s="695" t="s">
        <v>2</v>
      </c>
      <c r="D61" s="697" t="s">
        <v>3</v>
      </c>
      <c r="E61" s="698"/>
      <c r="F61" s="698"/>
      <c r="G61" s="698"/>
      <c r="H61" s="698"/>
      <c r="I61" s="699" t="s">
        <v>4</v>
      </c>
      <c r="J61" s="700"/>
      <c r="K61" s="700"/>
      <c r="L61" s="700"/>
      <c r="M61" s="700"/>
      <c r="N61" s="698" t="s">
        <v>5</v>
      </c>
      <c r="O61" s="698"/>
      <c r="P61" s="698"/>
      <c r="Q61" s="698"/>
      <c r="R61" s="698"/>
    </row>
    <row r="62" spans="1:18">
      <c r="A62" s="694"/>
      <c r="B62" s="696"/>
      <c r="C62" s="696"/>
      <c r="D62" s="45" t="s">
        <v>6</v>
      </c>
      <c r="E62" s="46" t="s">
        <v>2</v>
      </c>
      <c r="F62" s="46" t="s">
        <v>7</v>
      </c>
      <c r="G62" s="46" t="s">
        <v>8</v>
      </c>
      <c r="H62" s="46" t="s">
        <v>9</v>
      </c>
      <c r="I62" s="46" t="s">
        <v>10</v>
      </c>
      <c r="J62" s="46" t="s">
        <v>2</v>
      </c>
      <c r="K62" s="46" t="s">
        <v>7</v>
      </c>
      <c r="L62" s="46" t="s">
        <v>8</v>
      </c>
      <c r="M62" s="47" t="s">
        <v>9</v>
      </c>
      <c r="N62" s="46" t="s">
        <v>10</v>
      </c>
      <c r="O62" s="46" t="s">
        <v>2</v>
      </c>
      <c r="P62" s="46" t="s">
        <v>7</v>
      </c>
      <c r="Q62" s="46" t="s">
        <v>8</v>
      </c>
      <c r="R62" s="46" t="s">
        <v>9</v>
      </c>
    </row>
    <row r="63" spans="1:18">
      <c r="A63" s="33" t="s">
        <v>23</v>
      </c>
      <c r="B63" s="73" t="s">
        <v>298</v>
      </c>
      <c r="C63" s="31"/>
      <c r="D63" s="31"/>
      <c r="E63" s="31"/>
      <c r="F63" s="31"/>
      <c r="G63" s="31"/>
      <c r="H63" s="31"/>
      <c r="I63" s="31"/>
      <c r="J63" s="31"/>
      <c r="K63" s="31"/>
      <c r="L63" s="31"/>
      <c r="M63" s="31"/>
      <c r="N63" s="31"/>
      <c r="O63" s="31"/>
      <c r="P63" s="31"/>
      <c r="Q63" s="31"/>
      <c r="R63" s="32"/>
    </row>
    <row r="64" spans="1:18">
      <c r="A64" s="34">
        <f>A44+1</f>
        <v>4</v>
      </c>
      <c r="B64" s="713" t="s">
        <v>304</v>
      </c>
      <c r="C64" s="66">
        <v>100</v>
      </c>
      <c r="D64" s="4"/>
      <c r="E64" s="6"/>
      <c r="F64" s="29"/>
      <c r="G64" s="26"/>
      <c r="H64" s="26"/>
      <c r="I64" s="6"/>
      <c r="J64" s="6"/>
      <c r="K64" s="29"/>
      <c r="L64" s="26"/>
      <c r="M64" s="26"/>
      <c r="N64" s="6"/>
      <c r="O64" s="6"/>
      <c r="P64" s="29"/>
      <c r="Q64" s="26"/>
      <c r="R64" s="26"/>
    </row>
    <row r="65" spans="1:18">
      <c r="A65" s="2"/>
      <c r="B65" s="714"/>
      <c r="C65" s="124" t="s">
        <v>127</v>
      </c>
      <c r="D65" s="4" t="s">
        <v>96</v>
      </c>
      <c r="E65" s="6" t="s">
        <v>81</v>
      </c>
      <c r="F65" s="29">
        <v>12</v>
      </c>
      <c r="G65" s="26">
        <f>sr</f>
        <v>1100</v>
      </c>
      <c r="H65" s="26">
        <f>F65*G65</f>
        <v>13200</v>
      </c>
      <c r="I65" s="7" t="s">
        <v>300</v>
      </c>
      <c r="J65" s="8" t="s">
        <v>32</v>
      </c>
      <c r="K65" s="29">
        <v>0.38</v>
      </c>
      <c r="L65" s="28">
        <f>cement</f>
        <v>24049.69</v>
      </c>
      <c r="M65" s="26">
        <f>K65*L65</f>
        <v>9138.8822</v>
      </c>
      <c r="N65" s="8" t="s">
        <v>294</v>
      </c>
      <c r="O65" s="6"/>
      <c r="P65" s="29"/>
      <c r="Q65" s="28"/>
      <c r="R65" s="26">
        <f>3%*H70</f>
        <v>804</v>
      </c>
    </row>
    <row r="66" spans="1:18">
      <c r="A66" s="2"/>
      <c r="B66" s="714"/>
      <c r="C66" s="6"/>
      <c r="D66" s="4" t="s">
        <v>97</v>
      </c>
      <c r="E66" s="6" t="s">
        <v>81</v>
      </c>
      <c r="F66" s="29">
        <v>16</v>
      </c>
      <c r="G66" s="26">
        <f>ur</f>
        <v>850</v>
      </c>
      <c r="H66" s="26">
        <f>F66*G66</f>
        <v>13600</v>
      </c>
      <c r="I66" s="7" t="s">
        <v>301</v>
      </c>
      <c r="J66" s="8" t="s">
        <v>11</v>
      </c>
      <c r="K66" s="29">
        <v>1.56</v>
      </c>
      <c r="L66" s="28">
        <f>sand</f>
        <v>1050</v>
      </c>
      <c r="M66" s="26">
        <f>K66*L66</f>
        <v>1638</v>
      </c>
      <c r="N66" s="8"/>
      <c r="O66" s="6"/>
      <c r="P66" s="29"/>
      <c r="Q66" s="28"/>
      <c r="R66" s="26"/>
    </row>
    <row r="67" spans="1:18">
      <c r="A67" s="2"/>
      <c r="B67" s="714"/>
      <c r="C67" s="6"/>
      <c r="D67" s="4"/>
      <c r="E67" s="6"/>
      <c r="F67" s="29"/>
      <c r="G67" s="26"/>
      <c r="H67" s="26"/>
      <c r="I67" s="7" t="s">
        <v>255</v>
      </c>
      <c r="J67" s="8" t="s">
        <v>250</v>
      </c>
      <c r="K67" s="29">
        <v>130</v>
      </c>
      <c r="L67" s="28"/>
      <c r="M67" s="26">
        <f>K67*L67</f>
        <v>0</v>
      </c>
      <c r="N67" s="8"/>
      <c r="O67" s="6"/>
      <c r="P67" s="29"/>
      <c r="Q67" s="28"/>
      <c r="R67" s="26"/>
    </row>
    <row r="68" spans="1:18">
      <c r="A68" s="2"/>
      <c r="B68" s="714"/>
      <c r="C68" s="6"/>
      <c r="D68" s="4"/>
      <c r="E68" s="6"/>
      <c r="F68" s="29"/>
      <c r="G68" s="26"/>
      <c r="H68" s="26"/>
      <c r="I68" s="7"/>
      <c r="J68" s="8"/>
      <c r="K68" s="29"/>
      <c r="L68" s="28"/>
      <c r="M68" s="28"/>
      <c r="N68" s="8"/>
      <c r="O68" s="6"/>
      <c r="P68" s="29"/>
      <c r="Q68" s="28"/>
      <c r="R68" s="28"/>
    </row>
    <row r="69" spans="1:18">
      <c r="A69" s="2"/>
      <c r="B69" s="5"/>
      <c r="C69" s="6"/>
      <c r="D69" s="4"/>
      <c r="E69" s="9"/>
      <c r="F69" s="30"/>
      <c r="G69" s="27"/>
      <c r="H69" s="27"/>
      <c r="I69" s="9"/>
      <c r="J69" s="10"/>
      <c r="K69" s="30"/>
      <c r="L69" s="28"/>
      <c r="M69" s="28"/>
      <c r="N69" s="8"/>
      <c r="O69" s="6"/>
      <c r="P69" s="30"/>
      <c r="Q69" s="28"/>
      <c r="R69" s="28"/>
    </row>
    <row r="70" spans="1:18">
      <c r="A70" s="2"/>
      <c r="B70" s="11"/>
      <c r="C70" s="6"/>
      <c r="D70" s="12"/>
      <c r="E70" s="59"/>
      <c r="F70" s="13"/>
      <c r="G70" s="13" t="s">
        <v>20</v>
      </c>
      <c r="H70" s="25">
        <f>SUM(H64:H69)</f>
        <v>26800</v>
      </c>
      <c r="I70" s="703"/>
      <c r="J70" s="703"/>
      <c r="K70" s="14"/>
      <c r="L70" s="13" t="s">
        <v>21</v>
      </c>
      <c r="M70" s="25">
        <f>SUM(M64:M69)</f>
        <v>10776.8822</v>
      </c>
      <c r="N70" s="3"/>
      <c r="O70" s="14"/>
      <c r="P70" s="14"/>
      <c r="Q70" s="13" t="s">
        <v>22</v>
      </c>
      <c r="R70" s="25">
        <f>SUM(R64:R69)</f>
        <v>804</v>
      </c>
    </row>
    <row r="71" spans="1:18">
      <c r="A71" s="2"/>
      <c r="B71" s="16" t="s">
        <v>13</v>
      </c>
      <c r="C71" s="14"/>
      <c r="D71" s="14"/>
      <c r="E71" s="14"/>
      <c r="F71" s="14"/>
      <c r="G71" s="13"/>
      <c r="H71" s="35">
        <f>M70+R70+H70</f>
        <v>38380.8822</v>
      </c>
      <c r="I71" s="17"/>
      <c r="J71" s="14"/>
      <c r="K71" s="14"/>
      <c r="L71" s="13"/>
      <c r="M71" s="15"/>
      <c r="N71" s="14"/>
      <c r="O71" s="14"/>
      <c r="P71" s="14"/>
      <c r="Q71" s="14"/>
      <c r="R71" s="17"/>
    </row>
    <row r="72" spans="1:18">
      <c r="A72" s="2"/>
      <c r="B72" s="11" t="s">
        <v>25</v>
      </c>
      <c r="C72" s="4"/>
      <c r="D72" s="4"/>
      <c r="E72" s="4"/>
      <c r="F72" s="4"/>
      <c r="G72" s="18"/>
      <c r="H72" s="36">
        <v>0</v>
      </c>
      <c r="I72" s="20"/>
      <c r="J72" s="4" t="s">
        <v>26</v>
      </c>
      <c r="K72" s="4"/>
      <c r="L72" s="18"/>
      <c r="M72" s="19"/>
      <c r="N72" s="4"/>
      <c r="O72" s="4"/>
      <c r="P72" s="4"/>
      <c r="Q72" s="4"/>
      <c r="R72" s="20"/>
    </row>
    <row r="73" spans="1:18">
      <c r="A73" s="23"/>
      <c r="B73" s="11" t="s">
        <v>14</v>
      </c>
      <c r="C73" s="4"/>
      <c r="D73" s="4"/>
      <c r="E73" s="4"/>
      <c r="F73" s="4"/>
      <c r="G73" s="18"/>
      <c r="H73" s="36">
        <f>SUM(H71:H72)</f>
        <v>38380.8822</v>
      </c>
      <c r="I73" s="20"/>
      <c r="J73" s="741"/>
      <c r="K73" s="742"/>
      <c r="L73" s="742"/>
      <c r="M73" s="742"/>
      <c r="N73" s="742"/>
      <c r="O73" s="742"/>
      <c r="P73" s="742"/>
      <c r="Q73" s="742"/>
      <c r="R73" s="743"/>
    </row>
    <row r="74" spans="1:18">
      <c r="A74" s="23"/>
      <c r="B74" s="11" t="s">
        <v>24</v>
      </c>
      <c r="C74" s="4"/>
      <c r="D74" s="4"/>
      <c r="E74" s="4"/>
      <c r="F74" s="4"/>
      <c r="G74" s="18"/>
      <c r="H74" s="36">
        <f>H73*15%</f>
        <v>5757.1323299999995</v>
      </c>
      <c r="I74" s="20"/>
      <c r="J74" s="744"/>
      <c r="K74" s="745"/>
      <c r="L74" s="745"/>
      <c r="M74" s="745"/>
      <c r="N74" s="745"/>
      <c r="O74" s="745"/>
      <c r="P74" s="745"/>
      <c r="Q74" s="745"/>
      <c r="R74" s="746"/>
    </row>
    <row r="75" spans="1:18">
      <c r="A75" s="23"/>
      <c r="B75" s="11" t="s">
        <v>15</v>
      </c>
      <c r="C75" s="4"/>
      <c r="D75" s="4"/>
      <c r="E75" s="4"/>
      <c r="F75" s="4"/>
      <c r="G75" s="21" t="s">
        <v>16</v>
      </c>
      <c r="H75" s="37">
        <f>H74+H73</f>
        <v>44138.01453</v>
      </c>
      <c r="I75" s="38" t="str">
        <f>CONCATENATE("per ",C64, C65)</f>
        <v>per 100sqm</v>
      </c>
      <c r="J75" s="744"/>
      <c r="K75" s="745"/>
      <c r="L75" s="745"/>
      <c r="M75" s="745"/>
      <c r="N75" s="745"/>
      <c r="O75" s="745"/>
      <c r="P75" s="745"/>
      <c r="Q75" s="745"/>
      <c r="R75" s="746"/>
    </row>
    <row r="76" spans="1:18">
      <c r="A76" s="23"/>
      <c r="B76" s="11"/>
      <c r="C76" s="4"/>
      <c r="D76" s="4"/>
      <c r="E76" s="4"/>
      <c r="F76" s="4"/>
      <c r="G76" s="21" t="s">
        <v>16</v>
      </c>
      <c r="H76" s="37">
        <f>H75/C64</f>
        <v>441.38014529999998</v>
      </c>
      <c r="I76" s="38" t="str">
        <f>CONCATENATE("per ",C65)</f>
        <v>per sqm</v>
      </c>
      <c r="J76" s="744"/>
      <c r="K76" s="745"/>
      <c r="L76" s="745"/>
      <c r="M76" s="745"/>
      <c r="N76" s="745"/>
      <c r="O76" s="745"/>
      <c r="P76" s="745"/>
      <c r="Q76" s="745"/>
      <c r="R76" s="746"/>
    </row>
    <row r="77" spans="1:18">
      <c r="A77" s="23"/>
      <c r="B77" s="11" t="s">
        <v>18</v>
      </c>
      <c r="C77" s="4" t="s">
        <v>19</v>
      </c>
      <c r="D77" s="4"/>
      <c r="E77" s="4"/>
      <c r="F77" s="4"/>
      <c r="G77" s="21" t="s">
        <v>16</v>
      </c>
      <c r="H77" s="37">
        <f>CEILING(H76,0.5)</f>
        <v>441.5</v>
      </c>
      <c r="I77" s="38" t="str">
        <f>CONCATENATE("per ",C65)</f>
        <v>per sqm</v>
      </c>
      <c r="J77" s="744"/>
      <c r="K77" s="745"/>
      <c r="L77" s="745"/>
      <c r="M77" s="745"/>
      <c r="N77" s="745"/>
      <c r="O77" s="745"/>
      <c r="P77" s="745"/>
      <c r="Q77" s="745"/>
      <c r="R77" s="746"/>
    </row>
    <row r="78" spans="1:18">
      <c r="A78" s="23"/>
      <c r="B78" s="11"/>
      <c r="C78" s="4"/>
      <c r="D78" s="4"/>
      <c r="E78" s="4"/>
      <c r="F78" s="4"/>
      <c r="G78" s="24" t="s">
        <v>17</v>
      </c>
      <c r="H78" s="37">
        <f>H77/exr</f>
        <v>3.3961538461538461</v>
      </c>
      <c r="I78" s="38" t="str">
        <f>CONCATENATE("per ",C65)</f>
        <v>per sqm</v>
      </c>
      <c r="J78" s="747"/>
      <c r="K78" s="748"/>
      <c r="L78" s="748"/>
      <c r="M78" s="748"/>
      <c r="N78" s="748"/>
      <c r="O78" s="748"/>
      <c r="P78" s="748"/>
      <c r="Q78" s="748"/>
      <c r="R78" s="749"/>
    </row>
    <row r="79" spans="1:18">
      <c r="A79" s="39"/>
      <c r="B79" s="40"/>
      <c r="C79" s="41"/>
      <c r="D79" s="41"/>
      <c r="E79" s="41"/>
      <c r="F79" s="41"/>
      <c r="G79" s="149" t="s">
        <v>460</v>
      </c>
      <c r="H79" s="150">
        <f>CEILING(SUM(M65)/H71,0.0025)</f>
        <v>0.24</v>
      </c>
      <c r="I79" s="42"/>
      <c r="J79" s="43"/>
      <c r="K79" s="43"/>
      <c r="L79" s="43"/>
      <c r="M79" s="43"/>
      <c r="N79" s="43"/>
      <c r="O79" s="43"/>
      <c r="P79" s="43"/>
      <c r="Q79" s="43"/>
      <c r="R79" s="44"/>
    </row>
    <row r="81" spans="1:18">
      <c r="A81" s="693" t="s">
        <v>0</v>
      </c>
      <c r="B81" s="695" t="s">
        <v>1</v>
      </c>
      <c r="C81" s="695" t="s">
        <v>2</v>
      </c>
      <c r="D81" s="697" t="s">
        <v>3</v>
      </c>
      <c r="E81" s="698"/>
      <c r="F81" s="698"/>
      <c r="G81" s="698"/>
      <c r="H81" s="698"/>
      <c r="I81" s="699" t="s">
        <v>4</v>
      </c>
      <c r="J81" s="700"/>
      <c r="K81" s="700"/>
      <c r="L81" s="700"/>
      <c r="M81" s="700"/>
      <c r="N81" s="698" t="s">
        <v>5</v>
      </c>
      <c r="O81" s="698"/>
      <c r="P81" s="698"/>
      <c r="Q81" s="698"/>
      <c r="R81" s="698"/>
    </row>
    <row r="82" spans="1:18">
      <c r="A82" s="694"/>
      <c r="B82" s="696"/>
      <c r="C82" s="696"/>
      <c r="D82" s="45" t="s">
        <v>6</v>
      </c>
      <c r="E82" s="46" t="s">
        <v>2</v>
      </c>
      <c r="F82" s="46" t="s">
        <v>7</v>
      </c>
      <c r="G82" s="46" t="s">
        <v>8</v>
      </c>
      <c r="H82" s="46" t="s">
        <v>9</v>
      </c>
      <c r="I82" s="46" t="s">
        <v>10</v>
      </c>
      <c r="J82" s="46" t="s">
        <v>2</v>
      </c>
      <c r="K82" s="46" t="s">
        <v>7</v>
      </c>
      <c r="L82" s="46" t="s">
        <v>8</v>
      </c>
      <c r="M82" s="47" t="s">
        <v>9</v>
      </c>
      <c r="N82" s="46" t="s">
        <v>10</v>
      </c>
      <c r="O82" s="46" t="s">
        <v>2</v>
      </c>
      <c r="P82" s="46" t="s">
        <v>7</v>
      </c>
      <c r="Q82" s="46" t="s">
        <v>8</v>
      </c>
      <c r="R82" s="46" t="s">
        <v>9</v>
      </c>
    </row>
    <row r="83" spans="1:18">
      <c r="A83" s="33" t="s">
        <v>23</v>
      </c>
      <c r="B83" s="73" t="s">
        <v>305</v>
      </c>
      <c r="C83" s="31"/>
      <c r="D83" s="31"/>
      <c r="E83" s="31"/>
      <c r="F83" s="31"/>
      <c r="G83" s="31"/>
      <c r="H83" s="31"/>
      <c r="I83" s="31"/>
      <c r="J83" s="31"/>
      <c r="K83" s="31"/>
      <c r="L83" s="31"/>
      <c r="M83" s="31"/>
      <c r="N83" s="31"/>
      <c r="O83" s="31"/>
      <c r="P83" s="31"/>
      <c r="Q83" s="31"/>
      <c r="R83" s="32"/>
    </row>
    <row r="84" spans="1:18">
      <c r="A84" s="34">
        <f>A64+1</f>
        <v>5</v>
      </c>
      <c r="B84" s="713" t="s">
        <v>307</v>
      </c>
      <c r="C84" s="66">
        <v>100</v>
      </c>
      <c r="D84" s="4"/>
      <c r="E84" s="6"/>
      <c r="F84" s="29"/>
      <c r="G84" s="26"/>
      <c r="H84" s="26"/>
      <c r="I84" s="6"/>
      <c r="J84" s="6"/>
      <c r="K84" s="29"/>
      <c r="L84" s="26"/>
      <c r="M84" s="26"/>
      <c r="N84" s="6"/>
      <c r="O84" s="6"/>
      <c r="P84" s="29"/>
      <c r="Q84" s="26"/>
      <c r="R84" s="26"/>
    </row>
    <row r="85" spans="1:18">
      <c r="A85" s="2"/>
      <c r="B85" s="714"/>
      <c r="C85" s="124" t="s">
        <v>127</v>
      </c>
      <c r="D85" s="4" t="s">
        <v>96</v>
      </c>
      <c r="E85" s="6" t="s">
        <v>81</v>
      </c>
      <c r="F85" s="29">
        <v>14</v>
      </c>
      <c r="G85" s="26">
        <f>sr</f>
        <v>1100</v>
      </c>
      <c r="H85" s="26">
        <f>F85*G85</f>
        <v>15400</v>
      </c>
      <c r="I85" s="7" t="s">
        <v>300</v>
      </c>
      <c r="J85" s="8" t="s">
        <v>32</v>
      </c>
      <c r="K85" s="29">
        <v>1.3</v>
      </c>
      <c r="L85" s="28">
        <f>cement</f>
        <v>24049.69</v>
      </c>
      <c r="M85" s="26">
        <f>K85*L85</f>
        <v>31264.596999999998</v>
      </c>
      <c r="N85" s="8" t="s">
        <v>294</v>
      </c>
      <c r="O85" s="6"/>
      <c r="P85" s="29"/>
      <c r="Q85" s="28"/>
      <c r="R85" s="26">
        <f>3%*H90</f>
        <v>946.5</v>
      </c>
    </row>
    <row r="86" spans="1:18">
      <c r="A86" s="2"/>
      <c r="B86" s="714"/>
      <c r="C86" s="6"/>
      <c r="D86" s="4" t="s">
        <v>97</v>
      </c>
      <c r="E86" s="6" t="s">
        <v>81</v>
      </c>
      <c r="F86" s="29">
        <v>19</v>
      </c>
      <c r="G86" s="26">
        <f>ur</f>
        <v>850</v>
      </c>
      <c r="H86" s="26">
        <f>F86*G86</f>
        <v>16150</v>
      </c>
      <c r="I86" s="7" t="s">
        <v>301</v>
      </c>
      <c r="J86" s="8" t="s">
        <v>11</v>
      </c>
      <c r="K86" s="29">
        <v>1.8</v>
      </c>
      <c r="L86" s="28">
        <f>sand</f>
        <v>1050</v>
      </c>
      <c r="M86" s="26">
        <f>K86*L86</f>
        <v>1890</v>
      </c>
      <c r="N86" s="8"/>
      <c r="O86" s="6"/>
      <c r="P86" s="29"/>
      <c r="Q86" s="28"/>
      <c r="R86" s="26"/>
    </row>
    <row r="87" spans="1:18">
      <c r="A87" s="2"/>
      <c r="B87" s="714"/>
      <c r="C87" s="6"/>
      <c r="D87" s="4"/>
      <c r="E87" s="6"/>
      <c r="F87" s="29"/>
      <c r="G87" s="26"/>
      <c r="H87" s="26"/>
      <c r="I87" s="7" t="s">
        <v>255</v>
      </c>
      <c r="J87" s="8" t="s">
        <v>250</v>
      </c>
      <c r="K87" s="29">
        <v>450</v>
      </c>
      <c r="L87" s="28"/>
      <c r="M87" s="26">
        <f>K87*L87</f>
        <v>0</v>
      </c>
      <c r="N87" s="8"/>
      <c r="O87" s="6"/>
      <c r="P87" s="29"/>
      <c r="Q87" s="28"/>
      <c r="R87" s="26"/>
    </row>
    <row r="88" spans="1:18">
      <c r="A88" s="2"/>
      <c r="B88" s="714"/>
      <c r="C88" s="6"/>
      <c r="D88" s="4"/>
      <c r="E88" s="6"/>
      <c r="F88" s="29"/>
      <c r="G88" s="26"/>
      <c r="H88" s="26"/>
      <c r="I88" s="7"/>
      <c r="J88" s="8"/>
      <c r="K88" s="29"/>
      <c r="L88" s="28"/>
      <c r="M88" s="28"/>
      <c r="N88" s="8"/>
      <c r="O88" s="6"/>
      <c r="P88" s="29"/>
      <c r="Q88" s="28"/>
      <c r="R88" s="28"/>
    </row>
    <row r="89" spans="1:18">
      <c r="A89" s="2"/>
      <c r="B89" s="5"/>
      <c r="C89" s="6"/>
      <c r="D89" s="4"/>
      <c r="E89" s="9"/>
      <c r="F89" s="30"/>
      <c r="G89" s="27"/>
      <c r="H89" s="27"/>
      <c r="I89" s="9"/>
      <c r="J89" s="10"/>
      <c r="K89" s="30"/>
      <c r="L89" s="28"/>
      <c r="M89" s="28"/>
      <c r="N89" s="8"/>
      <c r="O89" s="6"/>
      <c r="P89" s="30"/>
      <c r="Q89" s="28"/>
      <c r="R89" s="28"/>
    </row>
    <row r="90" spans="1:18">
      <c r="A90" s="2"/>
      <c r="B90" s="11"/>
      <c r="C90" s="6"/>
      <c r="D90" s="12"/>
      <c r="E90" s="59"/>
      <c r="F90" s="13"/>
      <c r="G90" s="13" t="s">
        <v>20</v>
      </c>
      <c r="H90" s="25">
        <f>SUM(H84:H89)</f>
        <v>31550</v>
      </c>
      <c r="I90" s="703"/>
      <c r="J90" s="703"/>
      <c r="K90" s="14"/>
      <c r="L90" s="13" t="s">
        <v>21</v>
      </c>
      <c r="M90" s="25">
        <f>SUM(M84:M89)</f>
        <v>33154.596999999994</v>
      </c>
      <c r="N90" s="3"/>
      <c r="O90" s="14"/>
      <c r="P90" s="14"/>
      <c r="Q90" s="13" t="s">
        <v>22</v>
      </c>
      <c r="R90" s="25">
        <f>SUM(R84:R89)</f>
        <v>946.5</v>
      </c>
    </row>
    <row r="91" spans="1:18">
      <c r="A91" s="2"/>
      <c r="B91" s="16" t="s">
        <v>13</v>
      </c>
      <c r="C91" s="14"/>
      <c r="D91" s="14"/>
      <c r="E91" s="14"/>
      <c r="F91" s="14"/>
      <c r="G91" s="13"/>
      <c r="H91" s="35">
        <f>M90+R90+H90</f>
        <v>65651.096999999994</v>
      </c>
      <c r="I91" s="17"/>
      <c r="J91" s="14"/>
      <c r="K91" s="14"/>
      <c r="L91" s="13"/>
      <c r="M91" s="15"/>
      <c r="N91" s="14"/>
      <c r="O91" s="14"/>
      <c r="P91" s="14"/>
      <c r="Q91" s="14"/>
      <c r="R91" s="17"/>
    </row>
    <row r="92" spans="1:18">
      <c r="A92" s="2"/>
      <c r="B92" s="11" t="s">
        <v>25</v>
      </c>
      <c r="C92" s="4"/>
      <c r="D92" s="4"/>
      <c r="E92" s="4"/>
      <c r="F92" s="4"/>
      <c r="G92" s="18"/>
      <c r="H92" s="36">
        <v>0</v>
      </c>
      <c r="I92" s="20"/>
      <c r="J92" s="4" t="s">
        <v>26</v>
      </c>
      <c r="K92" s="4"/>
      <c r="L92" s="18"/>
      <c r="M92" s="19"/>
      <c r="N92" s="4"/>
      <c r="O92" s="4"/>
      <c r="P92" s="4"/>
      <c r="Q92" s="4"/>
      <c r="R92" s="20"/>
    </row>
    <row r="93" spans="1:18">
      <c r="A93" s="23"/>
      <c r="B93" s="11" t="s">
        <v>14</v>
      </c>
      <c r="C93" s="4"/>
      <c r="D93" s="4"/>
      <c r="E93" s="4"/>
      <c r="F93" s="4"/>
      <c r="G93" s="18"/>
      <c r="H93" s="36">
        <f>SUM(H91:H92)</f>
        <v>65651.096999999994</v>
      </c>
      <c r="I93" s="20"/>
      <c r="J93" s="741"/>
      <c r="K93" s="742"/>
      <c r="L93" s="742"/>
      <c r="M93" s="742"/>
      <c r="N93" s="742"/>
      <c r="O93" s="742"/>
      <c r="P93" s="742"/>
      <c r="Q93" s="742"/>
      <c r="R93" s="743"/>
    </row>
    <row r="94" spans="1:18">
      <c r="A94" s="23"/>
      <c r="B94" s="11" t="s">
        <v>24</v>
      </c>
      <c r="C94" s="4"/>
      <c r="D94" s="4"/>
      <c r="E94" s="4"/>
      <c r="F94" s="4"/>
      <c r="G94" s="18"/>
      <c r="H94" s="36">
        <f>H93*15%</f>
        <v>9847.6645499999995</v>
      </c>
      <c r="I94" s="20"/>
      <c r="J94" s="744"/>
      <c r="K94" s="745"/>
      <c r="L94" s="745"/>
      <c r="M94" s="745"/>
      <c r="N94" s="745"/>
      <c r="O94" s="745"/>
      <c r="P94" s="745"/>
      <c r="Q94" s="745"/>
      <c r="R94" s="746"/>
    </row>
    <row r="95" spans="1:18">
      <c r="A95" s="23"/>
      <c r="B95" s="11" t="s">
        <v>15</v>
      </c>
      <c r="C95" s="4"/>
      <c r="D95" s="4"/>
      <c r="E95" s="4"/>
      <c r="F95" s="4"/>
      <c r="G95" s="21" t="s">
        <v>16</v>
      </c>
      <c r="H95" s="37">
        <f>H94+H93</f>
        <v>75498.761549999996</v>
      </c>
      <c r="I95" s="38" t="str">
        <f>CONCATENATE("per ",C84, C85)</f>
        <v>per 100sqm</v>
      </c>
      <c r="J95" s="744"/>
      <c r="K95" s="745"/>
      <c r="L95" s="745"/>
      <c r="M95" s="745"/>
      <c r="N95" s="745"/>
      <c r="O95" s="745"/>
      <c r="P95" s="745"/>
      <c r="Q95" s="745"/>
      <c r="R95" s="746"/>
    </row>
    <row r="96" spans="1:18">
      <c r="A96" s="23"/>
      <c r="B96" s="11"/>
      <c r="C96" s="4"/>
      <c r="D96" s="4"/>
      <c r="E96" s="4"/>
      <c r="F96" s="4"/>
      <c r="G96" s="21" t="s">
        <v>16</v>
      </c>
      <c r="H96" s="37">
        <f>H95/C84</f>
        <v>754.98761549999995</v>
      </c>
      <c r="I96" s="38" t="str">
        <f>CONCATENATE("per ",C85)</f>
        <v>per sqm</v>
      </c>
      <c r="J96" s="744"/>
      <c r="K96" s="745"/>
      <c r="L96" s="745"/>
      <c r="M96" s="745"/>
      <c r="N96" s="745"/>
      <c r="O96" s="745"/>
      <c r="P96" s="745"/>
      <c r="Q96" s="745"/>
      <c r="R96" s="746"/>
    </row>
    <row r="97" spans="1:18">
      <c r="A97" s="23"/>
      <c r="B97" s="11" t="s">
        <v>18</v>
      </c>
      <c r="C97" s="4" t="s">
        <v>19</v>
      </c>
      <c r="D97" s="4"/>
      <c r="E97" s="4"/>
      <c r="F97" s="4"/>
      <c r="G97" s="21" t="s">
        <v>16</v>
      </c>
      <c r="H97" s="37">
        <f>CEILING(H96,0.5)</f>
        <v>755</v>
      </c>
      <c r="I97" s="38" t="str">
        <f>CONCATENATE("per ",C85)</f>
        <v>per sqm</v>
      </c>
      <c r="J97" s="744"/>
      <c r="K97" s="745"/>
      <c r="L97" s="745"/>
      <c r="M97" s="745"/>
      <c r="N97" s="745"/>
      <c r="O97" s="745"/>
      <c r="P97" s="745"/>
      <c r="Q97" s="745"/>
      <c r="R97" s="746"/>
    </row>
    <row r="98" spans="1:18">
      <c r="A98" s="23"/>
      <c r="B98" s="11"/>
      <c r="C98" s="4"/>
      <c r="D98" s="4"/>
      <c r="E98" s="4"/>
      <c r="F98" s="4"/>
      <c r="G98" s="24" t="s">
        <v>17</v>
      </c>
      <c r="H98" s="37">
        <f>H97/exr</f>
        <v>5.8076923076923075</v>
      </c>
      <c r="I98" s="38" t="str">
        <f>CONCATENATE("per ",C85)</f>
        <v>per sqm</v>
      </c>
      <c r="J98" s="747"/>
      <c r="K98" s="748"/>
      <c r="L98" s="748"/>
      <c r="M98" s="748"/>
      <c r="N98" s="748"/>
      <c r="O98" s="748"/>
      <c r="P98" s="748"/>
      <c r="Q98" s="748"/>
      <c r="R98" s="749"/>
    </row>
    <row r="99" spans="1:18">
      <c r="A99" s="39"/>
      <c r="B99" s="40"/>
      <c r="C99" s="41"/>
      <c r="D99" s="41"/>
      <c r="E99" s="41"/>
      <c r="F99" s="41"/>
      <c r="G99" s="149" t="s">
        <v>460</v>
      </c>
      <c r="H99" s="150">
        <f>CEILING(SUM(M85)/H91,0.0025)</f>
        <v>0.47750000000000004</v>
      </c>
      <c r="I99" s="42"/>
      <c r="J99" s="43"/>
      <c r="K99" s="43"/>
      <c r="L99" s="43"/>
      <c r="M99" s="43"/>
      <c r="N99" s="43"/>
      <c r="O99" s="43"/>
      <c r="P99" s="43"/>
      <c r="Q99" s="43"/>
      <c r="R99" s="44"/>
    </row>
    <row r="101" spans="1:18">
      <c r="A101" s="693" t="s">
        <v>0</v>
      </c>
      <c r="B101" s="695" t="s">
        <v>1</v>
      </c>
      <c r="C101" s="695" t="s">
        <v>2</v>
      </c>
      <c r="D101" s="697" t="s">
        <v>3</v>
      </c>
      <c r="E101" s="698"/>
      <c r="F101" s="698"/>
      <c r="G101" s="698"/>
      <c r="H101" s="698"/>
      <c r="I101" s="699" t="s">
        <v>4</v>
      </c>
      <c r="J101" s="700"/>
      <c r="K101" s="700"/>
      <c r="L101" s="700"/>
      <c r="M101" s="700"/>
      <c r="N101" s="698" t="s">
        <v>5</v>
      </c>
      <c r="O101" s="698"/>
      <c r="P101" s="698"/>
      <c r="Q101" s="698"/>
      <c r="R101" s="698"/>
    </row>
    <row r="102" spans="1:18">
      <c r="A102" s="694"/>
      <c r="B102" s="696"/>
      <c r="C102" s="696"/>
      <c r="D102" s="45" t="s">
        <v>6</v>
      </c>
      <c r="E102" s="46" t="s">
        <v>2</v>
      </c>
      <c r="F102" s="46" t="s">
        <v>7</v>
      </c>
      <c r="G102" s="46" t="s">
        <v>8</v>
      </c>
      <c r="H102" s="46" t="s">
        <v>9</v>
      </c>
      <c r="I102" s="46" t="s">
        <v>10</v>
      </c>
      <c r="J102" s="46" t="s">
        <v>2</v>
      </c>
      <c r="K102" s="46" t="s">
        <v>7</v>
      </c>
      <c r="L102" s="46" t="s">
        <v>8</v>
      </c>
      <c r="M102" s="47" t="s">
        <v>9</v>
      </c>
      <c r="N102" s="46" t="s">
        <v>10</v>
      </c>
      <c r="O102" s="46" t="s">
        <v>2</v>
      </c>
      <c r="P102" s="46" t="s">
        <v>7</v>
      </c>
      <c r="Q102" s="46" t="s">
        <v>8</v>
      </c>
      <c r="R102" s="46" t="s">
        <v>9</v>
      </c>
    </row>
    <row r="103" spans="1:18">
      <c r="A103" s="33" t="s">
        <v>23</v>
      </c>
      <c r="B103" s="73" t="s">
        <v>305</v>
      </c>
      <c r="C103" s="31"/>
      <c r="D103" s="31"/>
      <c r="E103" s="31"/>
      <c r="F103" s="31"/>
      <c r="G103" s="31"/>
      <c r="H103" s="31"/>
      <c r="I103" s="31"/>
      <c r="J103" s="31"/>
      <c r="K103" s="31"/>
      <c r="L103" s="31"/>
      <c r="M103" s="31"/>
      <c r="N103" s="31"/>
      <c r="O103" s="31"/>
      <c r="P103" s="31"/>
      <c r="Q103" s="31"/>
      <c r="R103" s="32"/>
    </row>
    <row r="104" spans="1:18">
      <c r="A104" s="34">
        <f>A84+1</f>
        <v>6</v>
      </c>
      <c r="B104" s="713" t="s">
        <v>308</v>
      </c>
      <c r="C104" s="66">
        <v>100</v>
      </c>
      <c r="D104" s="4"/>
      <c r="E104" s="6"/>
      <c r="F104" s="29"/>
      <c r="G104" s="26"/>
      <c r="H104" s="26"/>
      <c r="I104" s="6"/>
      <c r="J104" s="6"/>
      <c r="K104" s="29"/>
      <c r="L104" s="26"/>
      <c r="M104" s="26"/>
      <c r="N104" s="6"/>
      <c r="O104" s="6"/>
      <c r="P104" s="29"/>
      <c r="Q104" s="26"/>
      <c r="R104" s="26"/>
    </row>
    <row r="105" spans="1:18">
      <c r="A105" s="2"/>
      <c r="B105" s="714"/>
      <c r="C105" s="124" t="s">
        <v>127</v>
      </c>
      <c r="D105" s="4" t="s">
        <v>96</v>
      </c>
      <c r="E105" s="6" t="s">
        <v>81</v>
      </c>
      <c r="F105" s="29">
        <v>14</v>
      </c>
      <c r="G105" s="26">
        <f>sr</f>
        <v>1100</v>
      </c>
      <c r="H105" s="26">
        <f>F105*G105</f>
        <v>15400</v>
      </c>
      <c r="I105" s="7" t="s">
        <v>300</v>
      </c>
      <c r="J105" s="8" t="s">
        <v>32</v>
      </c>
      <c r="K105" s="29">
        <v>0.95</v>
      </c>
      <c r="L105" s="28">
        <f>cement</f>
        <v>24049.69</v>
      </c>
      <c r="M105" s="26">
        <f>K105*L105</f>
        <v>22847.205499999996</v>
      </c>
      <c r="N105" s="8" t="s">
        <v>294</v>
      </c>
      <c r="O105" s="6"/>
      <c r="P105" s="29"/>
      <c r="Q105" s="28"/>
      <c r="R105" s="26">
        <f>3%*H110</f>
        <v>946.5</v>
      </c>
    </row>
    <row r="106" spans="1:18">
      <c r="A106" s="2"/>
      <c r="B106" s="714"/>
      <c r="C106" s="6"/>
      <c r="D106" s="4" t="s">
        <v>97</v>
      </c>
      <c r="E106" s="6" t="s">
        <v>81</v>
      </c>
      <c r="F106" s="29">
        <v>19</v>
      </c>
      <c r="G106" s="26">
        <f>ur</f>
        <v>850</v>
      </c>
      <c r="H106" s="26">
        <f>F106*G106</f>
        <v>16150</v>
      </c>
      <c r="I106" s="7" t="s">
        <v>301</v>
      </c>
      <c r="J106" s="8" t="s">
        <v>11</v>
      </c>
      <c r="K106" s="29">
        <v>1.95</v>
      </c>
      <c r="L106" s="28">
        <f>sand</f>
        <v>1050</v>
      </c>
      <c r="M106" s="26">
        <f>K106*L106</f>
        <v>2047.5</v>
      </c>
      <c r="N106" s="8"/>
      <c r="O106" s="6"/>
      <c r="P106" s="29"/>
      <c r="Q106" s="28"/>
      <c r="R106" s="26"/>
    </row>
    <row r="107" spans="1:18">
      <c r="A107" s="2"/>
      <c r="B107" s="714"/>
      <c r="C107" s="6"/>
      <c r="D107" s="4"/>
      <c r="E107" s="6"/>
      <c r="F107" s="29"/>
      <c r="G107" s="26"/>
      <c r="H107" s="26"/>
      <c r="I107" s="7" t="s">
        <v>255</v>
      </c>
      <c r="J107" s="8" t="s">
        <v>250</v>
      </c>
      <c r="K107" s="29">
        <v>300</v>
      </c>
      <c r="L107" s="28"/>
      <c r="M107" s="26">
        <f>K107*L107</f>
        <v>0</v>
      </c>
      <c r="N107" s="8"/>
      <c r="O107" s="6"/>
      <c r="P107" s="29"/>
      <c r="Q107" s="28"/>
      <c r="R107" s="26"/>
    </row>
    <row r="108" spans="1:18">
      <c r="A108" s="2"/>
      <c r="B108" s="714"/>
      <c r="C108" s="6"/>
      <c r="D108" s="4"/>
      <c r="E108" s="6"/>
      <c r="F108" s="29"/>
      <c r="G108" s="26"/>
      <c r="H108" s="26"/>
      <c r="I108" s="7"/>
      <c r="J108" s="8"/>
      <c r="K108" s="29"/>
      <c r="L108" s="28"/>
      <c r="M108" s="28"/>
      <c r="N108" s="8"/>
      <c r="O108" s="6"/>
      <c r="P108" s="29"/>
      <c r="Q108" s="28"/>
      <c r="R108" s="28"/>
    </row>
    <row r="109" spans="1:18">
      <c r="A109" s="2"/>
      <c r="B109" s="5"/>
      <c r="C109" s="6"/>
      <c r="D109" s="4"/>
      <c r="E109" s="9"/>
      <c r="F109" s="30"/>
      <c r="G109" s="27"/>
      <c r="H109" s="27"/>
      <c r="I109" s="9"/>
      <c r="J109" s="10"/>
      <c r="K109" s="30"/>
      <c r="L109" s="28"/>
      <c r="M109" s="28"/>
      <c r="N109" s="8"/>
      <c r="O109" s="6"/>
      <c r="P109" s="30"/>
      <c r="Q109" s="28"/>
      <c r="R109" s="28"/>
    </row>
    <row r="110" spans="1:18">
      <c r="A110" s="2"/>
      <c r="B110" s="11"/>
      <c r="C110" s="6"/>
      <c r="D110" s="12"/>
      <c r="E110" s="59"/>
      <c r="F110" s="13"/>
      <c r="G110" s="13" t="s">
        <v>20</v>
      </c>
      <c r="H110" s="25">
        <f>SUM(H104:H109)</f>
        <v>31550</v>
      </c>
      <c r="I110" s="703"/>
      <c r="J110" s="703"/>
      <c r="K110" s="14"/>
      <c r="L110" s="13" t="s">
        <v>21</v>
      </c>
      <c r="M110" s="25">
        <f>SUM(M104:M109)</f>
        <v>24894.705499999996</v>
      </c>
      <c r="N110" s="3"/>
      <c r="O110" s="14"/>
      <c r="P110" s="14"/>
      <c r="Q110" s="13" t="s">
        <v>22</v>
      </c>
      <c r="R110" s="25">
        <f>SUM(R104:R109)</f>
        <v>946.5</v>
      </c>
    </row>
    <row r="111" spans="1:18">
      <c r="A111" s="2"/>
      <c r="B111" s="16" t="s">
        <v>13</v>
      </c>
      <c r="C111" s="14"/>
      <c r="D111" s="14"/>
      <c r="E111" s="14"/>
      <c r="F111" s="14"/>
      <c r="G111" s="13"/>
      <c r="H111" s="35">
        <f>M110+R110+H110</f>
        <v>57391.205499999996</v>
      </c>
      <c r="I111" s="17"/>
      <c r="J111" s="14"/>
      <c r="K111" s="14"/>
      <c r="L111" s="13"/>
      <c r="M111" s="15"/>
      <c r="N111" s="14"/>
      <c r="O111" s="14"/>
      <c r="P111" s="14"/>
      <c r="Q111" s="14"/>
      <c r="R111" s="17"/>
    </row>
    <row r="112" spans="1:18">
      <c r="A112" s="2"/>
      <c r="B112" s="11" t="s">
        <v>25</v>
      </c>
      <c r="C112" s="4"/>
      <c r="D112" s="4"/>
      <c r="E112" s="4"/>
      <c r="F112" s="4"/>
      <c r="G112" s="18"/>
      <c r="H112" s="36">
        <v>0</v>
      </c>
      <c r="I112" s="20"/>
      <c r="J112" s="4" t="s">
        <v>26</v>
      </c>
      <c r="K112" s="4"/>
      <c r="L112" s="18"/>
      <c r="M112" s="19"/>
      <c r="N112" s="4"/>
      <c r="O112" s="4"/>
      <c r="P112" s="4"/>
      <c r="Q112" s="4"/>
      <c r="R112" s="20"/>
    </row>
    <row r="113" spans="1:18">
      <c r="A113" s="23"/>
      <c r="B113" s="11" t="s">
        <v>14</v>
      </c>
      <c r="C113" s="4"/>
      <c r="D113" s="4"/>
      <c r="E113" s="4"/>
      <c r="F113" s="4"/>
      <c r="G113" s="18"/>
      <c r="H113" s="36">
        <f>SUM(H111:H112)</f>
        <v>57391.205499999996</v>
      </c>
      <c r="I113" s="20"/>
      <c r="J113" s="741"/>
      <c r="K113" s="742"/>
      <c r="L113" s="742"/>
      <c r="M113" s="742"/>
      <c r="N113" s="742"/>
      <c r="O113" s="742"/>
      <c r="P113" s="742"/>
      <c r="Q113" s="742"/>
      <c r="R113" s="743"/>
    </row>
    <row r="114" spans="1:18">
      <c r="A114" s="23"/>
      <c r="B114" s="11" t="s">
        <v>24</v>
      </c>
      <c r="C114" s="4"/>
      <c r="D114" s="4"/>
      <c r="E114" s="4"/>
      <c r="F114" s="4"/>
      <c r="G114" s="18"/>
      <c r="H114" s="36">
        <f>H113*15%</f>
        <v>8608.6808249999995</v>
      </c>
      <c r="I114" s="20"/>
      <c r="J114" s="744"/>
      <c r="K114" s="745"/>
      <c r="L114" s="745"/>
      <c r="M114" s="745"/>
      <c r="N114" s="745"/>
      <c r="O114" s="745"/>
      <c r="P114" s="745"/>
      <c r="Q114" s="745"/>
      <c r="R114" s="746"/>
    </row>
    <row r="115" spans="1:18">
      <c r="A115" s="23"/>
      <c r="B115" s="11" t="s">
        <v>15</v>
      </c>
      <c r="C115" s="4"/>
      <c r="D115" s="4"/>
      <c r="E115" s="4"/>
      <c r="F115" s="4"/>
      <c r="G115" s="21" t="s">
        <v>16</v>
      </c>
      <c r="H115" s="37">
        <f>H114+H113</f>
        <v>65999.886324999999</v>
      </c>
      <c r="I115" s="38" t="str">
        <f>CONCATENATE("per ",C104, C105)</f>
        <v>per 100sqm</v>
      </c>
      <c r="J115" s="744"/>
      <c r="K115" s="745"/>
      <c r="L115" s="745"/>
      <c r="M115" s="745"/>
      <c r="N115" s="745"/>
      <c r="O115" s="745"/>
      <c r="P115" s="745"/>
      <c r="Q115" s="745"/>
      <c r="R115" s="746"/>
    </row>
    <row r="116" spans="1:18">
      <c r="A116" s="23"/>
      <c r="B116" s="11"/>
      <c r="C116" s="4"/>
      <c r="D116" s="4"/>
      <c r="E116" s="4"/>
      <c r="F116" s="4"/>
      <c r="G116" s="21" t="s">
        <v>16</v>
      </c>
      <c r="H116" s="37">
        <f>H115/C104</f>
        <v>659.99886325</v>
      </c>
      <c r="I116" s="38" t="str">
        <f>CONCATENATE("per ",C105)</f>
        <v>per sqm</v>
      </c>
      <c r="J116" s="744"/>
      <c r="K116" s="745"/>
      <c r="L116" s="745"/>
      <c r="M116" s="745"/>
      <c r="N116" s="745"/>
      <c r="O116" s="745"/>
      <c r="P116" s="745"/>
      <c r="Q116" s="745"/>
      <c r="R116" s="746"/>
    </row>
    <row r="117" spans="1:18">
      <c r="A117" s="23"/>
      <c r="B117" s="11" t="s">
        <v>18</v>
      </c>
      <c r="C117" s="4" t="s">
        <v>19</v>
      </c>
      <c r="D117" s="4"/>
      <c r="E117" s="4"/>
      <c r="F117" s="4"/>
      <c r="G117" s="21" t="s">
        <v>16</v>
      </c>
      <c r="H117" s="37">
        <f>CEILING(H116,0.5)</f>
        <v>660</v>
      </c>
      <c r="I117" s="38" t="str">
        <f>CONCATENATE("per ",C105)</f>
        <v>per sqm</v>
      </c>
      <c r="J117" s="744"/>
      <c r="K117" s="745"/>
      <c r="L117" s="745"/>
      <c r="M117" s="745"/>
      <c r="N117" s="745"/>
      <c r="O117" s="745"/>
      <c r="P117" s="745"/>
      <c r="Q117" s="745"/>
      <c r="R117" s="746"/>
    </row>
    <row r="118" spans="1:18">
      <c r="A118" s="23"/>
      <c r="B118" s="11"/>
      <c r="C118" s="4"/>
      <c r="D118" s="4"/>
      <c r="E118" s="4"/>
      <c r="F118" s="4"/>
      <c r="G118" s="24" t="s">
        <v>17</v>
      </c>
      <c r="H118" s="37">
        <f>H117/exr</f>
        <v>5.0769230769230766</v>
      </c>
      <c r="I118" s="38" t="str">
        <f>CONCATENATE("per ",C105)</f>
        <v>per sqm</v>
      </c>
      <c r="J118" s="747"/>
      <c r="K118" s="748"/>
      <c r="L118" s="748"/>
      <c r="M118" s="748"/>
      <c r="N118" s="748"/>
      <c r="O118" s="748"/>
      <c r="P118" s="748"/>
      <c r="Q118" s="748"/>
      <c r="R118" s="749"/>
    </row>
    <row r="119" spans="1:18">
      <c r="A119" s="39"/>
      <c r="B119" s="40"/>
      <c r="C119" s="41"/>
      <c r="D119" s="41"/>
      <c r="E119" s="41"/>
      <c r="F119" s="41"/>
      <c r="G119" s="149" t="s">
        <v>460</v>
      </c>
      <c r="H119" s="150">
        <f>CEILING(SUM(M105)/H111,0.0025)</f>
        <v>0.4</v>
      </c>
      <c r="I119" s="42"/>
      <c r="J119" s="43"/>
      <c r="K119" s="43"/>
      <c r="L119" s="43"/>
      <c r="M119" s="43"/>
      <c r="N119" s="43"/>
      <c r="O119" s="43"/>
      <c r="P119" s="43"/>
      <c r="Q119" s="43"/>
      <c r="R119" s="44"/>
    </row>
    <row r="121" spans="1:18">
      <c r="A121" s="693" t="s">
        <v>0</v>
      </c>
      <c r="B121" s="695" t="s">
        <v>1</v>
      </c>
      <c r="C121" s="695" t="s">
        <v>2</v>
      </c>
      <c r="D121" s="697" t="s">
        <v>3</v>
      </c>
      <c r="E121" s="698"/>
      <c r="F121" s="698"/>
      <c r="G121" s="698"/>
      <c r="H121" s="698"/>
      <c r="I121" s="699" t="s">
        <v>4</v>
      </c>
      <c r="J121" s="700"/>
      <c r="K121" s="700"/>
      <c r="L121" s="700"/>
      <c r="M121" s="700"/>
      <c r="N121" s="698" t="s">
        <v>5</v>
      </c>
      <c r="O121" s="698"/>
      <c r="P121" s="698"/>
      <c r="Q121" s="698"/>
      <c r="R121" s="698"/>
    </row>
    <row r="122" spans="1:18">
      <c r="A122" s="694"/>
      <c r="B122" s="696"/>
      <c r="C122" s="696"/>
      <c r="D122" s="45" t="s">
        <v>6</v>
      </c>
      <c r="E122" s="46" t="s">
        <v>2</v>
      </c>
      <c r="F122" s="46" t="s">
        <v>7</v>
      </c>
      <c r="G122" s="46" t="s">
        <v>8</v>
      </c>
      <c r="H122" s="46" t="s">
        <v>9</v>
      </c>
      <c r="I122" s="46" t="s">
        <v>10</v>
      </c>
      <c r="J122" s="46" t="s">
        <v>2</v>
      </c>
      <c r="K122" s="46" t="s">
        <v>7</v>
      </c>
      <c r="L122" s="46" t="s">
        <v>8</v>
      </c>
      <c r="M122" s="47" t="s">
        <v>9</v>
      </c>
      <c r="N122" s="46" t="s">
        <v>10</v>
      </c>
      <c r="O122" s="46" t="s">
        <v>2</v>
      </c>
      <c r="P122" s="46" t="s">
        <v>7</v>
      </c>
      <c r="Q122" s="46" t="s">
        <v>8</v>
      </c>
      <c r="R122" s="46" t="s">
        <v>9</v>
      </c>
    </row>
    <row r="123" spans="1:18">
      <c r="A123" s="33" t="s">
        <v>23</v>
      </c>
      <c r="B123" s="73" t="s">
        <v>305</v>
      </c>
      <c r="C123" s="31"/>
      <c r="D123" s="31"/>
      <c r="E123" s="31"/>
      <c r="F123" s="31"/>
      <c r="G123" s="31"/>
      <c r="H123" s="31"/>
      <c r="I123" s="31"/>
      <c r="J123" s="31"/>
      <c r="K123" s="31"/>
      <c r="L123" s="31"/>
      <c r="M123" s="31"/>
      <c r="N123" s="31"/>
      <c r="O123" s="31"/>
      <c r="P123" s="31"/>
      <c r="Q123" s="31"/>
      <c r="R123" s="32"/>
    </row>
    <row r="124" spans="1:18">
      <c r="A124" s="34">
        <f>A104+1</f>
        <v>7</v>
      </c>
      <c r="B124" s="713" t="s">
        <v>309</v>
      </c>
      <c r="C124" s="66">
        <v>100</v>
      </c>
      <c r="D124" s="4"/>
      <c r="E124" s="6"/>
      <c r="F124" s="29"/>
      <c r="G124" s="26"/>
      <c r="H124" s="26"/>
      <c r="I124" s="6"/>
      <c r="J124" s="6"/>
      <c r="K124" s="29"/>
      <c r="L124" s="26"/>
      <c r="M124" s="26"/>
      <c r="N124" s="6"/>
      <c r="O124" s="6"/>
      <c r="P124" s="29"/>
      <c r="Q124" s="26"/>
      <c r="R124" s="26"/>
    </row>
    <row r="125" spans="1:18">
      <c r="A125" s="2"/>
      <c r="B125" s="714"/>
      <c r="C125" s="124" t="s">
        <v>127</v>
      </c>
      <c r="D125" s="4" t="s">
        <v>96</v>
      </c>
      <c r="E125" s="6" t="s">
        <v>81</v>
      </c>
      <c r="F125" s="29">
        <v>14</v>
      </c>
      <c r="G125" s="26">
        <f>sr</f>
        <v>1100</v>
      </c>
      <c r="H125" s="26">
        <f>F125*G125</f>
        <v>15400</v>
      </c>
      <c r="I125" s="7" t="s">
        <v>300</v>
      </c>
      <c r="J125" s="8" t="s">
        <v>32</v>
      </c>
      <c r="K125" s="29">
        <v>0.8</v>
      </c>
      <c r="L125" s="28">
        <f>cement</f>
        <v>24049.69</v>
      </c>
      <c r="M125" s="26">
        <f>K125*L125</f>
        <v>19239.752</v>
      </c>
      <c r="N125" s="8" t="s">
        <v>294</v>
      </c>
      <c r="O125" s="6"/>
      <c r="P125" s="29"/>
      <c r="Q125" s="28"/>
      <c r="R125" s="26">
        <f>3%*H130</f>
        <v>946.5</v>
      </c>
    </row>
    <row r="126" spans="1:18">
      <c r="A126" s="2"/>
      <c r="B126" s="714"/>
      <c r="C126" s="6"/>
      <c r="D126" s="4" t="s">
        <v>97</v>
      </c>
      <c r="E126" s="6" t="s">
        <v>81</v>
      </c>
      <c r="F126" s="29">
        <v>19</v>
      </c>
      <c r="G126" s="26">
        <f>ur</f>
        <v>850</v>
      </c>
      <c r="H126" s="26">
        <f>F126*G126</f>
        <v>16150</v>
      </c>
      <c r="I126" s="7" t="s">
        <v>301</v>
      </c>
      <c r="J126" s="8" t="s">
        <v>11</v>
      </c>
      <c r="K126" s="29">
        <v>2.2000000000000002</v>
      </c>
      <c r="L126" s="28">
        <f>sand</f>
        <v>1050</v>
      </c>
      <c r="M126" s="26">
        <f>K126*L126</f>
        <v>2310</v>
      </c>
      <c r="N126" s="8"/>
      <c r="O126" s="6"/>
      <c r="P126" s="29"/>
      <c r="Q126" s="28"/>
      <c r="R126" s="26"/>
    </row>
    <row r="127" spans="1:18">
      <c r="A127" s="2"/>
      <c r="B127" s="714"/>
      <c r="C127" s="6"/>
      <c r="D127" s="4"/>
      <c r="E127" s="6"/>
      <c r="F127" s="29"/>
      <c r="G127" s="26"/>
      <c r="H127" s="26"/>
      <c r="I127" s="7" t="s">
        <v>255</v>
      </c>
      <c r="J127" s="8" t="s">
        <v>250</v>
      </c>
      <c r="K127" s="29">
        <v>270</v>
      </c>
      <c r="L127" s="28"/>
      <c r="M127" s="26">
        <f>K127*L127</f>
        <v>0</v>
      </c>
      <c r="N127" s="8"/>
      <c r="O127" s="6"/>
      <c r="P127" s="29"/>
      <c r="Q127" s="28"/>
      <c r="R127" s="26"/>
    </row>
    <row r="128" spans="1:18">
      <c r="A128" s="2"/>
      <c r="B128" s="714"/>
      <c r="C128" s="6"/>
      <c r="D128" s="4"/>
      <c r="E128" s="6"/>
      <c r="F128" s="29"/>
      <c r="G128" s="26"/>
      <c r="H128" s="26"/>
      <c r="I128" s="7"/>
      <c r="J128" s="8"/>
      <c r="K128" s="29"/>
      <c r="L128" s="28"/>
      <c r="M128" s="28"/>
      <c r="N128" s="8"/>
      <c r="O128" s="6"/>
      <c r="P128" s="29"/>
      <c r="Q128" s="28"/>
      <c r="R128" s="28"/>
    </row>
    <row r="129" spans="1:18">
      <c r="A129" s="2"/>
      <c r="B129" s="5"/>
      <c r="C129" s="6"/>
      <c r="D129" s="4"/>
      <c r="E129" s="9"/>
      <c r="F129" s="30"/>
      <c r="G129" s="27"/>
      <c r="H129" s="27"/>
      <c r="I129" s="9"/>
      <c r="J129" s="10"/>
      <c r="K129" s="30"/>
      <c r="L129" s="28"/>
      <c r="M129" s="28"/>
      <c r="N129" s="8"/>
      <c r="O129" s="6"/>
      <c r="P129" s="30"/>
      <c r="Q129" s="28"/>
      <c r="R129" s="28"/>
    </row>
    <row r="130" spans="1:18">
      <c r="A130" s="2"/>
      <c r="B130" s="11"/>
      <c r="C130" s="6"/>
      <c r="D130" s="12"/>
      <c r="E130" s="59"/>
      <c r="F130" s="13"/>
      <c r="G130" s="13" t="s">
        <v>20</v>
      </c>
      <c r="H130" s="25">
        <f>SUM(H124:H129)</f>
        <v>31550</v>
      </c>
      <c r="I130" s="703"/>
      <c r="J130" s="703"/>
      <c r="K130" s="14"/>
      <c r="L130" s="13" t="s">
        <v>21</v>
      </c>
      <c r="M130" s="25">
        <f>SUM(M124:M129)</f>
        <v>21549.752</v>
      </c>
      <c r="N130" s="3"/>
      <c r="O130" s="14"/>
      <c r="P130" s="14"/>
      <c r="Q130" s="13" t="s">
        <v>22</v>
      </c>
      <c r="R130" s="25">
        <f>SUM(R124:R129)</f>
        <v>946.5</v>
      </c>
    </row>
    <row r="131" spans="1:18">
      <c r="A131" s="2"/>
      <c r="B131" s="16" t="s">
        <v>13</v>
      </c>
      <c r="C131" s="14"/>
      <c r="D131" s="14"/>
      <c r="E131" s="14"/>
      <c r="F131" s="14"/>
      <c r="G131" s="13"/>
      <c r="H131" s="35">
        <f>M130+R130+H130</f>
        <v>54046.252</v>
      </c>
      <c r="I131" s="17"/>
      <c r="J131" s="14"/>
      <c r="K131" s="14"/>
      <c r="L131" s="13"/>
      <c r="M131" s="15"/>
      <c r="N131" s="14"/>
      <c r="O131" s="14"/>
      <c r="P131" s="14"/>
      <c r="Q131" s="14"/>
      <c r="R131" s="17"/>
    </row>
    <row r="132" spans="1:18">
      <c r="A132" s="2"/>
      <c r="B132" s="11" t="s">
        <v>25</v>
      </c>
      <c r="C132" s="4"/>
      <c r="D132" s="4"/>
      <c r="E132" s="4"/>
      <c r="F132" s="4"/>
      <c r="G132" s="18"/>
      <c r="H132" s="36">
        <v>0</v>
      </c>
      <c r="I132" s="20"/>
      <c r="J132" s="4" t="s">
        <v>26</v>
      </c>
      <c r="K132" s="4"/>
      <c r="L132" s="18"/>
      <c r="M132" s="19"/>
      <c r="N132" s="4"/>
      <c r="O132" s="4"/>
      <c r="P132" s="4"/>
      <c r="Q132" s="4"/>
      <c r="R132" s="20"/>
    </row>
    <row r="133" spans="1:18">
      <c r="A133" s="23"/>
      <c r="B133" s="11" t="s">
        <v>14</v>
      </c>
      <c r="C133" s="4"/>
      <c r="D133" s="4"/>
      <c r="E133" s="4"/>
      <c r="F133" s="4"/>
      <c r="G133" s="18"/>
      <c r="H133" s="36">
        <f>SUM(H131:H132)</f>
        <v>54046.252</v>
      </c>
      <c r="I133" s="20"/>
      <c r="J133" s="741"/>
      <c r="K133" s="742"/>
      <c r="L133" s="742"/>
      <c r="M133" s="742"/>
      <c r="N133" s="742"/>
      <c r="O133" s="742"/>
      <c r="P133" s="742"/>
      <c r="Q133" s="742"/>
      <c r="R133" s="743"/>
    </row>
    <row r="134" spans="1:18">
      <c r="A134" s="23"/>
      <c r="B134" s="11" t="s">
        <v>24</v>
      </c>
      <c r="C134" s="4"/>
      <c r="D134" s="4"/>
      <c r="E134" s="4"/>
      <c r="F134" s="4"/>
      <c r="G134" s="18"/>
      <c r="H134" s="36">
        <f>H133*15%</f>
        <v>8106.9377999999997</v>
      </c>
      <c r="I134" s="20"/>
      <c r="J134" s="744"/>
      <c r="K134" s="745"/>
      <c r="L134" s="745"/>
      <c r="M134" s="745"/>
      <c r="N134" s="745"/>
      <c r="O134" s="745"/>
      <c r="P134" s="745"/>
      <c r="Q134" s="745"/>
      <c r="R134" s="746"/>
    </row>
    <row r="135" spans="1:18">
      <c r="A135" s="23"/>
      <c r="B135" s="11" t="s">
        <v>15</v>
      </c>
      <c r="C135" s="4"/>
      <c r="D135" s="4"/>
      <c r="E135" s="4"/>
      <c r="F135" s="4"/>
      <c r="G135" s="21" t="s">
        <v>16</v>
      </c>
      <c r="H135" s="37">
        <f>H134+H133</f>
        <v>62153.1898</v>
      </c>
      <c r="I135" s="38" t="str">
        <f>CONCATENATE("per ",C124, C125)</f>
        <v>per 100sqm</v>
      </c>
      <c r="J135" s="744"/>
      <c r="K135" s="745"/>
      <c r="L135" s="745"/>
      <c r="M135" s="745"/>
      <c r="N135" s="745"/>
      <c r="O135" s="745"/>
      <c r="P135" s="745"/>
      <c r="Q135" s="745"/>
      <c r="R135" s="746"/>
    </row>
    <row r="136" spans="1:18">
      <c r="A136" s="23"/>
      <c r="B136" s="11"/>
      <c r="C136" s="4"/>
      <c r="D136" s="4"/>
      <c r="E136" s="4"/>
      <c r="F136" s="4"/>
      <c r="G136" s="21" t="s">
        <v>16</v>
      </c>
      <c r="H136" s="37">
        <f>H135/C124</f>
        <v>621.53189799999996</v>
      </c>
      <c r="I136" s="38" t="str">
        <f>CONCATENATE("per ",C125)</f>
        <v>per sqm</v>
      </c>
      <c r="J136" s="744"/>
      <c r="K136" s="745"/>
      <c r="L136" s="745"/>
      <c r="M136" s="745"/>
      <c r="N136" s="745"/>
      <c r="O136" s="745"/>
      <c r="P136" s="745"/>
      <c r="Q136" s="745"/>
      <c r="R136" s="746"/>
    </row>
    <row r="137" spans="1:18">
      <c r="A137" s="23"/>
      <c r="B137" s="11" t="s">
        <v>18</v>
      </c>
      <c r="C137" s="4" t="s">
        <v>19</v>
      </c>
      <c r="D137" s="4"/>
      <c r="E137" s="4"/>
      <c r="F137" s="4"/>
      <c r="G137" s="21" t="s">
        <v>16</v>
      </c>
      <c r="H137" s="37">
        <f>CEILING(H136,0.5)</f>
        <v>622</v>
      </c>
      <c r="I137" s="38" t="str">
        <f>CONCATENATE("per ",C125)</f>
        <v>per sqm</v>
      </c>
      <c r="J137" s="744"/>
      <c r="K137" s="745"/>
      <c r="L137" s="745"/>
      <c r="M137" s="745"/>
      <c r="N137" s="745"/>
      <c r="O137" s="745"/>
      <c r="P137" s="745"/>
      <c r="Q137" s="745"/>
      <c r="R137" s="746"/>
    </row>
    <row r="138" spans="1:18">
      <c r="A138" s="23"/>
      <c r="B138" s="11"/>
      <c r="C138" s="4"/>
      <c r="D138" s="4"/>
      <c r="E138" s="4"/>
      <c r="F138" s="4"/>
      <c r="G138" s="24" t="s">
        <v>17</v>
      </c>
      <c r="H138" s="37">
        <f>H137/exr</f>
        <v>4.7846153846153845</v>
      </c>
      <c r="I138" s="38" t="str">
        <f>CONCATENATE("per ",C125)</f>
        <v>per sqm</v>
      </c>
      <c r="J138" s="747"/>
      <c r="K138" s="748"/>
      <c r="L138" s="748"/>
      <c r="M138" s="748"/>
      <c r="N138" s="748"/>
      <c r="O138" s="748"/>
      <c r="P138" s="748"/>
      <c r="Q138" s="748"/>
      <c r="R138" s="749"/>
    </row>
    <row r="139" spans="1:18">
      <c r="A139" s="39"/>
      <c r="B139" s="40"/>
      <c r="C139" s="41"/>
      <c r="D139" s="41"/>
      <c r="E139" s="41"/>
      <c r="F139" s="41"/>
      <c r="G139" s="149" t="s">
        <v>460</v>
      </c>
      <c r="H139" s="150">
        <f>CEILING(SUM(M125)/H131,0.0025)</f>
        <v>0.35749999999999998</v>
      </c>
      <c r="I139" s="42"/>
      <c r="J139" s="43"/>
      <c r="K139" s="43"/>
      <c r="L139" s="43"/>
      <c r="M139" s="43"/>
      <c r="N139" s="43"/>
      <c r="O139" s="43"/>
      <c r="P139" s="43"/>
      <c r="Q139" s="43"/>
      <c r="R139" s="44"/>
    </row>
    <row r="141" spans="1:18">
      <c r="A141" s="693" t="s">
        <v>0</v>
      </c>
      <c r="B141" s="695" t="s">
        <v>1</v>
      </c>
      <c r="C141" s="695" t="s">
        <v>2</v>
      </c>
      <c r="D141" s="697" t="s">
        <v>3</v>
      </c>
      <c r="E141" s="698"/>
      <c r="F141" s="698"/>
      <c r="G141" s="698"/>
      <c r="H141" s="698"/>
      <c r="I141" s="699" t="s">
        <v>4</v>
      </c>
      <c r="J141" s="700"/>
      <c r="K141" s="700"/>
      <c r="L141" s="700"/>
      <c r="M141" s="700"/>
      <c r="N141" s="698" t="s">
        <v>5</v>
      </c>
      <c r="O141" s="698"/>
      <c r="P141" s="698"/>
      <c r="Q141" s="698"/>
      <c r="R141" s="698"/>
    </row>
    <row r="142" spans="1:18">
      <c r="A142" s="694"/>
      <c r="B142" s="696"/>
      <c r="C142" s="696"/>
      <c r="D142" s="45" t="s">
        <v>6</v>
      </c>
      <c r="E142" s="46" t="s">
        <v>2</v>
      </c>
      <c r="F142" s="46" t="s">
        <v>7</v>
      </c>
      <c r="G142" s="46" t="s">
        <v>8</v>
      </c>
      <c r="H142" s="46" t="s">
        <v>9</v>
      </c>
      <c r="I142" s="46" t="s">
        <v>10</v>
      </c>
      <c r="J142" s="46" t="s">
        <v>2</v>
      </c>
      <c r="K142" s="46" t="s">
        <v>7</v>
      </c>
      <c r="L142" s="46" t="s">
        <v>8</v>
      </c>
      <c r="M142" s="47" t="s">
        <v>9</v>
      </c>
      <c r="N142" s="46" t="s">
        <v>10</v>
      </c>
      <c r="O142" s="46" t="s">
        <v>2</v>
      </c>
      <c r="P142" s="46" t="s">
        <v>7</v>
      </c>
      <c r="Q142" s="46" t="s">
        <v>8</v>
      </c>
      <c r="R142" s="46" t="s">
        <v>9</v>
      </c>
    </row>
    <row r="143" spans="1:18">
      <c r="A143" s="33" t="s">
        <v>23</v>
      </c>
      <c r="B143" s="73" t="s">
        <v>305</v>
      </c>
      <c r="C143" s="31"/>
      <c r="D143" s="31"/>
      <c r="E143" s="31"/>
      <c r="F143" s="31"/>
      <c r="G143" s="31"/>
      <c r="H143" s="31"/>
      <c r="I143" s="31"/>
      <c r="J143" s="31"/>
      <c r="K143" s="31"/>
      <c r="L143" s="31"/>
      <c r="M143" s="31"/>
      <c r="N143" s="31"/>
      <c r="O143" s="31"/>
      <c r="P143" s="31"/>
      <c r="Q143" s="31"/>
      <c r="R143" s="32"/>
    </row>
    <row r="144" spans="1:18">
      <c r="A144" s="34">
        <f>A124+1</f>
        <v>8</v>
      </c>
      <c r="B144" s="713" t="s">
        <v>306</v>
      </c>
      <c r="C144" s="66">
        <v>100</v>
      </c>
      <c r="D144" s="4"/>
      <c r="E144" s="6"/>
      <c r="F144" s="29"/>
      <c r="G144" s="26"/>
      <c r="H144" s="26"/>
      <c r="I144" s="6"/>
      <c r="J144" s="6"/>
      <c r="K144" s="29"/>
      <c r="L144" s="26"/>
      <c r="M144" s="26"/>
      <c r="N144" s="6"/>
      <c r="O144" s="6"/>
      <c r="P144" s="29"/>
      <c r="Q144" s="26"/>
      <c r="R144" s="26"/>
    </row>
    <row r="145" spans="1:18">
      <c r="A145" s="2"/>
      <c r="B145" s="714"/>
      <c r="C145" s="124" t="s">
        <v>127</v>
      </c>
      <c r="D145" s="4" t="s">
        <v>96</v>
      </c>
      <c r="E145" s="6" t="s">
        <v>81</v>
      </c>
      <c r="F145" s="29">
        <v>14</v>
      </c>
      <c r="G145" s="26">
        <f>sr</f>
        <v>1100</v>
      </c>
      <c r="H145" s="26">
        <f>F145*G145</f>
        <v>15400</v>
      </c>
      <c r="I145" s="7" t="s">
        <v>300</v>
      </c>
      <c r="J145" s="8" t="s">
        <v>32</v>
      </c>
      <c r="K145" s="29">
        <v>0.57999999999999996</v>
      </c>
      <c r="L145" s="28">
        <f>cement</f>
        <v>24049.69</v>
      </c>
      <c r="M145" s="26">
        <f>K145*L145</f>
        <v>13948.820199999998</v>
      </c>
      <c r="N145" s="8" t="s">
        <v>294</v>
      </c>
      <c r="O145" s="6"/>
      <c r="P145" s="29"/>
      <c r="Q145" s="28"/>
      <c r="R145" s="26">
        <f>3%*H150</f>
        <v>946.5</v>
      </c>
    </row>
    <row r="146" spans="1:18">
      <c r="A146" s="2"/>
      <c r="B146" s="714"/>
      <c r="C146" s="6"/>
      <c r="D146" s="4" t="s">
        <v>97</v>
      </c>
      <c r="E146" s="6" t="s">
        <v>81</v>
      </c>
      <c r="F146" s="29">
        <v>19</v>
      </c>
      <c r="G146" s="26">
        <f>ur</f>
        <v>850</v>
      </c>
      <c r="H146" s="26">
        <f>F146*G146</f>
        <v>16150</v>
      </c>
      <c r="I146" s="7" t="s">
        <v>301</v>
      </c>
      <c r="J146" s="8" t="s">
        <v>11</v>
      </c>
      <c r="K146" s="29">
        <v>2.3199999999999998</v>
      </c>
      <c r="L146" s="28">
        <f>sand</f>
        <v>1050</v>
      </c>
      <c r="M146" s="26">
        <f>K146*L146</f>
        <v>2436</v>
      </c>
      <c r="N146" s="8"/>
      <c r="O146" s="6"/>
      <c r="P146" s="29"/>
      <c r="Q146" s="28"/>
      <c r="R146" s="26"/>
    </row>
    <row r="147" spans="1:18">
      <c r="A147" s="2"/>
      <c r="B147" s="714"/>
      <c r="C147" s="6"/>
      <c r="D147" s="4"/>
      <c r="E147" s="6"/>
      <c r="F147" s="29"/>
      <c r="G147" s="26"/>
      <c r="H147" s="26"/>
      <c r="I147" s="7" t="s">
        <v>255</v>
      </c>
      <c r="J147" s="8" t="s">
        <v>250</v>
      </c>
      <c r="K147" s="29">
        <v>190</v>
      </c>
      <c r="L147" s="28"/>
      <c r="M147" s="26">
        <f>K147*L147</f>
        <v>0</v>
      </c>
      <c r="N147" s="8"/>
      <c r="O147" s="6"/>
      <c r="P147" s="29"/>
      <c r="Q147" s="28"/>
      <c r="R147" s="26"/>
    </row>
    <row r="148" spans="1:18">
      <c r="A148" s="2"/>
      <c r="B148" s="714"/>
      <c r="C148" s="6"/>
      <c r="D148" s="4"/>
      <c r="E148" s="6"/>
      <c r="F148" s="29"/>
      <c r="G148" s="26"/>
      <c r="H148" s="26"/>
      <c r="I148" s="7"/>
      <c r="J148" s="8"/>
      <c r="K148" s="29"/>
      <c r="L148" s="28"/>
      <c r="M148" s="28"/>
      <c r="N148" s="8"/>
      <c r="O148" s="6"/>
      <c r="P148" s="29"/>
      <c r="Q148" s="28"/>
      <c r="R148" s="28"/>
    </row>
    <row r="149" spans="1:18">
      <c r="A149" s="2"/>
      <c r="B149" s="5"/>
      <c r="C149" s="6"/>
      <c r="D149" s="4"/>
      <c r="E149" s="9"/>
      <c r="F149" s="30"/>
      <c r="G149" s="27"/>
      <c r="H149" s="27"/>
      <c r="I149" s="9"/>
      <c r="J149" s="10"/>
      <c r="K149" s="30"/>
      <c r="L149" s="28"/>
      <c r="M149" s="28"/>
      <c r="N149" s="8"/>
      <c r="O149" s="6"/>
      <c r="P149" s="30"/>
      <c r="Q149" s="28"/>
      <c r="R149" s="28"/>
    </row>
    <row r="150" spans="1:18">
      <c r="A150" s="2"/>
      <c r="B150" s="11"/>
      <c r="C150" s="6"/>
      <c r="D150" s="12"/>
      <c r="E150" s="59"/>
      <c r="F150" s="13"/>
      <c r="G150" s="13" t="s">
        <v>20</v>
      </c>
      <c r="H150" s="25">
        <f>SUM(H144:H149)</f>
        <v>31550</v>
      </c>
      <c r="I150" s="703"/>
      <c r="J150" s="703"/>
      <c r="K150" s="14"/>
      <c r="L150" s="13" t="s">
        <v>21</v>
      </c>
      <c r="M150" s="25">
        <f>SUM(M144:M149)</f>
        <v>16384.820199999998</v>
      </c>
      <c r="N150" s="3"/>
      <c r="O150" s="14"/>
      <c r="P150" s="14"/>
      <c r="Q150" s="13" t="s">
        <v>22</v>
      </c>
      <c r="R150" s="25">
        <f>SUM(R144:R149)</f>
        <v>946.5</v>
      </c>
    </row>
    <row r="151" spans="1:18">
      <c r="A151" s="2"/>
      <c r="B151" s="16" t="s">
        <v>13</v>
      </c>
      <c r="C151" s="14"/>
      <c r="D151" s="14"/>
      <c r="E151" s="14"/>
      <c r="F151" s="14"/>
      <c r="G151" s="13"/>
      <c r="H151" s="35">
        <f>M150+R150+H150</f>
        <v>48881.320200000002</v>
      </c>
      <c r="I151" s="17"/>
      <c r="J151" s="14"/>
      <c r="K151" s="14"/>
      <c r="L151" s="13"/>
      <c r="M151" s="15"/>
      <c r="N151" s="14"/>
      <c r="O151" s="14"/>
      <c r="P151" s="14"/>
      <c r="Q151" s="14"/>
      <c r="R151" s="17"/>
    </row>
    <row r="152" spans="1:18">
      <c r="A152" s="2"/>
      <c r="B152" s="11" t="s">
        <v>25</v>
      </c>
      <c r="C152" s="4"/>
      <c r="D152" s="4"/>
      <c r="E152" s="4"/>
      <c r="F152" s="4"/>
      <c r="G152" s="18"/>
      <c r="H152" s="36">
        <v>0</v>
      </c>
      <c r="I152" s="20"/>
      <c r="J152" s="4" t="s">
        <v>26</v>
      </c>
      <c r="K152" s="4"/>
      <c r="L152" s="18"/>
      <c r="M152" s="19"/>
      <c r="N152" s="4"/>
      <c r="O152" s="4"/>
      <c r="P152" s="4"/>
      <c r="Q152" s="4"/>
      <c r="R152" s="20"/>
    </row>
    <row r="153" spans="1:18">
      <c r="A153" s="23"/>
      <c r="B153" s="11" t="s">
        <v>14</v>
      </c>
      <c r="C153" s="4"/>
      <c r="D153" s="4"/>
      <c r="E153" s="4"/>
      <c r="F153" s="4"/>
      <c r="G153" s="18"/>
      <c r="H153" s="36">
        <f>SUM(H151:H152)</f>
        <v>48881.320200000002</v>
      </c>
      <c r="I153" s="20"/>
      <c r="J153" s="741"/>
      <c r="K153" s="742"/>
      <c r="L153" s="742"/>
      <c r="M153" s="742"/>
      <c r="N153" s="742"/>
      <c r="O153" s="742"/>
      <c r="P153" s="742"/>
      <c r="Q153" s="742"/>
      <c r="R153" s="743"/>
    </row>
    <row r="154" spans="1:18">
      <c r="A154" s="23"/>
      <c r="B154" s="11" t="s">
        <v>24</v>
      </c>
      <c r="C154" s="4"/>
      <c r="D154" s="4"/>
      <c r="E154" s="4"/>
      <c r="F154" s="4"/>
      <c r="G154" s="18"/>
      <c r="H154" s="36">
        <f>H153*15%</f>
        <v>7332.1980300000005</v>
      </c>
      <c r="I154" s="20"/>
      <c r="J154" s="744"/>
      <c r="K154" s="745"/>
      <c r="L154" s="745"/>
      <c r="M154" s="745"/>
      <c r="N154" s="745"/>
      <c r="O154" s="745"/>
      <c r="P154" s="745"/>
      <c r="Q154" s="745"/>
      <c r="R154" s="746"/>
    </row>
    <row r="155" spans="1:18">
      <c r="A155" s="23"/>
      <c r="B155" s="11" t="s">
        <v>15</v>
      </c>
      <c r="C155" s="4"/>
      <c r="D155" s="4"/>
      <c r="E155" s="4"/>
      <c r="F155" s="4"/>
      <c r="G155" s="21" t="s">
        <v>16</v>
      </c>
      <c r="H155" s="37">
        <f>H154+H153</f>
        <v>56213.518230000001</v>
      </c>
      <c r="I155" s="38" t="str">
        <f>CONCATENATE("per ",C144, C145)</f>
        <v>per 100sqm</v>
      </c>
      <c r="J155" s="744"/>
      <c r="K155" s="745"/>
      <c r="L155" s="745"/>
      <c r="M155" s="745"/>
      <c r="N155" s="745"/>
      <c r="O155" s="745"/>
      <c r="P155" s="745"/>
      <c r="Q155" s="745"/>
      <c r="R155" s="746"/>
    </row>
    <row r="156" spans="1:18">
      <c r="A156" s="23"/>
      <c r="B156" s="11"/>
      <c r="C156" s="4"/>
      <c r="D156" s="4"/>
      <c r="E156" s="4"/>
      <c r="F156" s="4"/>
      <c r="G156" s="21" t="s">
        <v>16</v>
      </c>
      <c r="H156" s="37">
        <f>H155/C144</f>
        <v>562.1351823</v>
      </c>
      <c r="I156" s="38" t="str">
        <f>CONCATENATE("per ",C145)</f>
        <v>per sqm</v>
      </c>
      <c r="J156" s="744"/>
      <c r="K156" s="745"/>
      <c r="L156" s="745"/>
      <c r="M156" s="745"/>
      <c r="N156" s="745"/>
      <c r="O156" s="745"/>
      <c r="P156" s="745"/>
      <c r="Q156" s="745"/>
      <c r="R156" s="746"/>
    </row>
    <row r="157" spans="1:18">
      <c r="A157" s="23"/>
      <c r="B157" s="11" t="s">
        <v>18</v>
      </c>
      <c r="C157" s="4" t="s">
        <v>19</v>
      </c>
      <c r="D157" s="4"/>
      <c r="E157" s="4"/>
      <c r="F157" s="4"/>
      <c r="G157" s="21" t="s">
        <v>16</v>
      </c>
      <c r="H157" s="37">
        <f>CEILING(H156,0.5)</f>
        <v>562.5</v>
      </c>
      <c r="I157" s="38" t="str">
        <f>CONCATENATE("per ",C145)</f>
        <v>per sqm</v>
      </c>
      <c r="J157" s="744"/>
      <c r="K157" s="745"/>
      <c r="L157" s="745"/>
      <c r="M157" s="745"/>
      <c r="N157" s="745"/>
      <c r="O157" s="745"/>
      <c r="P157" s="745"/>
      <c r="Q157" s="745"/>
      <c r="R157" s="746"/>
    </row>
    <row r="158" spans="1:18">
      <c r="A158" s="23"/>
      <c r="B158" s="11"/>
      <c r="C158" s="4"/>
      <c r="D158" s="4"/>
      <c r="E158" s="4"/>
      <c r="F158" s="4"/>
      <c r="G158" s="24" t="s">
        <v>17</v>
      </c>
      <c r="H158" s="37">
        <f>H157/exr</f>
        <v>4.3269230769230766</v>
      </c>
      <c r="I158" s="38" t="str">
        <f>CONCATENATE("per ",C145)</f>
        <v>per sqm</v>
      </c>
      <c r="J158" s="747"/>
      <c r="K158" s="748"/>
      <c r="L158" s="748"/>
      <c r="M158" s="748"/>
      <c r="N158" s="748"/>
      <c r="O158" s="748"/>
      <c r="P158" s="748"/>
      <c r="Q158" s="748"/>
      <c r="R158" s="749"/>
    </row>
    <row r="159" spans="1:18">
      <c r="A159" s="39"/>
      <c r="B159" s="40"/>
      <c r="C159" s="41"/>
      <c r="D159" s="41"/>
      <c r="E159" s="41"/>
      <c r="F159" s="41"/>
      <c r="G159" s="149" t="s">
        <v>460</v>
      </c>
      <c r="H159" s="150">
        <f>CEILING(SUM(M145)/H151,0.0025)</f>
        <v>0.28750000000000003</v>
      </c>
      <c r="I159" s="42"/>
      <c r="J159" s="43"/>
      <c r="K159" s="43"/>
      <c r="L159" s="43"/>
      <c r="M159" s="43"/>
      <c r="N159" s="43"/>
      <c r="O159" s="43"/>
      <c r="P159" s="43"/>
      <c r="Q159" s="43"/>
      <c r="R159" s="44"/>
    </row>
  </sheetData>
  <mergeCells count="72">
    <mergeCell ref="B144:B148"/>
    <mergeCell ref="I150:J150"/>
    <mergeCell ref="J153:R158"/>
    <mergeCell ref="B124:B128"/>
    <mergeCell ref="I130:J130"/>
    <mergeCell ref="J133:R138"/>
    <mergeCell ref="N141:R141"/>
    <mergeCell ref="A141:A142"/>
    <mergeCell ref="B141:B142"/>
    <mergeCell ref="C141:C142"/>
    <mergeCell ref="D141:H141"/>
    <mergeCell ref="I141:M141"/>
    <mergeCell ref="I110:J110"/>
    <mergeCell ref="J113:R118"/>
    <mergeCell ref="A121:A122"/>
    <mergeCell ref="B121:B122"/>
    <mergeCell ref="C121:C122"/>
    <mergeCell ref="D121:H121"/>
    <mergeCell ref="I121:M121"/>
    <mergeCell ref="N121:R121"/>
    <mergeCell ref="J93:R98"/>
    <mergeCell ref="A101:A102"/>
    <mergeCell ref="B101:B102"/>
    <mergeCell ref="C101:C102"/>
    <mergeCell ref="D101:H101"/>
    <mergeCell ref="I101:M101"/>
    <mergeCell ref="N101:R101"/>
    <mergeCell ref="A81:A82"/>
    <mergeCell ref="B81:B82"/>
    <mergeCell ref="C81:C82"/>
    <mergeCell ref="D81:H81"/>
    <mergeCell ref="I81:M81"/>
    <mergeCell ref="A61:A62"/>
    <mergeCell ref="B61:B62"/>
    <mergeCell ref="C61:C62"/>
    <mergeCell ref="D61:H61"/>
    <mergeCell ref="I61:M61"/>
    <mergeCell ref="A41:A42"/>
    <mergeCell ref="B41:B42"/>
    <mergeCell ref="C41:C42"/>
    <mergeCell ref="D41:H41"/>
    <mergeCell ref="I41:M41"/>
    <mergeCell ref="A21:A22"/>
    <mergeCell ref="B21:B22"/>
    <mergeCell ref="C21:C22"/>
    <mergeCell ref="D21:H21"/>
    <mergeCell ref="I21:M21"/>
    <mergeCell ref="N21:R21"/>
    <mergeCell ref="B24:B28"/>
    <mergeCell ref="B104:B108"/>
    <mergeCell ref="B84:B88"/>
    <mergeCell ref="B64:B68"/>
    <mergeCell ref="B44:B48"/>
    <mergeCell ref="I30:J30"/>
    <mergeCell ref="J33:R38"/>
    <mergeCell ref="N41:R41"/>
    <mergeCell ref="I50:J50"/>
    <mergeCell ref="J53:R58"/>
    <mergeCell ref="N61:R61"/>
    <mergeCell ref="I70:J70"/>
    <mergeCell ref="J73:R78"/>
    <mergeCell ref="N81:R81"/>
    <mergeCell ref="I90:J90"/>
    <mergeCell ref="B4:B8"/>
    <mergeCell ref="I10:J10"/>
    <mergeCell ref="J13:R18"/>
    <mergeCell ref="A1:A2"/>
    <mergeCell ref="B1:B2"/>
    <mergeCell ref="C1:C2"/>
    <mergeCell ref="D1:H1"/>
    <mergeCell ref="I1:M1"/>
    <mergeCell ref="N1:R1"/>
  </mergeCells>
  <printOptions horizontalCentered="1"/>
  <pageMargins left="0.7" right="0.7" top="0.75" bottom="0.75" header="0.3" footer="0.3"/>
  <pageSetup paperSize="9" scale="66"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3" manualBreakCount="3">
    <brk id="40" max="16383" man="1"/>
    <brk id="80" max="16383" man="1"/>
    <brk id="120" max="16383" man="1"/>
  </row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216"/>
  <sheetViews>
    <sheetView workbookViewId="0">
      <selection sqref="A1:A2"/>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140625" style="1"/>
    <col min="8" max="8" width="10.7109375" style="1" customWidth="1"/>
    <col min="9" max="9" width="18.42578125" style="1" customWidth="1"/>
    <col min="10" max="10" width="5.28515625" style="1" customWidth="1"/>
    <col min="11" max="12" width="9.140625" style="1"/>
    <col min="13" max="13" width="10.7109375" style="1" customWidth="1"/>
    <col min="14" max="14" width="16.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312</v>
      </c>
      <c r="C3" s="65"/>
      <c r="D3" s="31"/>
      <c r="E3" s="31"/>
      <c r="F3" s="31"/>
      <c r="G3" s="31"/>
      <c r="H3" s="31"/>
      <c r="I3" s="31"/>
      <c r="J3" s="31"/>
      <c r="K3" s="31"/>
      <c r="L3" s="31"/>
      <c r="M3" s="31"/>
      <c r="N3" s="31"/>
      <c r="O3" s="31"/>
      <c r="P3" s="31"/>
      <c r="Q3" s="31"/>
      <c r="R3" s="32"/>
    </row>
    <row r="4" spans="1:18" ht="15.75" customHeight="1">
      <c r="A4" s="34">
        <v>1</v>
      </c>
      <c r="B4" s="713" t="s">
        <v>313</v>
      </c>
      <c r="C4" s="66" t="s">
        <v>11</v>
      </c>
      <c r="D4" s="4"/>
      <c r="E4" s="6"/>
      <c r="F4" s="29"/>
      <c r="G4" s="26"/>
      <c r="H4" s="26"/>
      <c r="I4" s="6"/>
      <c r="J4" s="6"/>
      <c r="K4" s="29"/>
      <c r="L4" s="26"/>
      <c r="M4" s="26"/>
      <c r="N4" s="6"/>
      <c r="O4" s="6"/>
      <c r="P4" s="29"/>
      <c r="Q4" s="26"/>
      <c r="R4" s="26"/>
    </row>
    <row r="5" spans="1:18">
      <c r="A5" s="2"/>
      <c r="B5" s="714"/>
      <c r="C5" s="66"/>
      <c r="D5" s="4" t="s">
        <v>251</v>
      </c>
      <c r="E5" s="6" t="s">
        <v>81</v>
      </c>
      <c r="F5" s="29">
        <v>1.25</v>
      </c>
      <c r="G5" s="26">
        <f>sr</f>
        <v>1100</v>
      </c>
      <c r="H5" s="26">
        <f>F5*G5</f>
        <v>1375</v>
      </c>
      <c r="I5" s="7" t="s">
        <v>314</v>
      </c>
      <c r="J5" s="8" t="s">
        <v>11</v>
      </c>
      <c r="K5" s="88">
        <v>1</v>
      </c>
      <c r="L5" s="28">
        <f>Block_Stone</f>
        <v>1350</v>
      </c>
      <c r="M5" s="26">
        <f>K5*L5</f>
        <v>1350</v>
      </c>
      <c r="N5" s="8" t="s">
        <v>294</v>
      </c>
      <c r="O5" s="6"/>
      <c r="P5" s="29"/>
      <c r="Q5" s="28"/>
      <c r="R5" s="26">
        <f>3%*H12</f>
        <v>92.25</v>
      </c>
    </row>
    <row r="6" spans="1:18">
      <c r="A6" s="2"/>
      <c r="B6" s="714"/>
      <c r="C6" s="66"/>
      <c r="D6" s="4" t="s">
        <v>97</v>
      </c>
      <c r="E6" s="6" t="s">
        <v>81</v>
      </c>
      <c r="F6" s="29">
        <v>2</v>
      </c>
      <c r="G6" s="26">
        <f>ur</f>
        <v>850</v>
      </c>
      <c r="H6" s="26">
        <f>F6*G6</f>
        <v>1700</v>
      </c>
      <c r="I6" s="7" t="s">
        <v>315</v>
      </c>
      <c r="J6" s="8" t="s">
        <v>11</v>
      </c>
      <c r="K6" s="88">
        <v>0.15</v>
      </c>
      <c r="L6" s="28">
        <f>Bond_Stone</f>
        <v>1450</v>
      </c>
      <c r="M6" s="26">
        <f>K6*L6</f>
        <v>217.5</v>
      </c>
      <c r="N6" s="8"/>
      <c r="O6" s="6"/>
      <c r="P6" s="29"/>
      <c r="Q6" s="28"/>
      <c r="R6" s="26"/>
    </row>
    <row r="7" spans="1:18">
      <c r="A7" s="2"/>
      <c r="B7" s="714"/>
      <c r="C7" s="66"/>
      <c r="D7" s="4"/>
      <c r="E7" s="6"/>
      <c r="F7" s="29"/>
      <c r="G7" s="26"/>
      <c r="H7" s="26"/>
      <c r="I7" s="7"/>
      <c r="J7" s="8"/>
      <c r="K7" s="88"/>
      <c r="L7" s="28"/>
      <c r="M7" s="26"/>
      <c r="N7" s="8"/>
      <c r="O7" s="6"/>
      <c r="P7" s="29"/>
      <c r="Q7" s="28"/>
      <c r="R7" s="28"/>
    </row>
    <row r="8" spans="1:18">
      <c r="A8" s="2"/>
      <c r="B8" s="714"/>
      <c r="C8" s="66"/>
      <c r="D8" s="4"/>
      <c r="E8" s="6"/>
      <c r="F8" s="29"/>
      <c r="G8" s="26"/>
      <c r="H8" s="26"/>
      <c r="I8" s="7"/>
      <c r="J8" s="8"/>
      <c r="K8" s="88"/>
      <c r="L8" s="28"/>
      <c r="M8" s="26"/>
      <c r="N8" s="8"/>
      <c r="O8" s="6"/>
      <c r="P8" s="29"/>
      <c r="Q8" s="28"/>
      <c r="R8" s="28"/>
    </row>
    <row r="9" spans="1:18">
      <c r="A9" s="2"/>
      <c r="B9" s="126"/>
      <c r="C9" s="66"/>
      <c r="D9" s="4"/>
      <c r="E9" s="6"/>
      <c r="F9" s="29"/>
      <c r="G9" s="26"/>
      <c r="H9" s="26"/>
      <c r="I9" s="7"/>
      <c r="J9" s="8"/>
      <c r="K9" s="88"/>
      <c r="L9" s="28"/>
      <c r="M9" s="26"/>
      <c r="N9" s="8"/>
      <c r="O9" s="6"/>
      <c r="P9" s="29"/>
      <c r="Q9" s="28"/>
      <c r="R9" s="28"/>
    </row>
    <row r="10" spans="1:18">
      <c r="A10" s="2"/>
      <c r="B10" s="126"/>
      <c r="C10" s="66"/>
      <c r="D10" s="4"/>
      <c r="E10" s="6"/>
      <c r="F10" s="29"/>
      <c r="G10" s="26"/>
      <c r="H10" s="26"/>
      <c r="I10" s="7"/>
      <c r="J10" s="8"/>
      <c r="K10" s="29"/>
      <c r="L10" s="28"/>
      <c r="M10" s="26"/>
      <c r="N10" s="8"/>
      <c r="O10" s="6"/>
      <c r="P10" s="29"/>
      <c r="Q10" s="28"/>
      <c r="R10" s="28"/>
    </row>
    <row r="11" spans="1:18">
      <c r="A11" s="2"/>
      <c r="B11" s="5"/>
      <c r="C11" s="66"/>
      <c r="D11" s="4"/>
      <c r="E11" s="9"/>
      <c r="F11" s="30"/>
      <c r="G11" s="27"/>
      <c r="H11" s="27"/>
      <c r="I11" s="9"/>
      <c r="J11" s="10"/>
      <c r="K11" s="30"/>
      <c r="L11" s="28"/>
      <c r="M11" s="28"/>
      <c r="N11" s="8"/>
      <c r="O11" s="6"/>
      <c r="P11" s="30"/>
      <c r="Q11" s="28"/>
      <c r="R11" s="28"/>
    </row>
    <row r="12" spans="1:18">
      <c r="A12" s="2"/>
      <c r="B12" s="11"/>
      <c r="C12" s="66"/>
      <c r="D12" s="12"/>
      <c r="E12" s="59"/>
      <c r="F12" s="13"/>
      <c r="G12" s="13" t="s">
        <v>20</v>
      </c>
      <c r="H12" s="25">
        <f>SUM(H4:H11)</f>
        <v>3075</v>
      </c>
      <c r="I12" s="703"/>
      <c r="J12" s="703"/>
      <c r="K12" s="14"/>
      <c r="L12" s="13" t="s">
        <v>21</v>
      </c>
      <c r="M12" s="25">
        <f>SUM(M4:M11)</f>
        <v>1567.5</v>
      </c>
      <c r="N12" s="3"/>
      <c r="O12" s="14"/>
      <c r="P12" s="14"/>
      <c r="Q12" s="13" t="s">
        <v>22</v>
      </c>
      <c r="R12" s="25">
        <f>SUM(R4:R11)</f>
        <v>92.25</v>
      </c>
    </row>
    <row r="13" spans="1:18">
      <c r="A13" s="2"/>
      <c r="B13" s="16" t="s">
        <v>13</v>
      </c>
      <c r="C13" s="67"/>
      <c r="D13" s="14"/>
      <c r="E13" s="14"/>
      <c r="F13" s="14"/>
      <c r="G13" s="13"/>
      <c r="H13" s="35">
        <f>M12+R12+H12</f>
        <v>4734.75</v>
      </c>
      <c r="I13" s="17"/>
      <c r="J13" s="14"/>
      <c r="K13" s="14"/>
      <c r="L13" s="13"/>
      <c r="M13" s="15"/>
      <c r="N13" s="14"/>
      <c r="O13" s="14"/>
      <c r="P13" s="14"/>
      <c r="Q13" s="14"/>
      <c r="R13" s="17"/>
    </row>
    <row r="14" spans="1:18">
      <c r="A14" s="2"/>
      <c r="B14" s="11" t="s">
        <v>25</v>
      </c>
      <c r="C14" s="68"/>
      <c r="D14" s="4"/>
      <c r="E14" s="4"/>
      <c r="F14" s="4"/>
      <c r="G14" s="18"/>
      <c r="H14" s="36">
        <v>0</v>
      </c>
      <c r="I14" s="20"/>
      <c r="J14" s="4" t="s">
        <v>26</v>
      </c>
      <c r="K14" s="4"/>
      <c r="L14" s="18"/>
      <c r="M14" s="19"/>
      <c r="N14" s="4"/>
      <c r="O14" s="4"/>
      <c r="P14" s="4"/>
      <c r="Q14" s="4"/>
      <c r="R14" s="20"/>
    </row>
    <row r="15" spans="1:18">
      <c r="A15" s="23"/>
      <c r="B15" s="11" t="s">
        <v>14</v>
      </c>
      <c r="C15" s="68"/>
      <c r="D15" s="4"/>
      <c r="E15" s="4"/>
      <c r="F15" s="4"/>
      <c r="G15" s="18"/>
      <c r="H15" s="36">
        <f>SUM(H13:H14)</f>
        <v>4734.75</v>
      </c>
      <c r="I15" s="20"/>
      <c r="J15" s="704"/>
      <c r="K15" s="705"/>
      <c r="L15" s="705"/>
      <c r="M15" s="705"/>
      <c r="N15" s="705"/>
      <c r="O15" s="705"/>
      <c r="P15" s="705"/>
      <c r="Q15" s="705"/>
      <c r="R15" s="706"/>
    </row>
    <row r="16" spans="1:18">
      <c r="A16" s="23"/>
      <c r="B16" s="11" t="s">
        <v>24</v>
      </c>
      <c r="C16" s="68"/>
      <c r="D16" s="4"/>
      <c r="E16" s="4"/>
      <c r="F16" s="4"/>
      <c r="G16" s="18"/>
      <c r="H16" s="36">
        <f>H15*15%</f>
        <v>710.21249999999998</v>
      </c>
      <c r="I16" s="20"/>
      <c r="J16" s="707"/>
      <c r="K16" s="708"/>
      <c r="L16" s="708"/>
      <c r="M16" s="708"/>
      <c r="N16" s="708"/>
      <c r="O16" s="708"/>
      <c r="P16" s="708"/>
      <c r="Q16" s="708"/>
      <c r="R16" s="709"/>
    </row>
    <row r="17" spans="1:18">
      <c r="A17" s="23"/>
      <c r="B17" s="11" t="s">
        <v>15</v>
      </c>
      <c r="C17" s="68"/>
      <c r="D17" s="4"/>
      <c r="E17" s="4"/>
      <c r="F17" s="4"/>
      <c r="G17" s="21" t="s">
        <v>16</v>
      </c>
      <c r="H17" s="37">
        <f>H16+H15</f>
        <v>5444.9624999999996</v>
      </c>
      <c r="I17" s="38" t="str">
        <f>CONCATENATE("per ",C4)</f>
        <v>per cum</v>
      </c>
      <c r="J17" s="707"/>
      <c r="K17" s="708"/>
      <c r="L17" s="708"/>
      <c r="M17" s="708"/>
      <c r="N17" s="708"/>
      <c r="O17" s="708"/>
      <c r="P17" s="708"/>
      <c r="Q17" s="708"/>
      <c r="R17" s="709"/>
    </row>
    <row r="18" spans="1:18">
      <c r="A18" s="23"/>
      <c r="B18" s="11" t="s">
        <v>18</v>
      </c>
      <c r="C18" s="125" t="s">
        <v>19</v>
      </c>
      <c r="D18" s="4"/>
      <c r="E18" s="4"/>
      <c r="F18" s="4"/>
      <c r="G18" s="21" t="s">
        <v>16</v>
      </c>
      <c r="H18" s="37">
        <f>CEILING(H17,0.5)</f>
        <v>5445</v>
      </c>
      <c r="I18" s="38" t="str">
        <f>CONCATENATE("per ",C4)</f>
        <v>per cum</v>
      </c>
      <c r="J18" s="707"/>
      <c r="K18" s="708"/>
      <c r="L18" s="708"/>
      <c r="M18" s="708"/>
      <c r="N18" s="708"/>
      <c r="O18" s="708"/>
      <c r="P18" s="708"/>
      <c r="Q18" s="708"/>
      <c r="R18" s="709"/>
    </row>
    <row r="19" spans="1:18">
      <c r="A19" s="23"/>
      <c r="B19" s="11"/>
      <c r="C19" s="68"/>
      <c r="D19" s="4"/>
      <c r="E19" s="4"/>
      <c r="F19" s="4"/>
      <c r="G19" s="24" t="s">
        <v>17</v>
      </c>
      <c r="H19" s="37">
        <f>H18/exr</f>
        <v>41.884615384615387</v>
      </c>
      <c r="I19" s="38" t="str">
        <f>CONCATENATE("per ",C4)</f>
        <v>per cum</v>
      </c>
      <c r="J19" s="710"/>
      <c r="K19" s="711"/>
      <c r="L19" s="711"/>
      <c r="M19" s="711"/>
      <c r="N19" s="711"/>
      <c r="O19" s="711"/>
      <c r="P19" s="711"/>
      <c r="Q19" s="711"/>
      <c r="R19" s="712"/>
    </row>
    <row r="20" spans="1:18">
      <c r="A20" s="39"/>
      <c r="B20" s="40"/>
      <c r="C20" s="69"/>
      <c r="D20" s="41"/>
      <c r="E20" s="41"/>
      <c r="F20" s="41"/>
      <c r="G20" s="149" t="s">
        <v>460</v>
      </c>
      <c r="H20" s="150">
        <f>CEILING(0,0.0025)</f>
        <v>0</v>
      </c>
      <c r="I20" s="42"/>
      <c r="J20" s="43"/>
      <c r="K20" s="43"/>
      <c r="L20" s="43"/>
      <c r="M20" s="43"/>
      <c r="N20" s="43"/>
      <c r="O20" s="43"/>
      <c r="P20" s="43"/>
      <c r="Q20" s="43"/>
      <c r="R20" s="44"/>
    </row>
    <row r="21" spans="1:18">
      <c r="A21" s="22"/>
      <c r="B21" s="22"/>
      <c r="C21" s="70"/>
      <c r="D21" s="22"/>
      <c r="E21" s="22"/>
      <c r="F21" s="22"/>
      <c r="G21" s="22"/>
      <c r="H21" s="22"/>
      <c r="I21" s="22"/>
      <c r="J21" s="22"/>
      <c r="K21" s="22"/>
      <c r="L21" s="22"/>
      <c r="M21" s="22"/>
      <c r="N21" s="22"/>
      <c r="O21" s="22"/>
      <c r="P21" s="22"/>
      <c r="Q21" s="22"/>
      <c r="R21" s="22"/>
    </row>
    <row r="22" spans="1:18">
      <c r="A22" s="693" t="s">
        <v>0</v>
      </c>
      <c r="B22" s="695" t="s">
        <v>1</v>
      </c>
      <c r="C22" s="695" t="s">
        <v>2</v>
      </c>
      <c r="D22" s="697" t="s">
        <v>3</v>
      </c>
      <c r="E22" s="698"/>
      <c r="F22" s="698"/>
      <c r="G22" s="698"/>
      <c r="H22" s="698"/>
      <c r="I22" s="699" t="s">
        <v>4</v>
      </c>
      <c r="J22" s="700"/>
      <c r="K22" s="700"/>
      <c r="L22" s="700"/>
      <c r="M22" s="700"/>
      <c r="N22" s="698" t="s">
        <v>5</v>
      </c>
      <c r="O22" s="698"/>
      <c r="P22" s="698"/>
      <c r="Q22" s="698"/>
      <c r="R22" s="698"/>
    </row>
    <row r="23" spans="1:18">
      <c r="A23" s="694"/>
      <c r="B23" s="696"/>
      <c r="C23" s="696"/>
      <c r="D23" s="45" t="s">
        <v>6</v>
      </c>
      <c r="E23" s="46" t="s">
        <v>2</v>
      </c>
      <c r="F23" s="46" t="s">
        <v>7</v>
      </c>
      <c r="G23" s="46" t="s">
        <v>8</v>
      </c>
      <c r="H23" s="46" t="s">
        <v>9</v>
      </c>
      <c r="I23" s="46" t="s">
        <v>10</v>
      </c>
      <c r="J23" s="46" t="s">
        <v>2</v>
      </c>
      <c r="K23" s="46" t="s">
        <v>7</v>
      </c>
      <c r="L23" s="46" t="s">
        <v>8</v>
      </c>
      <c r="M23" s="47" t="s">
        <v>9</v>
      </c>
      <c r="N23" s="46" t="s">
        <v>10</v>
      </c>
      <c r="O23" s="46" t="s">
        <v>2</v>
      </c>
      <c r="P23" s="46" t="s">
        <v>7</v>
      </c>
      <c r="Q23" s="46" t="s">
        <v>8</v>
      </c>
      <c r="R23" s="46" t="s">
        <v>9</v>
      </c>
    </row>
    <row r="24" spans="1:18">
      <c r="A24" s="33" t="s">
        <v>23</v>
      </c>
      <c r="B24" s="73" t="s">
        <v>327</v>
      </c>
      <c r="C24" s="65"/>
      <c r="D24" s="31"/>
      <c r="E24" s="31"/>
      <c r="F24" s="31"/>
      <c r="G24" s="31"/>
      <c r="H24" s="31"/>
      <c r="I24" s="31"/>
      <c r="J24" s="31"/>
      <c r="K24" s="31"/>
      <c r="L24" s="31"/>
      <c r="M24" s="31"/>
      <c r="N24" s="31"/>
      <c r="O24" s="31"/>
      <c r="P24" s="31"/>
      <c r="Q24" s="31"/>
      <c r="R24" s="32"/>
    </row>
    <row r="25" spans="1:18">
      <c r="A25" s="34">
        <f>A4+1</f>
        <v>2</v>
      </c>
      <c r="B25" s="713" t="s">
        <v>328</v>
      </c>
      <c r="C25" s="66" t="s">
        <v>11</v>
      </c>
      <c r="D25" s="4"/>
      <c r="E25" s="6"/>
      <c r="F25" s="29"/>
      <c r="G25" s="26"/>
      <c r="H25" s="26"/>
      <c r="I25" s="6"/>
      <c r="J25" s="6"/>
      <c r="K25" s="29"/>
      <c r="L25" s="26"/>
      <c r="M25" s="26"/>
      <c r="N25" s="6"/>
      <c r="O25" s="6"/>
      <c r="P25" s="29"/>
      <c r="Q25" s="26"/>
      <c r="R25" s="26"/>
    </row>
    <row r="26" spans="1:18">
      <c r="A26" s="2"/>
      <c r="B26" s="714"/>
      <c r="C26" s="66"/>
      <c r="D26" s="4" t="s">
        <v>251</v>
      </c>
      <c r="E26" s="6" t="s">
        <v>81</v>
      </c>
      <c r="F26" s="29">
        <v>1.5</v>
      </c>
      <c r="G26" s="26">
        <f>sr</f>
        <v>1100</v>
      </c>
      <c r="H26" s="26">
        <f>F26*G26</f>
        <v>1650</v>
      </c>
      <c r="I26" s="7" t="s">
        <v>31</v>
      </c>
      <c r="J26" s="8" t="s">
        <v>32</v>
      </c>
      <c r="K26" s="88">
        <v>0.19</v>
      </c>
      <c r="L26" s="28">
        <f>cement</f>
        <v>24049.69</v>
      </c>
      <c r="M26" s="26">
        <f t="shared" ref="M26:M31" si="0">K26*L26</f>
        <v>4569.4411</v>
      </c>
      <c r="N26" s="8" t="s">
        <v>287</v>
      </c>
      <c r="O26" s="6" t="s">
        <v>101</v>
      </c>
      <c r="P26" s="29">
        <v>0.15</v>
      </c>
      <c r="Q26" s="28">
        <f>mixer</f>
        <v>216.32</v>
      </c>
      <c r="R26" s="26">
        <f>P26*Q26</f>
        <v>32.448</v>
      </c>
    </row>
    <row r="27" spans="1:18">
      <c r="A27" s="2"/>
      <c r="B27" s="714"/>
      <c r="C27" s="66"/>
      <c r="D27" s="4" t="s">
        <v>97</v>
      </c>
      <c r="E27" s="6" t="s">
        <v>81</v>
      </c>
      <c r="F27" s="29">
        <v>3.5</v>
      </c>
      <c r="G27" s="26">
        <f>ur</f>
        <v>850</v>
      </c>
      <c r="H27" s="26">
        <f>F27*G27</f>
        <v>2975</v>
      </c>
      <c r="I27" s="7" t="s">
        <v>286</v>
      </c>
      <c r="J27" s="8" t="s">
        <v>11</v>
      </c>
      <c r="K27" s="88">
        <v>0.4</v>
      </c>
      <c r="L27" s="28">
        <f>sand</f>
        <v>1050</v>
      </c>
      <c r="M27" s="26">
        <f t="shared" si="0"/>
        <v>420</v>
      </c>
      <c r="N27" s="8" t="s">
        <v>288</v>
      </c>
      <c r="O27" s="6"/>
      <c r="P27" s="29"/>
      <c r="Q27" s="28"/>
      <c r="R27" s="26"/>
    </row>
    <row r="28" spans="1:18">
      <c r="A28" s="2"/>
      <c r="B28" s="714"/>
      <c r="C28" s="66"/>
      <c r="D28" s="4"/>
      <c r="E28" s="6"/>
      <c r="F28" s="29"/>
      <c r="G28" s="26"/>
      <c r="H28" s="26"/>
      <c r="I28" s="7" t="s">
        <v>318</v>
      </c>
      <c r="J28" s="8" t="s">
        <v>11</v>
      </c>
      <c r="K28" s="88">
        <v>1</v>
      </c>
      <c r="L28" s="28">
        <f>Block_Stone</f>
        <v>1350</v>
      </c>
      <c r="M28" s="26">
        <f t="shared" si="0"/>
        <v>1350</v>
      </c>
      <c r="N28" s="8"/>
      <c r="O28" s="6"/>
      <c r="P28" s="29"/>
      <c r="Q28" s="28"/>
      <c r="R28" s="28"/>
    </row>
    <row r="29" spans="1:18">
      <c r="A29" s="2"/>
      <c r="B29" s="714"/>
      <c r="C29" s="66"/>
      <c r="D29" s="4"/>
      <c r="E29" s="6"/>
      <c r="F29" s="29"/>
      <c r="G29" s="26"/>
      <c r="H29" s="26"/>
      <c r="I29" s="7" t="s">
        <v>315</v>
      </c>
      <c r="J29" s="8" t="s">
        <v>11</v>
      </c>
      <c r="K29" s="88">
        <v>0.15</v>
      </c>
      <c r="L29" s="28">
        <f>Bond_Stone</f>
        <v>1450</v>
      </c>
      <c r="M29" s="26">
        <f t="shared" si="0"/>
        <v>217.5</v>
      </c>
      <c r="N29" s="8"/>
      <c r="O29" s="6"/>
      <c r="P29" s="29"/>
      <c r="Q29" s="28"/>
      <c r="R29" s="28"/>
    </row>
    <row r="30" spans="1:18">
      <c r="A30" s="2"/>
      <c r="B30" s="714"/>
      <c r="C30" s="66"/>
      <c r="D30" s="4"/>
      <c r="E30" s="6"/>
      <c r="F30" s="29"/>
      <c r="G30" s="26"/>
      <c r="H30" s="26"/>
      <c r="I30" s="7" t="s">
        <v>67</v>
      </c>
      <c r="J30" s="8" t="s">
        <v>250</v>
      </c>
      <c r="K30" s="88">
        <v>1</v>
      </c>
      <c r="L30" s="28">
        <f>diesel</f>
        <v>177.6</v>
      </c>
      <c r="M30" s="26">
        <f t="shared" si="0"/>
        <v>177.6</v>
      </c>
      <c r="N30" s="8"/>
      <c r="O30" s="6"/>
      <c r="P30" s="29"/>
      <c r="Q30" s="28"/>
      <c r="R30" s="28"/>
    </row>
    <row r="31" spans="1:18">
      <c r="A31" s="2"/>
      <c r="B31" s="126"/>
      <c r="C31" s="66"/>
      <c r="D31" s="4"/>
      <c r="E31" s="6"/>
      <c r="F31" s="29"/>
      <c r="G31" s="26"/>
      <c r="H31" s="26"/>
      <c r="I31" s="7" t="s">
        <v>215</v>
      </c>
      <c r="J31" s="8" t="s">
        <v>250</v>
      </c>
      <c r="K31" s="88">
        <v>120</v>
      </c>
      <c r="L31" s="28"/>
      <c r="M31" s="26">
        <f t="shared" si="0"/>
        <v>0</v>
      </c>
      <c r="N31" s="8"/>
      <c r="O31" s="6"/>
      <c r="P31" s="29"/>
      <c r="Q31" s="28"/>
      <c r="R31" s="28"/>
    </row>
    <row r="32" spans="1:18">
      <c r="A32" s="2"/>
      <c r="B32" s="126"/>
      <c r="C32" s="66"/>
      <c r="D32" s="4"/>
      <c r="E32" s="6"/>
      <c r="F32" s="29"/>
      <c r="G32" s="26"/>
      <c r="H32" s="26"/>
      <c r="I32" s="7"/>
      <c r="J32" s="8"/>
      <c r="K32" s="29"/>
      <c r="L32" s="28"/>
      <c r="M32" s="26"/>
      <c r="N32" s="8"/>
      <c r="O32" s="6"/>
      <c r="P32" s="29"/>
      <c r="Q32" s="28"/>
      <c r="R32" s="28"/>
    </row>
    <row r="33" spans="1:18">
      <c r="A33" s="2"/>
      <c r="B33" s="5"/>
      <c r="C33" s="66"/>
      <c r="D33" s="4"/>
      <c r="E33" s="9"/>
      <c r="F33" s="30"/>
      <c r="G33" s="27"/>
      <c r="H33" s="27"/>
      <c r="I33" s="9"/>
      <c r="J33" s="10"/>
      <c r="K33" s="30"/>
      <c r="L33" s="28"/>
      <c r="M33" s="28"/>
      <c r="N33" s="8"/>
      <c r="O33" s="6"/>
      <c r="P33" s="30"/>
      <c r="Q33" s="28"/>
      <c r="R33" s="28"/>
    </row>
    <row r="34" spans="1:18">
      <c r="A34" s="2"/>
      <c r="B34" s="11"/>
      <c r="C34" s="66"/>
      <c r="D34" s="12"/>
      <c r="E34" s="59"/>
      <c r="F34" s="13"/>
      <c r="G34" s="13" t="s">
        <v>20</v>
      </c>
      <c r="H34" s="25">
        <f>SUM(H25:H33)</f>
        <v>4625</v>
      </c>
      <c r="I34" s="703"/>
      <c r="J34" s="703"/>
      <c r="K34" s="14"/>
      <c r="L34" s="13" t="s">
        <v>21</v>
      </c>
      <c r="M34" s="25">
        <f>SUM(M25:M33)</f>
        <v>6734.5411000000004</v>
      </c>
      <c r="N34" s="3"/>
      <c r="O34" s="14"/>
      <c r="P34" s="14"/>
      <c r="Q34" s="13" t="s">
        <v>22</v>
      </c>
      <c r="R34" s="25">
        <f>SUM(R25:R33)</f>
        <v>32.448</v>
      </c>
    </row>
    <row r="35" spans="1:18">
      <c r="A35" s="2"/>
      <c r="B35" s="16" t="s">
        <v>13</v>
      </c>
      <c r="C35" s="67"/>
      <c r="D35" s="14"/>
      <c r="E35" s="14"/>
      <c r="F35" s="14"/>
      <c r="G35" s="13"/>
      <c r="H35" s="35">
        <f>M34+R34+H34</f>
        <v>11391.989100000001</v>
      </c>
      <c r="I35" s="17"/>
      <c r="J35" s="14"/>
      <c r="K35" s="14"/>
      <c r="L35" s="13"/>
      <c r="M35" s="15"/>
      <c r="N35" s="14"/>
      <c r="O35" s="14"/>
      <c r="P35" s="14"/>
      <c r="Q35" s="14"/>
      <c r="R35" s="17"/>
    </row>
    <row r="36" spans="1:18">
      <c r="A36" s="2"/>
      <c r="B36" s="11" t="s">
        <v>25</v>
      </c>
      <c r="C36" s="68"/>
      <c r="D36" s="4"/>
      <c r="E36" s="4"/>
      <c r="F36" s="4"/>
      <c r="G36" s="18"/>
      <c r="H36" s="36">
        <v>0</v>
      </c>
      <c r="I36" s="20"/>
      <c r="J36" s="4" t="s">
        <v>26</v>
      </c>
      <c r="K36" s="4"/>
      <c r="L36" s="18"/>
      <c r="M36" s="19"/>
      <c r="N36" s="4"/>
      <c r="O36" s="4"/>
      <c r="P36" s="4"/>
      <c r="Q36" s="4"/>
      <c r="R36" s="20"/>
    </row>
    <row r="37" spans="1:18">
      <c r="A37" s="23"/>
      <c r="B37" s="11" t="s">
        <v>14</v>
      </c>
      <c r="C37" s="68"/>
      <c r="D37" s="4"/>
      <c r="E37" s="4"/>
      <c r="F37" s="4"/>
      <c r="G37" s="18"/>
      <c r="H37" s="36">
        <f>SUM(H35:H36)</f>
        <v>11391.989100000001</v>
      </c>
      <c r="I37" s="20"/>
      <c r="J37" s="704"/>
      <c r="K37" s="705"/>
      <c r="L37" s="705"/>
      <c r="M37" s="705"/>
      <c r="N37" s="705"/>
      <c r="O37" s="705"/>
      <c r="P37" s="705"/>
      <c r="Q37" s="705"/>
      <c r="R37" s="706"/>
    </row>
    <row r="38" spans="1:18">
      <c r="A38" s="23"/>
      <c r="B38" s="11" t="s">
        <v>24</v>
      </c>
      <c r="C38" s="68"/>
      <c r="D38" s="4"/>
      <c r="E38" s="4"/>
      <c r="F38" s="4"/>
      <c r="G38" s="18"/>
      <c r="H38" s="36">
        <f>H37*15%</f>
        <v>1708.7983650000001</v>
      </c>
      <c r="I38" s="20"/>
      <c r="J38" s="707"/>
      <c r="K38" s="708"/>
      <c r="L38" s="708"/>
      <c r="M38" s="708"/>
      <c r="N38" s="708"/>
      <c r="O38" s="708"/>
      <c r="P38" s="708"/>
      <c r="Q38" s="708"/>
      <c r="R38" s="709"/>
    </row>
    <row r="39" spans="1:18">
      <c r="A39" s="23"/>
      <c r="B39" s="11" t="s">
        <v>15</v>
      </c>
      <c r="C39" s="68"/>
      <c r="D39" s="4"/>
      <c r="E39" s="4"/>
      <c r="F39" s="4"/>
      <c r="G39" s="21" t="s">
        <v>16</v>
      </c>
      <c r="H39" s="37">
        <f>H38+H37</f>
        <v>13100.787465000001</v>
      </c>
      <c r="I39" s="38" t="str">
        <f>CONCATENATE("per ",C25)</f>
        <v>per cum</v>
      </c>
      <c r="J39" s="707"/>
      <c r="K39" s="708"/>
      <c r="L39" s="708"/>
      <c r="M39" s="708"/>
      <c r="N39" s="708"/>
      <c r="O39" s="708"/>
      <c r="P39" s="708"/>
      <c r="Q39" s="708"/>
      <c r="R39" s="709"/>
    </row>
    <row r="40" spans="1:18">
      <c r="A40" s="23"/>
      <c r="B40" s="11" t="s">
        <v>18</v>
      </c>
      <c r="C40" s="125" t="s">
        <v>19</v>
      </c>
      <c r="D40" s="4"/>
      <c r="E40" s="4"/>
      <c r="F40" s="4"/>
      <c r="G40" s="21" t="s">
        <v>16</v>
      </c>
      <c r="H40" s="37">
        <f>CEILING(H39,0.5)</f>
        <v>13101</v>
      </c>
      <c r="I40" s="38" t="str">
        <f>CONCATENATE("per ",C25)</f>
        <v>per cum</v>
      </c>
      <c r="J40" s="707"/>
      <c r="K40" s="708"/>
      <c r="L40" s="708"/>
      <c r="M40" s="708"/>
      <c r="N40" s="708"/>
      <c r="O40" s="708"/>
      <c r="P40" s="708"/>
      <c r="Q40" s="708"/>
      <c r="R40" s="709"/>
    </row>
    <row r="41" spans="1:18">
      <c r="A41" s="23"/>
      <c r="B41" s="11"/>
      <c r="C41" s="68"/>
      <c r="D41" s="4"/>
      <c r="E41" s="4"/>
      <c r="F41" s="4"/>
      <c r="G41" s="24" t="s">
        <v>17</v>
      </c>
      <c r="H41" s="37">
        <f>H40/exr</f>
        <v>100.77692307692308</v>
      </c>
      <c r="I41" s="38" t="str">
        <f>CONCATENATE("per ",C25)</f>
        <v>per cum</v>
      </c>
      <c r="J41" s="710"/>
      <c r="K41" s="711"/>
      <c r="L41" s="711"/>
      <c r="M41" s="711"/>
      <c r="N41" s="711"/>
      <c r="O41" s="711"/>
      <c r="P41" s="711"/>
      <c r="Q41" s="711"/>
      <c r="R41" s="712"/>
    </row>
    <row r="42" spans="1:18">
      <c r="A42" s="39"/>
      <c r="B42" s="40"/>
      <c r="C42" s="69"/>
      <c r="D42" s="41"/>
      <c r="E42" s="41"/>
      <c r="F42" s="41"/>
      <c r="G42" s="149" t="s">
        <v>460</v>
      </c>
      <c r="H42" s="150">
        <f>CEILING(SUM(M26,M30,R26)/H35,0.0025)</f>
        <v>0.42</v>
      </c>
      <c r="I42" s="42"/>
      <c r="J42" s="43"/>
      <c r="K42" s="43"/>
      <c r="L42" s="43"/>
      <c r="M42" s="43"/>
      <c r="N42" s="43"/>
      <c r="O42" s="43"/>
      <c r="P42" s="43"/>
      <c r="Q42" s="43"/>
      <c r="R42" s="44"/>
    </row>
    <row r="43" spans="1:18">
      <c r="J43" s="1">
        <v>0.155</v>
      </c>
      <c r="K43" s="1">
        <v>0.45</v>
      </c>
      <c r="L43" s="1">
        <v>0.15</v>
      </c>
    </row>
    <row r="44" spans="1:18">
      <c r="A44" s="693" t="s">
        <v>0</v>
      </c>
      <c r="B44" s="695" t="s">
        <v>1</v>
      </c>
      <c r="C44" s="695" t="s">
        <v>2</v>
      </c>
      <c r="D44" s="697" t="s">
        <v>3</v>
      </c>
      <c r="E44" s="698"/>
      <c r="F44" s="698"/>
      <c r="G44" s="698"/>
      <c r="H44" s="698"/>
      <c r="I44" s="699" t="s">
        <v>4</v>
      </c>
      <c r="J44" s="700"/>
      <c r="K44" s="700"/>
      <c r="L44" s="700"/>
      <c r="M44" s="700"/>
      <c r="N44" s="698" t="s">
        <v>5</v>
      </c>
      <c r="O44" s="698"/>
      <c r="P44" s="698"/>
      <c r="Q44" s="698"/>
      <c r="R44" s="698"/>
    </row>
    <row r="45" spans="1:18">
      <c r="A45" s="694"/>
      <c r="B45" s="696"/>
      <c r="C45" s="696"/>
      <c r="D45" s="45" t="s">
        <v>6</v>
      </c>
      <c r="E45" s="46" t="s">
        <v>2</v>
      </c>
      <c r="F45" s="46" t="s">
        <v>7</v>
      </c>
      <c r="G45" s="46" t="s">
        <v>8</v>
      </c>
      <c r="H45" s="46" t="s">
        <v>9</v>
      </c>
      <c r="I45" s="46" t="s">
        <v>10</v>
      </c>
      <c r="J45" s="46" t="s">
        <v>2</v>
      </c>
      <c r="K45" s="46" t="s">
        <v>7</v>
      </c>
      <c r="L45" s="46" t="s">
        <v>8</v>
      </c>
      <c r="M45" s="47" t="s">
        <v>9</v>
      </c>
      <c r="N45" s="46" t="s">
        <v>10</v>
      </c>
      <c r="O45" s="46" t="s">
        <v>2</v>
      </c>
      <c r="P45" s="46" t="s">
        <v>7</v>
      </c>
      <c r="Q45" s="46" t="s">
        <v>8</v>
      </c>
      <c r="R45" s="46" t="s">
        <v>9</v>
      </c>
    </row>
    <row r="46" spans="1:18">
      <c r="A46" s="33" t="s">
        <v>23</v>
      </c>
      <c r="B46" s="73" t="s">
        <v>327</v>
      </c>
      <c r="C46" s="65"/>
      <c r="D46" s="31"/>
      <c r="E46" s="31"/>
      <c r="F46" s="31"/>
      <c r="G46" s="31"/>
      <c r="H46" s="31"/>
      <c r="I46" s="31"/>
      <c r="J46" s="31"/>
      <c r="K46" s="31"/>
      <c r="L46" s="31"/>
      <c r="M46" s="31"/>
      <c r="N46" s="31"/>
      <c r="O46" s="31"/>
      <c r="P46" s="31"/>
      <c r="Q46" s="31"/>
      <c r="R46" s="32"/>
    </row>
    <row r="47" spans="1:18">
      <c r="A47" s="34">
        <f>A25+1</f>
        <v>3</v>
      </c>
      <c r="B47" s="713" t="s">
        <v>329</v>
      </c>
      <c r="C47" s="66" t="s">
        <v>11</v>
      </c>
      <c r="D47" s="4"/>
      <c r="E47" s="6"/>
      <c r="F47" s="29"/>
      <c r="G47" s="26"/>
      <c r="H47" s="26"/>
      <c r="I47" s="6"/>
      <c r="J47" s="6"/>
      <c r="K47" s="29"/>
      <c r="L47" s="26"/>
      <c r="M47" s="26"/>
      <c r="N47" s="6"/>
      <c r="O47" s="6"/>
      <c r="P47" s="29"/>
      <c r="Q47" s="26"/>
      <c r="R47" s="26"/>
    </row>
    <row r="48" spans="1:18">
      <c r="A48" s="2"/>
      <c r="B48" s="714"/>
      <c r="C48" s="66"/>
      <c r="D48" s="4" t="s">
        <v>251</v>
      </c>
      <c r="E48" s="6" t="s">
        <v>81</v>
      </c>
      <c r="F48" s="29">
        <v>1.5</v>
      </c>
      <c r="G48" s="26">
        <f>sr</f>
        <v>1100</v>
      </c>
      <c r="H48" s="26">
        <f>F48*G48</f>
        <v>1650</v>
      </c>
      <c r="I48" s="7" t="s">
        <v>31</v>
      </c>
      <c r="J48" s="8" t="s">
        <v>32</v>
      </c>
      <c r="K48" s="88">
        <v>0.1</v>
      </c>
      <c r="L48" s="28">
        <f>cement</f>
        <v>24049.69</v>
      </c>
      <c r="M48" s="26">
        <f t="shared" ref="M48:M53" si="1">K48*L48</f>
        <v>2404.9690000000001</v>
      </c>
      <c r="N48" s="8" t="s">
        <v>287</v>
      </c>
      <c r="O48" s="6" t="s">
        <v>101</v>
      </c>
      <c r="P48" s="29">
        <v>0.15</v>
      </c>
      <c r="Q48" s="28">
        <f>mixer</f>
        <v>216.32</v>
      </c>
      <c r="R48" s="26">
        <f>P48*Q48</f>
        <v>32.448</v>
      </c>
    </row>
    <row r="49" spans="1:18">
      <c r="A49" s="2"/>
      <c r="B49" s="714"/>
      <c r="C49" s="66"/>
      <c r="D49" s="4" t="s">
        <v>97</v>
      </c>
      <c r="E49" s="6" t="s">
        <v>81</v>
      </c>
      <c r="F49" s="29">
        <v>3.5</v>
      </c>
      <c r="G49" s="26">
        <f>ur</f>
        <v>850</v>
      </c>
      <c r="H49" s="26">
        <f>F49*G49</f>
        <v>2975</v>
      </c>
      <c r="I49" s="7" t="s">
        <v>286</v>
      </c>
      <c r="J49" s="8" t="s">
        <v>11</v>
      </c>
      <c r="K49" s="88">
        <v>0.29299999999999998</v>
      </c>
      <c r="L49" s="28">
        <f>sand</f>
        <v>1050</v>
      </c>
      <c r="M49" s="26">
        <f t="shared" si="1"/>
        <v>307.64999999999998</v>
      </c>
      <c r="N49" s="8" t="s">
        <v>288</v>
      </c>
      <c r="O49" s="6"/>
      <c r="P49" s="29"/>
      <c r="Q49" s="28"/>
      <c r="R49" s="26"/>
    </row>
    <row r="50" spans="1:18">
      <c r="A50" s="2"/>
      <c r="B50" s="714"/>
      <c r="C50" s="66"/>
      <c r="D50" s="4"/>
      <c r="E50" s="6"/>
      <c r="F50" s="29"/>
      <c r="G50" s="26"/>
      <c r="H50" s="26"/>
      <c r="I50" s="7" t="s">
        <v>318</v>
      </c>
      <c r="J50" s="8" t="s">
        <v>11</v>
      </c>
      <c r="K50" s="88">
        <v>0.65</v>
      </c>
      <c r="L50" s="28">
        <f>Block_Stone</f>
        <v>1350</v>
      </c>
      <c r="M50" s="26">
        <f t="shared" si="1"/>
        <v>877.5</v>
      </c>
      <c r="N50" s="8"/>
      <c r="O50" s="6"/>
      <c r="P50" s="29"/>
      <c r="Q50" s="28"/>
      <c r="R50" s="28"/>
    </row>
    <row r="51" spans="1:18">
      <c r="A51" s="2"/>
      <c r="B51" s="714"/>
      <c r="C51" s="66"/>
      <c r="D51" s="4"/>
      <c r="E51" s="6"/>
      <c r="F51" s="29"/>
      <c r="G51" s="26"/>
      <c r="H51" s="26"/>
      <c r="I51" s="7" t="s">
        <v>315</v>
      </c>
      <c r="J51" s="8" t="s">
        <v>11</v>
      </c>
      <c r="K51" s="88">
        <v>9.8000000000000004E-2</v>
      </c>
      <c r="L51" s="28">
        <f>Bond_Stone</f>
        <v>1450</v>
      </c>
      <c r="M51" s="26">
        <f t="shared" si="1"/>
        <v>142.1</v>
      </c>
      <c r="N51" s="8"/>
      <c r="O51" s="6"/>
      <c r="P51" s="29"/>
      <c r="Q51" s="28"/>
      <c r="R51" s="28"/>
    </row>
    <row r="52" spans="1:18">
      <c r="A52" s="2"/>
      <c r="B52" s="714"/>
      <c r="C52" s="66"/>
      <c r="D52" s="4"/>
      <c r="E52" s="6"/>
      <c r="F52" s="29"/>
      <c r="G52" s="26"/>
      <c r="H52" s="26"/>
      <c r="I52" s="7" t="s">
        <v>67</v>
      </c>
      <c r="J52" s="8" t="s">
        <v>250</v>
      </c>
      <c r="K52" s="88">
        <v>1</v>
      </c>
      <c r="L52" s="28">
        <f>diesel</f>
        <v>177.6</v>
      </c>
      <c r="M52" s="26">
        <f t="shared" si="1"/>
        <v>177.6</v>
      </c>
      <c r="N52" s="8"/>
      <c r="O52" s="6"/>
      <c r="P52" s="29"/>
      <c r="Q52" s="28"/>
      <c r="R52" s="28"/>
    </row>
    <row r="53" spans="1:18">
      <c r="A53" s="2"/>
      <c r="B53" s="126"/>
      <c r="C53" s="66"/>
      <c r="D53" s="4"/>
      <c r="E53" s="6"/>
      <c r="F53" s="29"/>
      <c r="G53" s="26"/>
      <c r="H53" s="26"/>
      <c r="I53" s="7" t="s">
        <v>215</v>
      </c>
      <c r="J53" s="8" t="s">
        <v>250</v>
      </c>
      <c r="K53" s="88">
        <v>100</v>
      </c>
      <c r="L53" s="28"/>
      <c r="M53" s="26">
        <f t="shared" si="1"/>
        <v>0</v>
      </c>
      <c r="N53" s="8"/>
      <c r="O53" s="6"/>
      <c r="P53" s="29"/>
      <c r="Q53" s="28"/>
      <c r="R53" s="28"/>
    </row>
    <row r="54" spans="1:18">
      <c r="A54" s="2"/>
      <c r="B54" s="126"/>
      <c r="C54" s="66"/>
      <c r="D54" s="4"/>
      <c r="E54" s="6"/>
      <c r="F54" s="29"/>
      <c r="G54" s="26"/>
      <c r="H54" s="26"/>
      <c r="I54" s="7"/>
      <c r="J54" s="8"/>
      <c r="K54" s="29"/>
      <c r="L54" s="28"/>
      <c r="M54" s="26"/>
      <c r="N54" s="8"/>
      <c r="O54" s="6"/>
      <c r="P54" s="29"/>
      <c r="Q54" s="28"/>
      <c r="R54" s="28"/>
    </row>
    <row r="55" spans="1:18">
      <c r="A55" s="2"/>
      <c r="B55" s="5"/>
      <c r="C55" s="66"/>
      <c r="D55" s="4"/>
      <c r="E55" s="9"/>
      <c r="F55" s="30"/>
      <c r="G55" s="27"/>
      <c r="H55" s="27"/>
      <c r="I55" s="9"/>
      <c r="J55" s="10"/>
      <c r="K55" s="30"/>
      <c r="L55" s="28"/>
      <c r="M55" s="28"/>
      <c r="N55" s="8"/>
      <c r="O55" s="6"/>
      <c r="P55" s="30"/>
      <c r="Q55" s="28"/>
      <c r="R55" s="28"/>
    </row>
    <row r="56" spans="1:18">
      <c r="A56" s="2"/>
      <c r="B56" s="11"/>
      <c r="C56" s="66"/>
      <c r="D56" s="12"/>
      <c r="E56" s="59"/>
      <c r="F56" s="13"/>
      <c r="G56" s="13" t="s">
        <v>20</v>
      </c>
      <c r="H56" s="25">
        <f>SUM(H47:H55)</f>
        <v>4625</v>
      </c>
      <c r="I56" s="703"/>
      <c r="J56" s="703"/>
      <c r="K56" s="14"/>
      <c r="L56" s="13" t="s">
        <v>21</v>
      </c>
      <c r="M56" s="25">
        <f>SUM(M47:M55)</f>
        <v>3909.819</v>
      </c>
      <c r="N56" s="3"/>
      <c r="O56" s="14"/>
      <c r="P56" s="14"/>
      <c r="Q56" s="13" t="s">
        <v>22</v>
      </c>
      <c r="R56" s="25">
        <f>SUM(R47:R55)</f>
        <v>32.448</v>
      </c>
    </row>
    <row r="57" spans="1:18">
      <c r="A57" s="2"/>
      <c r="B57" s="16" t="s">
        <v>13</v>
      </c>
      <c r="C57" s="67"/>
      <c r="D57" s="14"/>
      <c r="E57" s="14"/>
      <c r="F57" s="14"/>
      <c r="G57" s="13"/>
      <c r="H57" s="35">
        <f>M56+R56+H56</f>
        <v>8567.2669999999998</v>
      </c>
      <c r="I57" s="17"/>
      <c r="J57" s="14"/>
      <c r="K57" s="14"/>
      <c r="L57" s="13"/>
      <c r="M57" s="15"/>
      <c r="N57" s="14"/>
      <c r="O57" s="14"/>
      <c r="P57" s="14"/>
      <c r="Q57" s="14"/>
      <c r="R57" s="17"/>
    </row>
    <row r="58" spans="1:18">
      <c r="A58" s="2"/>
      <c r="B58" s="11" t="s">
        <v>25</v>
      </c>
      <c r="C58" s="68"/>
      <c r="D58" s="4"/>
      <c r="E58" s="4"/>
      <c r="F58" s="4"/>
      <c r="G58" s="18"/>
      <c r="H58" s="36"/>
      <c r="I58" s="20"/>
      <c r="J58" s="4" t="s">
        <v>26</v>
      </c>
      <c r="K58" s="4"/>
      <c r="L58" s="18"/>
      <c r="M58" s="19"/>
      <c r="N58" s="4"/>
      <c r="O58" s="4"/>
      <c r="P58" s="4"/>
      <c r="Q58" s="4"/>
      <c r="R58" s="20"/>
    </row>
    <row r="59" spans="1:18">
      <c r="A59" s="23"/>
      <c r="B59" s="11" t="s">
        <v>14</v>
      </c>
      <c r="C59" s="68"/>
      <c r="D59" s="4"/>
      <c r="E59" s="4"/>
      <c r="F59" s="4"/>
      <c r="G59" s="18"/>
      <c r="H59" s="36">
        <f>SUM(H57:H58)</f>
        <v>8567.2669999999998</v>
      </c>
      <c r="I59" s="20"/>
      <c r="J59" s="704"/>
      <c r="K59" s="705"/>
      <c r="L59" s="705"/>
      <c r="M59" s="705"/>
      <c r="N59" s="705"/>
      <c r="O59" s="705"/>
      <c r="P59" s="705"/>
      <c r="Q59" s="705"/>
      <c r="R59" s="706"/>
    </row>
    <row r="60" spans="1:18">
      <c r="A60" s="23"/>
      <c r="B60" s="11" t="s">
        <v>24</v>
      </c>
      <c r="C60" s="68"/>
      <c r="D60" s="4"/>
      <c r="E60" s="4"/>
      <c r="F60" s="4"/>
      <c r="G60" s="18"/>
      <c r="H60" s="36">
        <f>H59*15%</f>
        <v>1285.09005</v>
      </c>
      <c r="I60" s="20"/>
      <c r="J60" s="707"/>
      <c r="K60" s="708"/>
      <c r="L60" s="708"/>
      <c r="M60" s="708"/>
      <c r="N60" s="708"/>
      <c r="O60" s="708"/>
      <c r="P60" s="708"/>
      <c r="Q60" s="708"/>
      <c r="R60" s="709"/>
    </row>
    <row r="61" spans="1:18">
      <c r="A61" s="23"/>
      <c r="B61" s="11" t="s">
        <v>15</v>
      </c>
      <c r="C61" s="68"/>
      <c r="D61" s="4"/>
      <c r="E61" s="4"/>
      <c r="F61" s="4"/>
      <c r="G61" s="21" t="s">
        <v>16</v>
      </c>
      <c r="H61" s="37">
        <f>H60+H59</f>
        <v>9852.3570500000005</v>
      </c>
      <c r="I61" s="38" t="str">
        <f>CONCATENATE("per ",C47)</f>
        <v>per cum</v>
      </c>
      <c r="J61" s="707"/>
      <c r="K61" s="708"/>
      <c r="L61" s="708"/>
      <c r="M61" s="708"/>
      <c r="N61" s="708"/>
      <c r="O61" s="708"/>
      <c r="P61" s="708"/>
      <c r="Q61" s="708"/>
      <c r="R61" s="709"/>
    </row>
    <row r="62" spans="1:18">
      <c r="A62" s="23"/>
      <c r="B62" s="11" t="s">
        <v>18</v>
      </c>
      <c r="C62" s="125" t="s">
        <v>19</v>
      </c>
      <c r="D62" s="4"/>
      <c r="E62" s="4"/>
      <c r="F62" s="4"/>
      <c r="G62" s="21" t="s">
        <v>16</v>
      </c>
      <c r="H62" s="37">
        <f>CEILING(H61,0.5)</f>
        <v>9852.5</v>
      </c>
      <c r="I62" s="38" t="str">
        <f>CONCATENATE("per ",C47)</f>
        <v>per cum</v>
      </c>
      <c r="J62" s="707"/>
      <c r="K62" s="708"/>
      <c r="L62" s="708"/>
      <c r="M62" s="708"/>
      <c r="N62" s="708"/>
      <c r="O62" s="708"/>
      <c r="P62" s="708"/>
      <c r="Q62" s="708"/>
      <c r="R62" s="709"/>
    </row>
    <row r="63" spans="1:18">
      <c r="A63" s="23"/>
      <c r="B63" s="11"/>
      <c r="C63" s="68"/>
      <c r="D63" s="4"/>
      <c r="E63" s="4"/>
      <c r="F63" s="4"/>
      <c r="G63" s="24" t="s">
        <v>17</v>
      </c>
      <c r="H63" s="37">
        <f>H62/exr</f>
        <v>75.788461538461533</v>
      </c>
      <c r="I63" s="38" t="str">
        <f>CONCATENATE("per ",C47)</f>
        <v>per cum</v>
      </c>
      <c r="J63" s="710"/>
      <c r="K63" s="711"/>
      <c r="L63" s="711"/>
      <c r="M63" s="711"/>
      <c r="N63" s="711"/>
      <c r="O63" s="711"/>
      <c r="P63" s="711"/>
      <c r="Q63" s="711"/>
      <c r="R63" s="712"/>
    </row>
    <row r="64" spans="1:18">
      <c r="A64" s="39"/>
      <c r="B64" s="40"/>
      <c r="C64" s="69"/>
      <c r="D64" s="41"/>
      <c r="E64" s="41"/>
      <c r="F64" s="41"/>
      <c r="G64" s="149" t="s">
        <v>460</v>
      </c>
      <c r="H64" s="150">
        <f>CEILING(SUM(M48,M52,R48)/H57,0.0025)</f>
        <v>0.3075</v>
      </c>
      <c r="I64" s="42"/>
      <c r="J64" s="43"/>
      <c r="K64" s="43"/>
      <c r="L64" s="43"/>
      <c r="M64" s="43"/>
      <c r="N64" s="43"/>
      <c r="O64" s="43"/>
      <c r="P64" s="43"/>
      <c r="Q64" s="43"/>
      <c r="R64" s="44"/>
    </row>
    <row r="66" spans="1:18">
      <c r="A66" s="693" t="s">
        <v>0</v>
      </c>
      <c r="B66" s="695" t="s">
        <v>1</v>
      </c>
      <c r="C66" s="695" t="s">
        <v>2</v>
      </c>
      <c r="D66" s="697" t="s">
        <v>3</v>
      </c>
      <c r="E66" s="698"/>
      <c r="F66" s="698"/>
      <c r="G66" s="698"/>
      <c r="H66" s="698"/>
      <c r="I66" s="699" t="s">
        <v>4</v>
      </c>
      <c r="J66" s="700"/>
      <c r="K66" s="700"/>
      <c r="L66" s="700"/>
      <c r="M66" s="700"/>
      <c r="N66" s="698" t="s">
        <v>5</v>
      </c>
      <c r="O66" s="698"/>
      <c r="P66" s="698"/>
      <c r="Q66" s="698"/>
      <c r="R66" s="698"/>
    </row>
    <row r="67" spans="1:18">
      <c r="A67" s="694"/>
      <c r="B67" s="696"/>
      <c r="C67" s="696"/>
      <c r="D67" s="45" t="s">
        <v>6</v>
      </c>
      <c r="E67" s="46" t="s">
        <v>2</v>
      </c>
      <c r="F67" s="46" t="s">
        <v>7</v>
      </c>
      <c r="G67" s="46" t="s">
        <v>8</v>
      </c>
      <c r="H67" s="46" t="s">
        <v>9</v>
      </c>
      <c r="I67" s="46" t="s">
        <v>10</v>
      </c>
      <c r="J67" s="46" t="s">
        <v>2</v>
      </c>
      <c r="K67" s="46" t="s">
        <v>7</v>
      </c>
      <c r="L67" s="46" t="s">
        <v>8</v>
      </c>
      <c r="M67" s="47" t="s">
        <v>9</v>
      </c>
      <c r="N67" s="46" t="s">
        <v>10</v>
      </c>
      <c r="O67" s="46" t="s">
        <v>2</v>
      </c>
      <c r="P67" s="46" t="s">
        <v>7</v>
      </c>
      <c r="Q67" s="46" t="s">
        <v>8</v>
      </c>
      <c r="R67" s="46" t="s">
        <v>9</v>
      </c>
    </row>
    <row r="68" spans="1:18">
      <c r="A68" s="33" t="s">
        <v>23</v>
      </c>
      <c r="B68" s="73" t="s">
        <v>316</v>
      </c>
      <c r="C68" s="65"/>
      <c r="D68" s="31"/>
      <c r="E68" s="31"/>
      <c r="F68" s="31"/>
      <c r="G68" s="31"/>
      <c r="H68" s="31"/>
      <c r="I68" s="31"/>
      <c r="J68" s="31"/>
      <c r="K68" s="31"/>
      <c r="L68" s="31"/>
      <c r="M68" s="31"/>
      <c r="N68" s="31"/>
      <c r="O68" s="31"/>
      <c r="P68" s="31"/>
      <c r="Q68" s="31"/>
      <c r="R68" s="32"/>
    </row>
    <row r="69" spans="1:18">
      <c r="A69" s="34">
        <f>A47+1</f>
        <v>4</v>
      </c>
      <c r="B69" s="713" t="s">
        <v>317</v>
      </c>
      <c r="C69" s="66" t="s">
        <v>11</v>
      </c>
      <c r="D69" s="4"/>
      <c r="E69" s="6"/>
      <c r="F69" s="29"/>
      <c r="G69" s="26"/>
      <c r="H69" s="26"/>
      <c r="I69" s="6"/>
      <c r="J69" s="6"/>
      <c r="K69" s="29"/>
      <c r="L69" s="26"/>
      <c r="M69" s="26"/>
      <c r="N69" s="6"/>
      <c r="O69" s="6"/>
      <c r="P69" s="29"/>
      <c r="Q69" s="26"/>
      <c r="R69" s="26"/>
    </row>
    <row r="70" spans="1:18">
      <c r="A70" s="2"/>
      <c r="B70" s="714"/>
      <c r="C70" s="66"/>
      <c r="D70" s="4" t="s">
        <v>251</v>
      </c>
      <c r="E70" s="6" t="s">
        <v>81</v>
      </c>
      <c r="F70" s="29">
        <v>1.5</v>
      </c>
      <c r="G70" s="26">
        <f>sr</f>
        <v>1100</v>
      </c>
      <c r="H70" s="26">
        <f>F70*G70</f>
        <v>1650</v>
      </c>
      <c r="I70" s="7" t="s">
        <v>31</v>
      </c>
      <c r="J70" s="8" t="s">
        <v>32</v>
      </c>
      <c r="K70" s="88">
        <v>0.19</v>
      </c>
      <c r="L70" s="28">
        <f>cement</f>
        <v>24049.69</v>
      </c>
      <c r="M70" s="26">
        <f>K70*L70</f>
        <v>4569.4411</v>
      </c>
      <c r="N70" s="8" t="s">
        <v>294</v>
      </c>
      <c r="O70" s="6"/>
      <c r="P70" s="29"/>
      <c r="Q70" s="28"/>
      <c r="R70" s="26">
        <f>3%*H78</f>
        <v>164.25</v>
      </c>
    </row>
    <row r="71" spans="1:18">
      <c r="A71" s="2"/>
      <c r="B71" s="714"/>
      <c r="C71" s="66"/>
      <c r="D71" s="4" t="s">
        <v>97</v>
      </c>
      <c r="E71" s="6" t="s">
        <v>81</v>
      </c>
      <c r="F71" s="29">
        <v>4.5</v>
      </c>
      <c r="G71" s="26">
        <f>ur</f>
        <v>850</v>
      </c>
      <c r="H71" s="26">
        <f>F71*G71</f>
        <v>3825</v>
      </c>
      <c r="I71" s="7" t="s">
        <v>286</v>
      </c>
      <c r="J71" s="8" t="s">
        <v>11</v>
      </c>
      <c r="K71" s="88">
        <v>0.4</v>
      </c>
      <c r="L71" s="28">
        <f>sand</f>
        <v>1050</v>
      </c>
      <c r="M71" s="26">
        <f>K71*L71</f>
        <v>420</v>
      </c>
      <c r="N71" s="8"/>
      <c r="O71" s="6"/>
      <c r="P71" s="29"/>
      <c r="Q71" s="28"/>
      <c r="R71" s="26"/>
    </row>
    <row r="72" spans="1:18">
      <c r="A72" s="2"/>
      <c r="B72" s="714"/>
      <c r="C72" s="66"/>
      <c r="D72" s="4"/>
      <c r="E72" s="6"/>
      <c r="F72" s="29"/>
      <c r="G72" s="26"/>
      <c r="H72" s="26"/>
      <c r="I72" s="7" t="s">
        <v>318</v>
      </c>
      <c r="J72" s="8" t="s">
        <v>11</v>
      </c>
      <c r="K72" s="88">
        <v>1</v>
      </c>
      <c r="L72" s="28">
        <f>Block_Stone</f>
        <v>1350</v>
      </c>
      <c r="M72" s="26">
        <f>K72*L72</f>
        <v>1350</v>
      </c>
      <c r="N72" s="8"/>
      <c r="O72" s="6"/>
      <c r="P72" s="29"/>
      <c r="Q72" s="28"/>
      <c r="R72" s="28"/>
    </row>
    <row r="73" spans="1:18">
      <c r="A73" s="2"/>
      <c r="B73" s="714"/>
      <c r="C73" s="66"/>
      <c r="D73" s="4"/>
      <c r="E73" s="6"/>
      <c r="F73" s="29"/>
      <c r="G73" s="26"/>
      <c r="H73" s="26"/>
      <c r="I73" s="7" t="s">
        <v>315</v>
      </c>
      <c r="J73" s="8" t="s">
        <v>11</v>
      </c>
      <c r="K73" s="88">
        <v>0.15</v>
      </c>
      <c r="L73" s="28">
        <f>Bond_Stone</f>
        <v>1450</v>
      </c>
      <c r="M73" s="26">
        <f>K73*L73</f>
        <v>217.5</v>
      </c>
      <c r="N73" s="8"/>
      <c r="O73" s="6"/>
      <c r="P73" s="29"/>
      <c r="Q73" s="28"/>
      <c r="R73" s="28"/>
    </row>
    <row r="74" spans="1:18">
      <c r="A74" s="2"/>
      <c r="B74" s="714"/>
      <c r="C74" s="66"/>
      <c r="D74" s="4"/>
      <c r="E74" s="6"/>
      <c r="F74" s="29"/>
      <c r="G74" s="26"/>
      <c r="H74" s="26"/>
      <c r="I74" s="7" t="s">
        <v>215</v>
      </c>
      <c r="J74" s="8" t="s">
        <v>250</v>
      </c>
      <c r="K74" s="88">
        <v>120</v>
      </c>
      <c r="L74" s="28"/>
      <c r="M74" s="26">
        <f>K74*L74</f>
        <v>0</v>
      </c>
      <c r="N74" s="8"/>
      <c r="O74" s="6"/>
      <c r="P74" s="29"/>
      <c r="Q74" s="28"/>
      <c r="R74" s="28"/>
    </row>
    <row r="75" spans="1:18">
      <c r="A75" s="2"/>
      <c r="B75" s="126"/>
      <c r="C75" s="66"/>
      <c r="D75" s="4"/>
      <c r="E75" s="6"/>
      <c r="F75" s="29"/>
      <c r="G75" s="26"/>
      <c r="H75" s="26"/>
      <c r="I75" s="7"/>
      <c r="J75" s="8"/>
      <c r="K75" s="88"/>
      <c r="L75" s="28"/>
      <c r="M75" s="26"/>
      <c r="N75" s="8"/>
      <c r="O75" s="6"/>
      <c r="P75" s="29"/>
      <c r="Q75" s="28"/>
      <c r="R75" s="28"/>
    </row>
    <row r="76" spans="1:18">
      <c r="A76" s="2"/>
      <c r="B76" s="126"/>
      <c r="C76" s="66"/>
      <c r="D76" s="4"/>
      <c r="E76" s="6"/>
      <c r="F76" s="29"/>
      <c r="G76" s="26"/>
      <c r="H76" s="26"/>
      <c r="I76" s="7"/>
      <c r="J76" s="8"/>
      <c r="K76" s="29"/>
      <c r="L76" s="28"/>
      <c r="M76" s="26"/>
      <c r="N76" s="8"/>
      <c r="O76" s="6"/>
      <c r="P76" s="29"/>
      <c r="Q76" s="28"/>
      <c r="R76" s="28"/>
    </row>
    <row r="77" spans="1:18">
      <c r="A77" s="2"/>
      <c r="B77" s="5"/>
      <c r="C77" s="66"/>
      <c r="D77" s="4"/>
      <c r="E77" s="9"/>
      <c r="F77" s="30"/>
      <c r="G77" s="27"/>
      <c r="H77" s="27"/>
      <c r="I77" s="9"/>
      <c r="J77" s="10"/>
      <c r="K77" s="30"/>
      <c r="L77" s="28"/>
      <c r="M77" s="28"/>
      <c r="N77" s="8"/>
      <c r="O77" s="6"/>
      <c r="P77" s="30"/>
      <c r="Q77" s="28"/>
      <c r="R77" s="28"/>
    </row>
    <row r="78" spans="1:18">
      <c r="A78" s="2"/>
      <c r="B78" s="11"/>
      <c r="C78" s="66"/>
      <c r="D78" s="12"/>
      <c r="E78" s="59"/>
      <c r="F78" s="13"/>
      <c r="G78" s="13" t="s">
        <v>20</v>
      </c>
      <c r="H78" s="25">
        <f>SUM(H69:H77)</f>
        <v>5475</v>
      </c>
      <c r="I78" s="703"/>
      <c r="J78" s="703"/>
      <c r="K78" s="14"/>
      <c r="L78" s="13" t="s">
        <v>21</v>
      </c>
      <c r="M78" s="25">
        <f>SUM(M69:M77)</f>
        <v>6556.9411</v>
      </c>
      <c r="N78" s="3"/>
      <c r="O78" s="14"/>
      <c r="P78" s="14"/>
      <c r="Q78" s="13" t="s">
        <v>22</v>
      </c>
      <c r="R78" s="25">
        <f>SUM(R69:R77)</f>
        <v>164.25</v>
      </c>
    </row>
    <row r="79" spans="1:18">
      <c r="A79" s="2"/>
      <c r="B79" s="16" t="s">
        <v>13</v>
      </c>
      <c r="C79" s="67"/>
      <c r="D79" s="14"/>
      <c r="E79" s="14"/>
      <c r="F79" s="14"/>
      <c r="G79" s="13"/>
      <c r="H79" s="35">
        <f>M78+R78+H78</f>
        <v>12196.1911</v>
      </c>
      <c r="I79" s="17"/>
      <c r="J79" s="14"/>
      <c r="K79" s="14"/>
      <c r="L79" s="13"/>
      <c r="M79" s="15"/>
      <c r="N79" s="14"/>
      <c r="O79" s="14"/>
      <c r="P79" s="14"/>
      <c r="Q79" s="14"/>
      <c r="R79" s="17"/>
    </row>
    <row r="80" spans="1:18">
      <c r="A80" s="2"/>
      <c r="B80" s="11" t="s">
        <v>25</v>
      </c>
      <c r="C80" s="68"/>
      <c r="D80" s="4"/>
      <c r="E80" s="4"/>
      <c r="F80" s="4"/>
      <c r="G80" s="18"/>
      <c r="H80" s="36">
        <v>0</v>
      </c>
      <c r="I80" s="20"/>
      <c r="J80" s="4" t="s">
        <v>26</v>
      </c>
      <c r="K80" s="4"/>
      <c r="L80" s="18"/>
      <c r="M80" s="19"/>
      <c r="N80" s="4"/>
      <c r="O80" s="4"/>
      <c r="P80" s="4"/>
      <c r="Q80" s="4"/>
      <c r="R80" s="20"/>
    </row>
    <row r="81" spans="1:18">
      <c r="A81" s="23"/>
      <c r="B81" s="11" t="s">
        <v>14</v>
      </c>
      <c r="C81" s="68"/>
      <c r="D81" s="4"/>
      <c r="E81" s="4"/>
      <c r="F81" s="4"/>
      <c r="G81" s="18"/>
      <c r="H81" s="36">
        <f>SUM(H79:H80)</f>
        <v>12196.1911</v>
      </c>
      <c r="I81" s="20"/>
      <c r="J81" s="704"/>
      <c r="K81" s="705"/>
      <c r="L81" s="705"/>
      <c r="M81" s="705"/>
      <c r="N81" s="705"/>
      <c r="O81" s="705"/>
      <c r="P81" s="705"/>
      <c r="Q81" s="705"/>
      <c r="R81" s="706"/>
    </row>
    <row r="82" spans="1:18">
      <c r="A82" s="23"/>
      <c r="B82" s="11" t="s">
        <v>24</v>
      </c>
      <c r="C82" s="68"/>
      <c r="D82" s="4"/>
      <c r="E82" s="4"/>
      <c r="F82" s="4"/>
      <c r="G82" s="18"/>
      <c r="H82" s="36">
        <f>H81*15%</f>
        <v>1829.4286649999999</v>
      </c>
      <c r="I82" s="20"/>
      <c r="J82" s="707"/>
      <c r="K82" s="708"/>
      <c r="L82" s="708"/>
      <c r="M82" s="708"/>
      <c r="N82" s="708"/>
      <c r="O82" s="708"/>
      <c r="P82" s="708"/>
      <c r="Q82" s="708"/>
      <c r="R82" s="709"/>
    </row>
    <row r="83" spans="1:18">
      <c r="A83" s="23"/>
      <c r="B83" s="11" t="s">
        <v>15</v>
      </c>
      <c r="C83" s="68"/>
      <c r="D83" s="4"/>
      <c r="E83" s="4"/>
      <c r="F83" s="4"/>
      <c r="G83" s="21" t="s">
        <v>16</v>
      </c>
      <c r="H83" s="37">
        <f>H82+H81</f>
        <v>14025.619764999999</v>
      </c>
      <c r="I83" s="38" t="str">
        <f>CONCATENATE("per ",C69)</f>
        <v>per cum</v>
      </c>
      <c r="J83" s="707"/>
      <c r="K83" s="708"/>
      <c r="L83" s="708"/>
      <c r="M83" s="708"/>
      <c r="N83" s="708"/>
      <c r="O83" s="708"/>
      <c r="P83" s="708"/>
      <c r="Q83" s="708"/>
      <c r="R83" s="709"/>
    </row>
    <row r="84" spans="1:18">
      <c r="A84" s="23"/>
      <c r="B84" s="11" t="s">
        <v>18</v>
      </c>
      <c r="C84" s="125" t="s">
        <v>19</v>
      </c>
      <c r="D84" s="4"/>
      <c r="E84" s="4"/>
      <c r="F84" s="4"/>
      <c r="G84" s="21" t="s">
        <v>16</v>
      </c>
      <c r="H84" s="37">
        <f>CEILING(H83,0.5)</f>
        <v>14026</v>
      </c>
      <c r="I84" s="38" t="str">
        <f>CONCATENATE("per ",C69)</f>
        <v>per cum</v>
      </c>
      <c r="J84" s="707"/>
      <c r="K84" s="708"/>
      <c r="L84" s="708"/>
      <c r="M84" s="708"/>
      <c r="N84" s="708"/>
      <c r="O84" s="708"/>
      <c r="P84" s="708"/>
      <c r="Q84" s="708"/>
      <c r="R84" s="709"/>
    </row>
    <row r="85" spans="1:18">
      <c r="A85" s="23"/>
      <c r="B85" s="11"/>
      <c r="C85" s="68"/>
      <c r="D85" s="4"/>
      <c r="E85" s="4"/>
      <c r="F85" s="4"/>
      <c r="G85" s="24" t="s">
        <v>17</v>
      </c>
      <c r="H85" s="37">
        <f>H84/exr</f>
        <v>107.8923076923077</v>
      </c>
      <c r="I85" s="38" t="str">
        <f>CONCATENATE("per ",C69)</f>
        <v>per cum</v>
      </c>
      <c r="J85" s="710"/>
      <c r="K85" s="711"/>
      <c r="L85" s="711"/>
      <c r="M85" s="711"/>
      <c r="N85" s="711"/>
      <c r="O85" s="711"/>
      <c r="P85" s="711"/>
      <c r="Q85" s="711"/>
      <c r="R85" s="712"/>
    </row>
    <row r="86" spans="1:18">
      <c r="A86" s="39"/>
      <c r="B86" s="40"/>
      <c r="C86" s="69"/>
      <c r="D86" s="41"/>
      <c r="E86" s="41"/>
      <c r="F86" s="41"/>
      <c r="G86" s="149" t="s">
        <v>460</v>
      </c>
      <c r="H86" s="150">
        <f>CEILING(SUM(M70,R70)/H79,0.0025)</f>
        <v>0.39</v>
      </c>
      <c r="I86" s="42"/>
      <c r="J86" s="43"/>
      <c r="K86" s="43"/>
      <c r="L86" s="43"/>
      <c r="M86" s="43"/>
      <c r="N86" s="43"/>
      <c r="O86" s="43"/>
      <c r="P86" s="43"/>
      <c r="Q86" s="43"/>
      <c r="R86" s="44"/>
    </row>
    <row r="88" spans="1:18">
      <c r="A88" s="693" t="s">
        <v>0</v>
      </c>
      <c r="B88" s="695" t="s">
        <v>1</v>
      </c>
      <c r="C88" s="695" t="s">
        <v>2</v>
      </c>
      <c r="D88" s="697" t="s">
        <v>3</v>
      </c>
      <c r="E88" s="698"/>
      <c r="F88" s="698"/>
      <c r="G88" s="698"/>
      <c r="H88" s="698"/>
      <c r="I88" s="699" t="s">
        <v>4</v>
      </c>
      <c r="J88" s="700"/>
      <c r="K88" s="700"/>
      <c r="L88" s="700"/>
      <c r="M88" s="700"/>
      <c r="N88" s="698" t="s">
        <v>5</v>
      </c>
      <c r="O88" s="698"/>
      <c r="P88" s="698"/>
      <c r="Q88" s="698"/>
      <c r="R88" s="698"/>
    </row>
    <row r="89" spans="1:18">
      <c r="A89" s="694"/>
      <c r="B89" s="696"/>
      <c r="C89" s="696"/>
      <c r="D89" s="45" t="s">
        <v>6</v>
      </c>
      <c r="E89" s="46" t="s">
        <v>2</v>
      </c>
      <c r="F89" s="46" t="s">
        <v>7</v>
      </c>
      <c r="G89" s="46" t="s">
        <v>8</v>
      </c>
      <c r="H89" s="46" t="s">
        <v>9</v>
      </c>
      <c r="I89" s="46" t="s">
        <v>10</v>
      </c>
      <c r="J89" s="46" t="s">
        <v>2</v>
      </c>
      <c r="K89" s="46" t="s">
        <v>7</v>
      </c>
      <c r="L89" s="46" t="s">
        <v>8</v>
      </c>
      <c r="M89" s="47" t="s">
        <v>9</v>
      </c>
      <c r="N89" s="46" t="s">
        <v>10</v>
      </c>
      <c r="O89" s="46" t="s">
        <v>2</v>
      </c>
      <c r="P89" s="46" t="s">
        <v>7</v>
      </c>
      <c r="Q89" s="46" t="s">
        <v>8</v>
      </c>
      <c r="R89" s="46" t="s">
        <v>9</v>
      </c>
    </row>
    <row r="90" spans="1:18">
      <c r="A90" s="33" t="s">
        <v>23</v>
      </c>
      <c r="B90" s="73" t="s">
        <v>316</v>
      </c>
      <c r="C90" s="65"/>
      <c r="D90" s="31"/>
      <c r="E90" s="31"/>
      <c r="F90" s="31"/>
      <c r="G90" s="31"/>
      <c r="H90" s="31"/>
      <c r="I90" s="31"/>
      <c r="J90" s="31"/>
      <c r="K90" s="31"/>
      <c r="L90" s="31"/>
      <c r="M90" s="31"/>
      <c r="N90" s="31"/>
      <c r="O90" s="31"/>
      <c r="P90" s="31"/>
      <c r="Q90" s="31"/>
      <c r="R90" s="32"/>
    </row>
    <row r="91" spans="1:18">
      <c r="A91" s="34">
        <f>A69+1</f>
        <v>5</v>
      </c>
      <c r="B91" s="713" t="s">
        <v>319</v>
      </c>
      <c r="C91" s="66" t="s">
        <v>11</v>
      </c>
      <c r="D91" s="4"/>
      <c r="E91" s="6"/>
      <c r="F91" s="29"/>
      <c r="G91" s="26"/>
      <c r="H91" s="26"/>
      <c r="I91" s="6"/>
      <c r="J91" s="6"/>
      <c r="K91" s="29"/>
      <c r="L91" s="26"/>
      <c r="M91" s="26"/>
      <c r="N91" s="6"/>
      <c r="O91" s="6"/>
      <c r="P91" s="29"/>
      <c r="Q91" s="26"/>
      <c r="R91" s="26"/>
    </row>
    <row r="92" spans="1:18">
      <c r="A92" s="2"/>
      <c r="B92" s="714"/>
      <c r="C92" s="66"/>
      <c r="D92" s="4" t="s">
        <v>251</v>
      </c>
      <c r="E92" s="6" t="s">
        <v>81</v>
      </c>
      <c r="F92" s="29">
        <v>1.5</v>
      </c>
      <c r="G92" s="26">
        <f>sr</f>
        <v>1100</v>
      </c>
      <c r="H92" s="26">
        <f>F92*G92</f>
        <v>1650</v>
      </c>
      <c r="I92" s="7" t="s">
        <v>31</v>
      </c>
      <c r="J92" s="8" t="s">
        <v>32</v>
      </c>
      <c r="K92" s="88">
        <v>0.155</v>
      </c>
      <c r="L92" s="28">
        <f>cement</f>
        <v>24049.69</v>
      </c>
      <c r="M92" s="26">
        <f>K92*L92</f>
        <v>3727.7019499999997</v>
      </c>
      <c r="N92" s="8" t="s">
        <v>294</v>
      </c>
      <c r="O92" s="6"/>
      <c r="P92" s="29"/>
      <c r="Q92" s="28"/>
      <c r="R92" s="26">
        <f>3%*H100</f>
        <v>164.25</v>
      </c>
    </row>
    <row r="93" spans="1:18">
      <c r="A93" s="2"/>
      <c r="B93" s="714"/>
      <c r="C93" s="66"/>
      <c r="D93" s="4" t="s">
        <v>97</v>
      </c>
      <c r="E93" s="6" t="s">
        <v>81</v>
      </c>
      <c r="F93" s="29">
        <v>4.5</v>
      </c>
      <c r="G93" s="26">
        <f>ur</f>
        <v>850</v>
      </c>
      <c r="H93" s="26">
        <f>F93*G93</f>
        <v>3825</v>
      </c>
      <c r="I93" s="7" t="s">
        <v>286</v>
      </c>
      <c r="J93" s="8" t="s">
        <v>11</v>
      </c>
      <c r="K93" s="88">
        <v>0.45</v>
      </c>
      <c r="L93" s="28">
        <f>sand</f>
        <v>1050</v>
      </c>
      <c r="M93" s="26">
        <f>K93*L93</f>
        <v>472.5</v>
      </c>
      <c r="N93" s="8"/>
      <c r="O93" s="6"/>
      <c r="P93" s="29"/>
      <c r="Q93" s="28"/>
      <c r="R93" s="26"/>
    </row>
    <row r="94" spans="1:18">
      <c r="A94" s="2"/>
      <c r="B94" s="714"/>
      <c r="C94" s="66"/>
      <c r="D94" s="4"/>
      <c r="E94" s="6"/>
      <c r="F94" s="29"/>
      <c r="G94" s="26"/>
      <c r="H94" s="26"/>
      <c r="I94" s="7" t="s">
        <v>318</v>
      </c>
      <c r="J94" s="8" t="s">
        <v>11</v>
      </c>
      <c r="K94" s="88">
        <v>1</v>
      </c>
      <c r="L94" s="28">
        <f>Block_Stone</f>
        <v>1350</v>
      </c>
      <c r="M94" s="26">
        <f>K94*L94</f>
        <v>1350</v>
      </c>
      <c r="N94" s="8"/>
      <c r="O94" s="6"/>
      <c r="P94" s="29"/>
      <c r="Q94" s="28"/>
      <c r="R94" s="28"/>
    </row>
    <row r="95" spans="1:18">
      <c r="A95" s="2"/>
      <c r="B95" s="714"/>
      <c r="C95" s="66"/>
      <c r="D95" s="4"/>
      <c r="E95" s="6"/>
      <c r="F95" s="29"/>
      <c r="G95" s="26"/>
      <c r="H95" s="26"/>
      <c r="I95" s="7" t="s">
        <v>315</v>
      </c>
      <c r="J95" s="8" t="s">
        <v>11</v>
      </c>
      <c r="K95" s="88">
        <v>0.15</v>
      </c>
      <c r="L95" s="28">
        <f>Bond_Stone</f>
        <v>1450</v>
      </c>
      <c r="M95" s="26">
        <f>K95*L95</f>
        <v>217.5</v>
      </c>
      <c r="N95" s="8"/>
      <c r="O95" s="6"/>
      <c r="P95" s="29"/>
      <c r="Q95" s="28"/>
      <c r="R95" s="28"/>
    </row>
    <row r="96" spans="1:18">
      <c r="A96" s="2"/>
      <c r="B96" s="714"/>
      <c r="C96" s="66"/>
      <c r="D96" s="4"/>
      <c r="E96" s="6"/>
      <c r="F96" s="29"/>
      <c r="G96" s="26"/>
      <c r="H96" s="26"/>
      <c r="I96" s="7" t="s">
        <v>215</v>
      </c>
      <c r="J96" s="8" t="s">
        <v>250</v>
      </c>
      <c r="K96" s="88">
        <v>100</v>
      </c>
      <c r="L96" s="28"/>
      <c r="M96" s="26">
        <f>K96*L96</f>
        <v>0</v>
      </c>
      <c r="N96" s="8"/>
      <c r="O96" s="6"/>
      <c r="P96" s="29"/>
      <c r="Q96" s="28"/>
      <c r="R96" s="28"/>
    </row>
    <row r="97" spans="1:18">
      <c r="A97" s="2"/>
      <c r="B97" s="126"/>
      <c r="C97" s="66"/>
      <c r="D97" s="4"/>
      <c r="E97" s="6"/>
      <c r="F97" s="29"/>
      <c r="G97" s="26"/>
      <c r="H97" s="26"/>
      <c r="I97" s="7"/>
      <c r="J97" s="8"/>
      <c r="K97" s="88"/>
      <c r="L97" s="28"/>
      <c r="M97" s="26"/>
      <c r="N97" s="8"/>
      <c r="O97" s="6"/>
      <c r="P97" s="29"/>
      <c r="Q97" s="28"/>
      <c r="R97" s="28"/>
    </row>
    <row r="98" spans="1:18">
      <c r="A98" s="2"/>
      <c r="B98" s="126"/>
      <c r="C98" s="66"/>
      <c r="D98" s="4"/>
      <c r="E98" s="6"/>
      <c r="F98" s="29"/>
      <c r="G98" s="26"/>
      <c r="H98" s="26"/>
      <c r="I98" s="7"/>
      <c r="J98" s="8"/>
      <c r="K98" s="29"/>
      <c r="L98" s="28"/>
      <c r="M98" s="26"/>
      <c r="N98" s="8"/>
      <c r="O98" s="6"/>
      <c r="P98" s="29"/>
      <c r="Q98" s="28"/>
      <c r="R98" s="28"/>
    </row>
    <row r="99" spans="1:18">
      <c r="A99" s="2"/>
      <c r="B99" s="5"/>
      <c r="C99" s="66"/>
      <c r="D99" s="4"/>
      <c r="E99" s="9"/>
      <c r="F99" s="30"/>
      <c r="G99" s="27"/>
      <c r="H99" s="27"/>
      <c r="I99" s="9"/>
      <c r="J99" s="10"/>
      <c r="K99" s="30"/>
      <c r="L99" s="28"/>
      <c r="M99" s="28"/>
      <c r="N99" s="8"/>
      <c r="O99" s="6"/>
      <c r="P99" s="30"/>
      <c r="Q99" s="28"/>
      <c r="R99" s="28"/>
    </row>
    <row r="100" spans="1:18">
      <c r="A100" s="2"/>
      <c r="B100" s="11"/>
      <c r="C100" s="66"/>
      <c r="D100" s="12"/>
      <c r="E100" s="59"/>
      <c r="F100" s="13"/>
      <c r="G100" s="13" t="s">
        <v>20</v>
      </c>
      <c r="H100" s="25">
        <f>SUM(H91:H99)</f>
        <v>5475</v>
      </c>
      <c r="I100" s="703"/>
      <c r="J100" s="703"/>
      <c r="K100" s="14"/>
      <c r="L100" s="13" t="s">
        <v>21</v>
      </c>
      <c r="M100" s="25">
        <f>SUM(M91:M99)</f>
        <v>5767.7019499999997</v>
      </c>
      <c r="N100" s="3"/>
      <c r="O100" s="14"/>
      <c r="P100" s="14"/>
      <c r="Q100" s="13" t="s">
        <v>22</v>
      </c>
      <c r="R100" s="25">
        <f>SUM(R91:R99)</f>
        <v>164.25</v>
      </c>
    </row>
    <row r="101" spans="1:18">
      <c r="A101" s="2"/>
      <c r="B101" s="16" t="s">
        <v>13</v>
      </c>
      <c r="C101" s="67"/>
      <c r="D101" s="14"/>
      <c r="E101" s="14"/>
      <c r="F101" s="14"/>
      <c r="G101" s="13"/>
      <c r="H101" s="35">
        <f>M100+R100+H100</f>
        <v>11406.951949999999</v>
      </c>
      <c r="I101" s="17"/>
      <c r="J101" s="14"/>
      <c r="K101" s="14"/>
      <c r="L101" s="13"/>
      <c r="M101" s="15"/>
      <c r="N101" s="14"/>
      <c r="O101" s="14"/>
      <c r="P101" s="14"/>
      <c r="Q101" s="14"/>
      <c r="R101" s="17"/>
    </row>
    <row r="102" spans="1:18">
      <c r="A102" s="2"/>
      <c r="B102" s="11" t="s">
        <v>25</v>
      </c>
      <c r="C102" s="68"/>
      <c r="D102" s="4"/>
      <c r="E102" s="4"/>
      <c r="F102" s="4"/>
      <c r="G102" s="18"/>
      <c r="H102" s="36">
        <v>0</v>
      </c>
      <c r="I102" s="20"/>
      <c r="J102" s="4" t="s">
        <v>26</v>
      </c>
      <c r="K102" s="4"/>
      <c r="L102" s="18"/>
      <c r="M102" s="19"/>
      <c r="N102" s="4"/>
      <c r="O102" s="4"/>
      <c r="P102" s="4"/>
      <c r="Q102" s="4"/>
      <c r="R102" s="20"/>
    </row>
    <row r="103" spans="1:18">
      <c r="A103" s="23"/>
      <c r="B103" s="11" t="s">
        <v>14</v>
      </c>
      <c r="C103" s="68"/>
      <c r="D103" s="4"/>
      <c r="E103" s="4"/>
      <c r="F103" s="4"/>
      <c r="G103" s="18"/>
      <c r="H103" s="36">
        <f>SUM(H101:H102)</f>
        <v>11406.951949999999</v>
      </c>
      <c r="I103" s="20"/>
      <c r="J103" s="704"/>
      <c r="K103" s="705"/>
      <c r="L103" s="705"/>
      <c r="M103" s="705"/>
      <c r="N103" s="705"/>
      <c r="O103" s="705"/>
      <c r="P103" s="705"/>
      <c r="Q103" s="705"/>
      <c r="R103" s="706"/>
    </row>
    <row r="104" spans="1:18">
      <c r="A104" s="23"/>
      <c r="B104" s="11" t="s">
        <v>24</v>
      </c>
      <c r="C104" s="68"/>
      <c r="D104" s="4"/>
      <c r="E104" s="4"/>
      <c r="F104" s="4"/>
      <c r="G104" s="18"/>
      <c r="H104" s="36">
        <f>H103*15%</f>
        <v>1711.0427924999997</v>
      </c>
      <c r="I104" s="20"/>
      <c r="J104" s="707"/>
      <c r="K104" s="708"/>
      <c r="L104" s="708"/>
      <c r="M104" s="708"/>
      <c r="N104" s="708"/>
      <c r="O104" s="708"/>
      <c r="P104" s="708"/>
      <c r="Q104" s="708"/>
      <c r="R104" s="709"/>
    </row>
    <row r="105" spans="1:18">
      <c r="A105" s="23"/>
      <c r="B105" s="11" t="s">
        <v>15</v>
      </c>
      <c r="C105" s="68"/>
      <c r="D105" s="4"/>
      <c r="E105" s="4"/>
      <c r="F105" s="4"/>
      <c r="G105" s="21" t="s">
        <v>16</v>
      </c>
      <c r="H105" s="37">
        <f>H104+H103</f>
        <v>13117.994742499999</v>
      </c>
      <c r="I105" s="38" t="str">
        <f>CONCATENATE("per ",C91)</f>
        <v>per cum</v>
      </c>
      <c r="J105" s="707"/>
      <c r="K105" s="708"/>
      <c r="L105" s="708"/>
      <c r="M105" s="708"/>
      <c r="N105" s="708"/>
      <c r="O105" s="708"/>
      <c r="P105" s="708"/>
      <c r="Q105" s="708"/>
      <c r="R105" s="709"/>
    </row>
    <row r="106" spans="1:18">
      <c r="A106" s="23"/>
      <c r="B106" s="11" t="s">
        <v>18</v>
      </c>
      <c r="C106" s="125" t="s">
        <v>19</v>
      </c>
      <c r="D106" s="4"/>
      <c r="E106" s="4"/>
      <c r="F106" s="4"/>
      <c r="G106" s="21" t="s">
        <v>16</v>
      </c>
      <c r="H106" s="37">
        <f>CEILING(H105,0.5)</f>
        <v>13118</v>
      </c>
      <c r="I106" s="38" t="str">
        <f>CONCATENATE("per ",C91)</f>
        <v>per cum</v>
      </c>
      <c r="J106" s="707"/>
      <c r="K106" s="708"/>
      <c r="L106" s="708"/>
      <c r="M106" s="708"/>
      <c r="N106" s="708"/>
      <c r="O106" s="708"/>
      <c r="P106" s="708"/>
      <c r="Q106" s="708"/>
      <c r="R106" s="709"/>
    </row>
    <row r="107" spans="1:18">
      <c r="A107" s="23"/>
      <c r="B107" s="11"/>
      <c r="C107" s="68"/>
      <c r="D107" s="4"/>
      <c r="E107" s="4"/>
      <c r="F107" s="4"/>
      <c r="G107" s="24" t="s">
        <v>17</v>
      </c>
      <c r="H107" s="37">
        <f>H106/exr</f>
        <v>100.9076923076923</v>
      </c>
      <c r="I107" s="38" t="str">
        <f>CONCATENATE("per ",C91)</f>
        <v>per cum</v>
      </c>
      <c r="J107" s="710"/>
      <c r="K107" s="711"/>
      <c r="L107" s="711"/>
      <c r="M107" s="711"/>
      <c r="N107" s="711"/>
      <c r="O107" s="711"/>
      <c r="P107" s="711"/>
      <c r="Q107" s="711"/>
      <c r="R107" s="712"/>
    </row>
    <row r="108" spans="1:18">
      <c r="A108" s="39"/>
      <c r="B108" s="40"/>
      <c r="C108" s="69"/>
      <c r="D108" s="41"/>
      <c r="E108" s="41"/>
      <c r="F108" s="41"/>
      <c r="G108" s="149" t="s">
        <v>460</v>
      </c>
      <c r="H108" s="150">
        <f>CEILING(SUM(M92,R92)/H101,0.0025)</f>
        <v>0.34250000000000003</v>
      </c>
      <c r="I108" s="42"/>
      <c r="J108" s="43"/>
      <c r="K108" s="43"/>
      <c r="L108" s="43"/>
      <c r="M108" s="43"/>
      <c r="N108" s="43"/>
      <c r="O108" s="43"/>
      <c r="P108" s="43"/>
      <c r="Q108" s="43"/>
      <c r="R108" s="44"/>
    </row>
    <row r="110" spans="1:18">
      <c r="A110" s="693" t="s">
        <v>0</v>
      </c>
      <c r="B110" s="695" t="s">
        <v>1</v>
      </c>
      <c r="C110" s="695" t="s">
        <v>2</v>
      </c>
      <c r="D110" s="697" t="s">
        <v>3</v>
      </c>
      <c r="E110" s="698"/>
      <c r="F110" s="698"/>
      <c r="G110" s="698"/>
      <c r="H110" s="698"/>
      <c r="I110" s="699" t="s">
        <v>4</v>
      </c>
      <c r="J110" s="700"/>
      <c r="K110" s="700"/>
      <c r="L110" s="700"/>
      <c r="M110" s="700"/>
      <c r="N110" s="698" t="s">
        <v>5</v>
      </c>
      <c r="O110" s="698"/>
      <c r="P110" s="698"/>
      <c r="Q110" s="698"/>
      <c r="R110" s="698"/>
    </row>
    <row r="111" spans="1:18">
      <c r="A111" s="694"/>
      <c r="B111" s="696"/>
      <c r="C111" s="696"/>
      <c r="D111" s="45" t="s">
        <v>6</v>
      </c>
      <c r="E111" s="46" t="s">
        <v>2</v>
      </c>
      <c r="F111" s="46" t="s">
        <v>7</v>
      </c>
      <c r="G111" s="46" t="s">
        <v>8</v>
      </c>
      <c r="H111" s="46" t="s">
        <v>9</v>
      </c>
      <c r="I111" s="46" t="s">
        <v>10</v>
      </c>
      <c r="J111" s="46" t="s">
        <v>2</v>
      </c>
      <c r="K111" s="46" t="s">
        <v>7</v>
      </c>
      <c r="L111" s="46" t="s">
        <v>8</v>
      </c>
      <c r="M111" s="47" t="s">
        <v>9</v>
      </c>
      <c r="N111" s="46" t="s">
        <v>10</v>
      </c>
      <c r="O111" s="46" t="s">
        <v>2</v>
      </c>
      <c r="P111" s="46" t="s">
        <v>7</v>
      </c>
      <c r="Q111" s="46" t="s">
        <v>8</v>
      </c>
      <c r="R111" s="46" t="s">
        <v>9</v>
      </c>
    </row>
    <row r="112" spans="1:18">
      <c r="A112" s="33" t="s">
        <v>23</v>
      </c>
      <c r="B112" s="73" t="s">
        <v>320</v>
      </c>
      <c r="C112" s="65"/>
      <c r="D112" s="31"/>
      <c r="E112" s="31"/>
      <c r="F112" s="31"/>
      <c r="G112" s="31"/>
      <c r="H112" s="31"/>
      <c r="I112" s="31"/>
      <c r="J112" s="31"/>
      <c r="K112" s="31"/>
      <c r="L112" s="31"/>
      <c r="M112" s="31"/>
      <c r="N112" s="31"/>
      <c r="O112" s="31"/>
      <c r="P112" s="31"/>
      <c r="Q112" s="31"/>
      <c r="R112" s="32"/>
    </row>
    <row r="113" spans="1:18">
      <c r="A113" s="34">
        <f>A91+1</f>
        <v>6</v>
      </c>
      <c r="B113" s="713" t="s">
        <v>321</v>
      </c>
      <c r="C113" s="66" t="s">
        <v>11</v>
      </c>
      <c r="D113" s="4"/>
      <c r="E113" s="6"/>
      <c r="F113" s="29"/>
      <c r="G113" s="26"/>
      <c r="H113" s="26"/>
      <c r="I113" s="6"/>
      <c r="J113" s="6"/>
      <c r="K113" s="29"/>
      <c r="L113" s="26"/>
      <c r="M113" s="26"/>
      <c r="N113" s="6"/>
      <c r="O113" s="6"/>
      <c r="P113" s="29"/>
      <c r="Q113" s="26"/>
      <c r="R113" s="26"/>
    </row>
    <row r="114" spans="1:18">
      <c r="A114" s="2"/>
      <c r="B114" s="714"/>
      <c r="C114" s="66"/>
      <c r="D114" s="4" t="s">
        <v>251</v>
      </c>
      <c r="E114" s="6" t="s">
        <v>81</v>
      </c>
      <c r="F114" s="29">
        <v>2</v>
      </c>
      <c r="G114" s="26">
        <f>sr</f>
        <v>1100</v>
      </c>
      <c r="H114" s="26">
        <f>F114*G114</f>
        <v>2200</v>
      </c>
      <c r="I114" s="7" t="s">
        <v>31</v>
      </c>
      <c r="J114" s="8" t="s">
        <v>32</v>
      </c>
      <c r="K114" s="88">
        <v>0.19</v>
      </c>
      <c r="L114" s="28">
        <f>cement</f>
        <v>24049.69</v>
      </c>
      <c r="M114" s="26">
        <f t="shared" ref="M114:M119" si="2">K114*L114</f>
        <v>4569.4411</v>
      </c>
      <c r="N114" s="8" t="s">
        <v>287</v>
      </c>
      <c r="O114" s="6" t="s">
        <v>101</v>
      </c>
      <c r="P114" s="29">
        <v>0.15</v>
      </c>
      <c r="Q114" s="28">
        <f>mixer</f>
        <v>216.32</v>
      </c>
      <c r="R114" s="26">
        <f>P114*Q114</f>
        <v>32.448</v>
      </c>
    </row>
    <row r="115" spans="1:18">
      <c r="A115" s="2"/>
      <c r="B115" s="714"/>
      <c r="C115" s="66"/>
      <c r="D115" s="4" t="s">
        <v>97</v>
      </c>
      <c r="E115" s="6" t="s">
        <v>81</v>
      </c>
      <c r="F115" s="29">
        <v>3.5</v>
      </c>
      <c r="G115" s="26">
        <f>ur</f>
        <v>850</v>
      </c>
      <c r="H115" s="26">
        <f>F115*G115</f>
        <v>2975</v>
      </c>
      <c r="I115" s="7" t="s">
        <v>286</v>
      </c>
      <c r="J115" s="8" t="s">
        <v>11</v>
      </c>
      <c r="K115" s="88">
        <v>0.4</v>
      </c>
      <c r="L115" s="28">
        <f>sand</f>
        <v>1050</v>
      </c>
      <c r="M115" s="26">
        <f t="shared" si="2"/>
        <v>420</v>
      </c>
      <c r="N115" s="8" t="s">
        <v>288</v>
      </c>
      <c r="O115" s="6"/>
      <c r="P115" s="29"/>
      <c r="Q115" s="28"/>
      <c r="R115" s="26"/>
    </row>
    <row r="116" spans="1:18">
      <c r="A116" s="2"/>
      <c r="B116" s="714"/>
      <c r="C116" s="66"/>
      <c r="D116" s="4"/>
      <c r="E116" s="6"/>
      <c r="F116" s="29"/>
      <c r="G116" s="26"/>
      <c r="H116" s="26"/>
      <c r="I116" s="7" t="s">
        <v>318</v>
      </c>
      <c r="J116" s="8" t="s">
        <v>11</v>
      </c>
      <c r="K116" s="88">
        <v>1</v>
      </c>
      <c r="L116" s="212">
        <f>Block_Stone</f>
        <v>1350</v>
      </c>
      <c r="M116" s="26">
        <f t="shared" si="2"/>
        <v>1350</v>
      </c>
      <c r="N116" s="8"/>
      <c r="O116" s="6"/>
      <c r="P116" s="29"/>
      <c r="Q116" s="28"/>
      <c r="R116" s="28"/>
    </row>
    <row r="117" spans="1:18">
      <c r="A117" s="2"/>
      <c r="B117" s="714"/>
      <c r="C117" s="66"/>
      <c r="D117" s="4"/>
      <c r="E117" s="6"/>
      <c r="F117" s="29"/>
      <c r="G117" s="26"/>
      <c r="H117" s="26"/>
      <c r="I117" s="7" t="s">
        <v>315</v>
      </c>
      <c r="J117" s="8" t="s">
        <v>11</v>
      </c>
      <c r="K117" s="88">
        <v>0.15</v>
      </c>
      <c r="L117" s="212">
        <f>Bond_Stone</f>
        <v>1450</v>
      </c>
      <c r="M117" s="26">
        <f t="shared" si="2"/>
        <v>217.5</v>
      </c>
      <c r="N117" s="8"/>
      <c r="O117" s="6"/>
      <c r="P117" s="29"/>
      <c r="Q117" s="28"/>
      <c r="R117" s="28"/>
    </row>
    <row r="118" spans="1:18">
      <c r="A118" s="2"/>
      <c r="B118" s="714"/>
      <c r="C118" s="66"/>
      <c r="D118" s="4"/>
      <c r="E118" s="6"/>
      <c r="F118" s="29"/>
      <c r="G118" s="26"/>
      <c r="H118" s="26"/>
      <c r="I118" s="7" t="s">
        <v>67</v>
      </c>
      <c r="J118" s="8" t="s">
        <v>250</v>
      </c>
      <c r="K118" s="88">
        <v>1</v>
      </c>
      <c r="L118" s="28">
        <f>diesel</f>
        <v>177.6</v>
      </c>
      <c r="M118" s="26">
        <f t="shared" si="2"/>
        <v>177.6</v>
      </c>
      <c r="N118" s="8"/>
      <c r="O118" s="6"/>
      <c r="P118" s="29"/>
      <c r="Q118" s="28"/>
      <c r="R118" s="28"/>
    </row>
    <row r="119" spans="1:18">
      <c r="A119" s="2"/>
      <c r="B119" s="126"/>
      <c r="C119" s="66"/>
      <c r="D119" s="4"/>
      <c r="E119" s="6"/>
      <c r="F119" s="29"/>
      <c r="G119" s="26"/>
      <c r="H119" s="26"/>
      <c r="I119" s="7" t="s">
        <v>215</v>
      </c>
      <c r="J119" s="8" t="s">
        <v>250</v>
      </c>
      <c r="K119" s="88">
        <v>120</v>
      </c>
      <c r="L119" s="28"/>
      <c r="M119" s="26">
        <f t="shared" si="2"/>
        <v>0</v>
      </c>
      <c r="N119" s="8"/>
      <c r="O119" s="6"/>
      <c r="P119" s="29"/>
      <c r="Q119" s="28"/>
      <c r="R119" s="28"/>
    </row>
    <row r="120" spans="1:18">
      <c r="A120" s="2"/>
      <c r="B120" s="126"/>
      <c r="C120" s="66"/>
      <c r="D120" s="4"/>
      <c r="E120" s="6"/>
      <c r="F120" s="29"/>
      <c r="G120" s="26"/>
      <c r="H120" s="26"/>
      <c r="I120" s="7"/>
      <c r="J120" s="8"/>
      <c r="K120" s="29"/>
      <c r="L120" s="28"/>
      <c r="M120" s="26"/>
      <c r="N120" s="8"/>
      <c r="O120" s="6"/>
      <c r="P120" s="29"/>
      <c r="Q120" s="28"/>
      <c r="R120" s="28"/>
    </row>
    <row r="121" spans="1:18">
      <c r="A121" s="2"/>
      <c r="B121" s="5"/>
      <c r="C121" s="66"/>
      <c r="D121" s="4"/>
      <c r="E121" s="9"/>
      <c r="F121" s="30"/>
      <c r="G121" s="27"/>
      <c r="H121" s="27"/>
      <c r="I121" s="9"/>
      <c r="J121" s="10"/>
      <c r="K121" s="30"/>
      <c r="L121" s="28"/>
      <c r="M121" s="28"/>
      <c r="N121" s="8"/>
      <c r="O121" s="6"/>
      <c r="P121" s="30"/>
      <c r="Q121" s="28"/>
      <c r="R121" s="28"/>
    </row>
    <row r="122" spans="1:18">
      <c r="A122" s="2"/>
      <c r="B122" s="11"/>
      <c r="C122" s="66"/>
      <c r="D122" s="12"/>
      <c r="E122" s="59"/>
      <c r="F122" s="13"/>
      <c r="G122" s="13" t="s">
        <v>20</v>
      </c>
      <c r="H122" s="25">
        <f>SUM(H113:H121)</f>
        <v>5175</v>
      </c>
      <c r="I122" s="703"/>
      <c r="J122" s="703"/>
      <c r="K122" s="14"/>
      <c r="L122" s="13" t="s">
        <v>21</v>
      </c>
      <c r="M122" s="25">
        <f>SUM(M113:M121)</f>
        <v>6734.5411000000004</v>
      </c>
      <c r="N122" s="3"/>
      <c r="O122" s="14"/>
      <c r="P122" s="14"/>
      <c r="Q122" s="13" t="s">
        <v>22</v>
      </c>
      <c r="R122" s="25">
        <f>SUM(R113:R121)</f>
        <v>32.448</v>
      </c>
    </row>
    <row r="123" spans="1:18">
      <c r="A123" s="2"/>
      <c r="B123" s="16" t="s">
        <v>13</v>
      </c>
      <c r="C123" s="67"/>
      <c r="D123" s="14"/>
      <c r="E123" s="14"/>
      <c r="F123" s="14"/>
      <c r="G123" s="13"/>
      <c r="H123" s="35">
        <f>M122+R122+H122</f>
        <v>11941.989100000001</v>
      </c>
      <c r="I123" s="17"/>
      <c r="J123" s="14"/>
      <c r="K123" s="14"/>
      <c r="L123" s="13"/>
      <c r="M123" s="15"/>
      <c r="N123" s="14"/>
      <c r="O123" s="14"/>
      <c r="P123" s="14"/>
      <c r="Q123" s="14"/>
      <c r="R123" s="17"/>
    </row>
    <row r="124" spans="1:18">
      <c r="A124" s="2"/>
      <c r="B124" s="11" t="s">
        <v>25</v>
      </c>
      <c r="C124" s="68"/>
      <c r="D124" s="4"/>
      <c r="E124" s="4"/>
      <c r="F124" s="4"/>
      <c r="G124" s="18"/>
      <c r="H124" s="36">
        <v>0</v>
      </c>
      <c r="I124" s="20"/>
      <c r="J124" s="4" t="s">
        <v>26</v>
      </c>
      <c r="K124" s="4"/>
      <c r="L124" s="18"/>
      <c r="M124" s="19"/>
      <c r="N124" s="4"/>
      <c r="O124" s="4"/>
      <c r="P124" s="4"/>
      <c r="Q124" s="4"/>
      <c r="R124" s="20"/>
    </row>
    <row r="125" spans="1:18">
      <c r="A125" s="23"/>
      <c r="B125" s="11" t="s">
        <v>14</v>
      </c>
      <c r="C125" s="68"/>
      <c r="D125" s="4"/>
      <c r="E125" s="4"/>
      <c r="F125" s="4"/>
      <c r="G125" s="18"/>
      <c r="H125" s="36">
        <f>SUM(H123:H124)</f>
        <v>11941.989100000001</v>
      </c>
      <c r="I125" s="20"/>
      <c r="J125" s="704"/>
      <c r="K125" s="705"/>
      <c r="L125" s="705"/>
      <c r="M125" s="705"/>
      <c r="N125" s="705"/>
      <c r="O125" s="705"/>
      <c r="P125" s="705"/>
      <c r="Q125" s="705"/>
      <c r="R125" s="706"/>
    </row>
    <row r="126" spans="1:18">
      <c r="A126" s="23"/>
      <c r="B126" s="11" t="s">
        <v>24</v>
      </c>
      <c r="C126" s="68"/>
      <c r="D126" s="4"/>
      <c r="E126" s="4"/>
      <c r="F126" s="4"/>
      <c r="G126" s="18"/>
      <c r="H126" s="36">
        <f>H125*15%</f>
        <v>1791.2983650000001</v>
      </c>
      <c r="I126" s="20"/>
      <c r="J126" s="707"/>
      <c r="K126" s="708"/>
      <c r="L126" s="708"/>
      <c r="M126" s="708"/>
      <c r="N126" s="708"/>
      <c r="O126" s="708"/>
      <c r="P126" s="708"/>
      <c r="Q126" s="708"/>
      <c r="R126" s="709"/>
    </row>
    <row r="127" spans="1:18">
      <c r="A127" s="23"/>
      <c r="B127" s="11" t="s">
        <v>15</v>
      </c>
      <c r="C127" s="68"/>
      <c r="D127" s="4"/>
      <c r="E127" s="4"/>
      <c r="F127" s="4"/>
      <c r="G127" s="21" t="s">
        <v>16</v>
      </c>
      <c r="H127" s="37">
        <f>H126+H125</f>
        <v>13733.287465000001</v>
      </c>
      <c r="I127" s="38" t="str">
        <f>CONCATENATE("per ",C113)</f>
        <v>per cum</v>
      </c>
      <c r="J127" s="707"/>
      <c r="K127" s="708"/>
      <c r="L127" s="708"/>
      <c r="M127" s="708"/>
      <c r="N127" s="708"/>
      <c r="O127" s="708"/>
      <c r="P127" s="708"/>
      <c r="Q127" s="708"/>
      <c r="R127" s="709"/>
    </row>
    <row r="128" spans="1:18">
      <c r="A128" s="23"/>
      <c r="B128" s="11" t="s">
        <v>18</v>
      </c>
      <c r="C128" s="125" t="s">
        <v>19</v>
      </c>
      <c r="D128" s="4"/>
      <c r="E128" s="4"/>
      <c r="F128" s="4"/>
      <c r="G128" s="21" t="s">
        <v>16</v>
      </c>
      <c r="H128" s="37">
        <f>CEILING(H127,0.5)</f>
        <v>13733.5</v>
      </c>
      <c r="I128" s="38" t="str">
        <f>CONCATENATE("per ",C113)</f>
        <v>per cum</v>
      </c>
      <c r="J128" s="707"/>
      <c r="K128" s="708"/>
      <c r="L128" s="708"/>
      <c r="M128" s="708"/>
      <c r="N128" s="708"/>
      <c r="O128" s="708"/>
      <c r="P128" s="708"/>
      <c r="Q128" s="708"/>
      <c r="R128" s="709"/>
    </row>
    <row r="129" spans="1:18">
      <c r="A129" s="23"/>
      <c r="B129" s="11"/>
      <c r="C129" s="68"/>
      <c r="D129" s="4"/>
      <c r="E129" s="4"/>
      <c r="F129" s="4"/>
      <c r="G129" s="24" t="s">
        <v>17</v>
      </c>
      <c r="H129" s="37">
        <f>H128/exr</f>
        <v>105.6423076923077</v>
      </c>
      <c r="I129" s="38" t="str">
        <f>CONCATENATE("per ",C113)</f>
        <v>per cum</v>
      </c>
      <c r="J129" s="710"/>
      <c r="K129" s="711"/>
      <c r="L129" s="711"/>
      <c r="M129" s="711"/>
      <c r="N129" s="711"/>
      <c r="O129" s="711"/>
      <c r="P129" s="711"/>
      <c r="Q129" s="711"/>
      <c r="R129" s="712"/>
    </row>
    <row r="130" spans="1:18">
      <c r="A130" s="39"/>
      <c r="B130" s="40"/>
      <c r="C130" s="69"/>
      <c r="D130" s="41"/>
      <c r="E130" s="41"/>
      <c r="F130" s="41"/>
      <c r="G130" s="149" t="s">
        <v>460</v>
      </c>
      <c r="H130" s="150">
        <f>CEILING(SUM(M114,M118,R114)/H123,0.0025)</f>
        <v>0.40250000000000002</v>
      </c>
      <c r="I130" s="42"/>
      <c r="J130" s="43"/>
      <c r="K130" s="43"/>
      <c r="L130" s="43"/>
      <c r="M130" s="43"/>
      <c r="N130" s="43"/>
      <c r="O130" s="43"/>
      <c r="P130" s="43"/>
      <c r="Q130" s="43"/>
      <c r="R130" s="44"/>
    </row>
    <row r="132" spans="1:18">
      <c r="A132" s="693" t="s">
        <v>0</v>
      </c>
      <c r="B132" s="695" t="s">
        <v>1</v>
      </c>
      <c r="C132" s="695" t="s">
        <v>2</v>
      </c>
      <c r="D132" s="697" t="s">
        <v>3</v>
      </c>
      <c r="E132" s="698"/>
      <c r="F132" s="698"/>
      <c r="G132" s="698"/>
      <c r="H132" s="698"/>
      <c r="I132" s="699" t="s">
        <v>4</v>
      </c>
      <c r="J132" s="700"/>
      <c r="K132" s="700"/>
      <c r="L132" s="700"/>
      <c r="M132" s="700"/>
      <c r="N132" s="698" t="s">
        <v>5</v>
      </c>
      <c r="O132" s="698"/>
      <c r="P132" s="698"/>
      <c r="Q132" s="698"/>
      <c r="R132" s="698"/>
    </row>
    <row r="133" spans="1:18">
      <c r="A133" s="694"/>
      <c r="B133" s="696"/>
      <c r="C133" s="696"/>
      <c r="D133" s="45" t="s">
        <v>6</v>
      </c>
      <c r="E133" s="46" t="s">
        <v>2</v>
      </c>
      <c r="F133" s="46" t="s">
        <v>7</v>
      </c>
      <c r="G133" s="46" t="s">
        <v>8</v>
      </c>
      <c r="H133" s="46" t="s">
        <v>9</v>
      </c>
      <c r="I133" s="46" t="s">
        <v>10</v>
      </c>
      <c r="J133" s="46" t="s">
        <v>2</v>
      </c>
      <c r="K133" s="46" t="s">
        <v>7</v>
      </c>
      <c r="L133" s="46" t="s">
        <v>8</v>
      </c>
      <c r="M133" s="47" t="s">
        <v>9</v>
      </c>
      <c r="N133" s="46" t="s">
        <v>10</v>
      </c>
      <c r="O133" s="46" t="s">
        <v>2</v>
      </c>
      <c r="P133" s="46" t="s">
        <v>7</v>
      </c>
      <c r="Q133" s="46" t="s">
        <v>8</v>
      </c>
      <c r="R133" s="46" t="s">
        <v>9</v>
      </c>
    </row>
    <row r="134" spans="1:18">
      <c r="A134" s="33" t="s">
        <v>23</v>
      </c>
      <c r="B134" s="73" t="s">
        <v>320</v>
      </c>
      <c r="C134" s="65"/>
      <c r="D134" s="31"/>
      <c r="E134" s="31"/>
      <c r="F134" s="31"/>
      <c r="G134" s="31"/>
      <c r="H134" s="31"/>
      <c r="I134" s="31"/>
      <c r="J134" s="31"/>
      <c r="K134" s="31"/>
      <c r="L134" s="31"/>
      <c r="M134" s="31"/>
      <c r="N134" s="31"/>
      <c r="O134" s="31"/>
      <c r="P134" s="31"/>
      <c r="Q134" s="31"/>
      <c r="R134" s="32"/>
    </row>
    <row r="135" spans="1:18" ht="15.75" customHeight="1">
      <c r="A135" s="34">
        <f>A113+1</f>
        <v>7</v>
      </c>
      <c r="B135" s="713" t="s">
        <v>322</v>
      </c>
      <c r="C135" s="66" t="s">
        <v>11</v>
      </c>
      <c r="D135" s="4"/>
      <c r="E135" s="6"/>
      <c r="F135" s="29"/>
      <c r="G135" s="26"/>
      <c r="H135" s="26"/>
      <c r="I135" s="6"/>
      <c r="J135" s="6"/>
      <c r="K135" s="29"/>
      <c r="L135" s="26"/>
      <c r="M135" s="26"/>
      <c r="N135" s="6"/>
      <c r="O135" s="6"/>
      <c r="P135" s="29"/>
      <c r="Q135" s="26"/>
      <c r="R135" s="26"/>
    </row>
    <row r="136" spans="1:18">
      <c r="A136" s="2"/>
      <c r="B136" s="714"/>
      <c r="C136" s="66"/>
      <c r="D136" s="4" t="s">
        <v>251</v>
      </c>
      <c r="E136" s="6" t="s">
        <v>81</v>
      </c>
      <c r="F136" s="29">
        <v>2</v>
      </c>
      <c r="G136" s="26">
        <f>sr</f>
        <v>1100</v>
      </c>
      <c r="H136" s="26">
        <f>F136*G136</f>
        <v>2200</v>
      </c>
      <c r="I136" s="7" t="s">
        <v>31</v>
      </c>
      <c r="J136" s="8" t="s">
        <v>32</v>
      </c>
      <c r="K136" s="88">
        <v>0.155</v>
      </c>
      <c r="L136" s="28">
        <f>cement</f>
        <v>24049.69</v>
      </c>
      <c r="M136" s="26">
        <f t="shared" ref="M136:M141" si="3">K136*L136</f>
        <v>3727.7019499999997</v>
      </c>
      <c r="N136" s="8" t="s">
        <v>287</v>
      </c>
      <c r="O136" s="6" t="s">
        <v>101</v>
      </c>
      <c r="P136" s="29">
        <v>0.15</v>
      </c>
      <c r="Q136" s="28">
        <f>mixer</f>
        <v>216.32</v>
      </c>
      <c r="R136" s="26">
        <f>P136*Q136</f>
        <v>32.448</v>
      </c>
    </row>
    <row r="137" spans="1:18">
      <c r="A137" s="2"/>
      <c r="B137" s="714"/>
      <c r="C137" s="66"/>
      <c r="D137" s="4" t="s">
        <v>97</v>
      </c>
      <c r="E137" s="6" t="s">
        <v>81</v>
      </c>
      <c r="F137" s="29">
        <v>3.5</v>
      </c>
      <c r="G137" s="26">
        <f>ur</f>
        <v>850</v>
      </c>
      <c r="H137" s="26">
        <f>F137*G137</f>
        <v>2975</v>
      </c>
      <c r="I137" s="7" t="s">
        <v>286</v>
      </c>
      <c r="J137" s="8" t="s">
        <v>11</v>
      </c>
      <c r="K137" s="88">
        <v>0.45</v>
      </c>
      <c r="L137" s="28">
        <f>sand</f>
        <v>1050</v>
      </c>
      <c r="M137" s="26">
        <f t="shared" si="3"/>
        <v>472.5</v>
      </c>
      <c r="N137" s="8" t="s">
        <v>288</v>
      </c>
      <c r="O137" s="6"/>
      <c r="P137" s="29"/>
      <c r="Q137" s="28"/>
      <c r="R137" s="26"/>
    </row>
    <row r="138" spans="1:18">
      <c r="A138" s="2"/>
      <c r="B138" s="714"/>
      <c r="C138" s="66"/>
      <c r="D138" s="4"/>
      <c r="E138" s="6"/>
      <c r="F138" s="29"/>
      <c r="G138" s="26"/>
      <c r="H138" s="26"/>
      <c r="I138" s="7" t="s">
        <v>318</v>
      </c>
      <c r="J138" s="8" t="s">
        <v>11</v>
      </c>
      <c r="K138" s="88">
        <v>1</v>
      </c>
      <c r="L138" s="212">
        <f>Block_Stone</f>
        <v>1350</v>
      </c>
      <c r="M138" s="26">
        <f t="shared" si="3"/>
        <v>1350</v>
      </c>
      <c r="N138" s="8"/>
      <c r="O138" s="6"/>
      <c r="P138" s="29"/>
      <c r="Q138" s="28"/>
      <c r="R138" s="28"/>
    </row>
    <row r="139" spans="1:18">
      <c r="A139" s="2"/>
      <c r="B139" s="714"/>
      <c r="C139" s="66"/>
      <c r="D139" s="4"/>
      <c r="E139" s="6"/>
      <c r="F139" s="29"/>
      <c r="G139" s="26"/>
      <c r="H139" s="26"/>
      <c r="I139" s="7" t="s">
        <v>315</v>
      </c>
      <c r="J139" s="8" t="s">
        <v>11</v>
      </c>
      <c r="K139" s="88">
        <v>0.15</v>
      </c>
      <c r="L139" s="212">
        <f>Bond_Stone</f>
        <v>1450</v>
      </c>
      <c r="M139" s="26">
        <f t="shared" si="3"/>
        <v>217.5</v>
      </c>
      <c r="N139" s="8"/>
      <c r="O139" s="6"/>
      <c r="P139" s="29"/>
      <c r="Q139" s="28"/>
      <c r="R139" s="28"/>
    </row>
    <row r="140" spans="1:18">
      <c r="A140" s="2"/>
      <c r="B140" s="714"/>
      <c r="C140" s="66"/>
      <c r="D140" s="4"/>
      <c r="E140" s="6"/>
      <c r="F140" s="29"/>
      <c r="G140" s="26"/>
      <c r="H140" s="26"/>
      <c r="I140" s="7" t="s">
        <v>67</v>
      </c>
      <c r="J140" s="8" t="s">
        <v>250</v>
      </c>
      <c r="K140" s="88">
        <v>1</v>
      </c>
      <c r="L140" s="28">
        <f>diesel</f>
        <v>177.6</v>
      </c>
      <c r="M140" s="26">
        <f t="shared" si="3"/>
        <v>177.6</v>
      </c>
      <c r="N140" s="8"/>
      <c r="O140" s="6"/>
      <c r="P140" s="29"/>
      <c r="Q140" s="28"/>
      <c r="R140" s="28"/>
    </row>
    <row r="141" spans="1:18">
      <c r="A141" s="2"/>
      <c r="B141" s="126"/>
      <c r="C141" s="66"/>
      <c r="D141" s="4"/>
      <c r="E141" s="6"/>
      <c r="F141" s="29"/>
      <c r="G141" s="26"/>
      <c r="H141" s="26"/>
      <c r="I141" s="7" t="s">
        <v>215</v>
      </c>
      <c r="J141" s="8" t="s">
        <v>250</v>
      </c>
      <c r="K141" s="88">
        <v>100</v>
      </c>
      <c r="L141" s="28"/>
      <c r="M141" s="26">
        <f t="shared" si="3"/>
        <v>0</v>
      </c>
      <c r="N141" s="8"/>
      <c r="O141" s="6"/>
      <c r="P141" s="29"/>
      <c r="Q141" s="28"/>
      <c r="R141" s="28"/>
    </row>
    <row r="142" spans="1:18">
      <c r="A142" s="2"/>
      <c r="B142" s="126"/>
      <c r="C142" s="66"/>
      <c r="D142" s="4"/>
      <c r="E142" s="6"/>
      <c r="F142" s="29"/>
      <c r="G142" s="26"/>
      <c r="H142" s="26"/>
      <c r="I142" s="7"/>
      <c r="J142" s="8"/>
      <c r="K142" s="29"/>
      <c r="L142" s="28"/>
      <c r="M142" s="26"/>
      <c r="N142" s="8"/>
      <c r="O142" s="6"/>
      <c r="P142" s="29"/>
      <c r="Q142" s="28"/>
      <c r="R142" s="28"/>
    </row>
    <row r="143" spans="1:18">
      <c r="A143" s="2"/>
      <c r="B143" s="5"/>
      <c r="C143" s="66"/>
      <c r="D143" s="4"/>
      <c r="E143" s="9"/>
      <c r="F143" s="30"/>
      <c r="G143" s="27"/>
      <c r="H143" s="27"/>
      <c r="I143" s="9"/>
      <c r="J143" s="10"/>
      <c r="K143" s="30"/>
      <c r="L143" s="28"/>
      <c r="M143" s="28"/>
      <c r="N143" s="8"/>
      <c r="O143" s="6"/>
      <c r="P143" s="30"/>
      <c r="Q143" s="28"/>
      <c r="R143" s="28"/>
    </row>
    <row r="144" spans="1:18">
      <c r="A144" s="2"/>
      <c r="B144" s="11"/>
      <c r="C144" s="66"/>
      <c r="D144" s="12"/>
      <c r="E144" s="59"/>
      <c r="F144" s="13"/>
      <c r="G144" s="13" t="s">
        <v>20</v>
      </c>
      <c r="H144" s="25">
        <f>SUM(H135:H143)</f>
        <v>5175</v>
      </c>
      <c r="I144" s="703"/>
      <c r="J144" s="703"/>
      <c r="K144" s="14"/>
      <c r="L144" s="13" t="s">
        <v>21</v>
      </c>
      <c r="M144" s="25">
        <f>SUM(M135:M143)</f>
        <v>5945.30195</v>
      </c>
      <c r="N144" s="3"/>
      <c r="O144" s="14"/>
      <c r="P144" s="14"/>
      <c r="Q144" s="13" t="s">
        <v>22</v>
      </c>
      <c r="R144" s="25">
        <f>SUM(R135:R143)</f>
        <v>32.448</v>
      </c>
    </row>
    <row r="145" spans="1:18">
      <c r="A145" s="2"/>
      <c r="B145" s="16" t="s">
        <v>13</v>
      </c>
      <c r="C145" s="67"/>
      <c r="D145" s="14"/>
      <c r="E145" s="14"/>
      <c r="F145" s="14"/>
      <c r="G145" s="13"/>
      <c r="H145" s="35">
        <f>M144+R144+H144</f>
        <v>11152.749950000001</v>
      </c>
      <c r="I145" s="17"/>
      <c r="J145" s="14"/>
      <c r="K145" s="14"/>
      <c r="L145" s="13"/>
      <c r="M145" s="15"/>
      <c r="N145" s="14"/>
      <c r="O145" s="14"/>
      <c r="P145" s="14"/>
      <c r="Q145" s="14"/>
      <c r="R145" s="17"/>
    </row>
    <row r="146" spans="1:18">
      <c r="A146" s="2"/>
      <c r="B146" s="11" t="s">
        <v>25</v>
      </c>
      <c r="C146" s="68"/>
      <c r="D146" s="4"/>
      <c r="E146" s="4"/>
      <c r="F146" s="4"/>
      <c r="G146" s="18"/>
      <c r="H146" s="36">
        <v>0</v>
      </c>
      <c r="I146" s="20"/>
      <c r="J146" s="4" t="s">
        <v>26</v>
      </c>
      <c r="K146" s="4"/>
      <c r="L146" s="18"/>
      <c r="M146" s="19"/>
      <c r="N146" s="4"/>
      <c r="O146" s="4"/>
      <c r="P146" s="4"/>
      <c r="Q146" s="4"/>
      <c r="R146" s="20"/>
    </row>
    <row r="147" spans="1:18">
      <c r="A147" s="23"/>
      <c r="B147" s="11" t="s">
        <v>14</v>
      </c>
      <c r="C147" s="68"/>
      <c r="D147" s="4"/>
      <c r="E147" s="4"/>
      <c r="F147" s="4"/>
      <c r="G147" s="18"/>
      <c r="H147" s="36">
        <f>SUM(H145:H146)</f>
        <v>11152.749950000001</v>
      </c>
      <c r="I147" s="20"/>
      <c r="J147" s="704"/>
      <c r="K147" s="705"/>
      <c r="L147" s="705"/>
      <c r="M147" s="705"/>
      <c r="N147" s="705"/>
      <c r="O147" s="705"/>
      <c r="P147" s="705"/>
      <c r="Q147" s="705"/>
      <c r="R147" s="706"/>
    </row>
    <row r="148" spans="1:18">
      <c r="A148" s="23"/>
      <c r="B148" s="11" t="s">
        <v>24</v>
      </c>
      <c r="C148" s="68"/>
      <c r="D148" s="4"/>
      <c r="E148" s="4"/>
      <c r="F148" s="4"/>
      <c r="G148" s="18"/>
      <c r="H148" s="36">
        <f>H147*15%</f>
        <v>1672.9124925000001</v>
      </c>
      <c r="I148" s="20"/>
      <c r="J148" s="707"/>
      <c r="K148" s="708"/>
      <c r="L148" s="708"/>
      <c r="M148" s="708"/>
      <c r="N148" s="708"/>
      <c r="O148" s="708"/>
      <c r="P148" s="708"/>
      <c r="Q148" s="708"/>
      <c r="R148" s="709"/>
    </row>
    <row r="149" spans="1:18">
      <c r="A149" s="23"/>
      <c r="B149" s="11" t="s">
        <v>15</v>
      </c>
      <c r="C149" s="68"/>
      <c r="D149" s="4"/>
      <c r="E149" s="4"/>
      <c r="F149" s="4"/>
      <c r="G149" s="21" t="s">
        <v>16</v>
      </c>
      <c r="H149" s="37">
        <f>H148+H147</f>
        <v>12825.662442500001</v>
      </c>
      <c r="I149" s="38" t="str">
        <f>CONCATENATE("per ",C135)</f>
        <v>per cum</v>
      </c>
      <c r="J149" s="707"/>
      <c r="K149" s="708"/>
      <c r="L149" s="708"/>
      <c r="M149" s="708"/>
      <c r="N149" s="708"/>
      <c r="O149" s="708"/>
      <c r="P149" s="708"/>
      <c r="Q149" s="708"/>
      <c r="R149" s="709"/>
    </row>
    <row r="150" spans="1:18">
      <c r="A150" s="23"/>
      <c r="B150" s="11" t="s">
        <v>18</v>
      </c>
      <c r="C150" s="125" t="s">
        <v>19</v>
      </c>
      <c r="D150" s="4"/>
      <c r="E150" s="4"/>
      <c r="F150" s="4"/>
      <c r="G150" s="21" t="s">
        <v>16</v>
      </c>
      <c r="H150" s="37">
        <f>CEILING(H149,0.5)</f>
        <v>12826</v>
      </c>
      <c r="I150" s="38" t="str">
        <f>CONCATENATE("per ",C135)</f>
        <v>per cum</v>
      </c>
      <c r="J150" s="707"/>
      <c r="K150" s="708"/>
      <c r="L150" s="708"/>
      <c r="M150" s="708"/>
      <c r="N150" s="708"/>
      <c r="O150" s="708"/>
      <c r="P150" s="708"/>
      <c r="Q150" s="708"/>
      <c r="R150" s="709"/>
    </row>
    <row r="151" spans="1:18">
      <c r="A151" s="23"/>
      <c r="B151" s="11"/>
      <c r="C151" s="68"/>
      <c r="D151" s="4"/>
      <c r="E151" s="4"/>
      <c r="F151" s="4"/>
      <c r="G151" s="24" t="s">
        <v>17</v>
      </c>
      <c r="H151" s="37">
        <f>H150/exr</f>
        <v>98.661538461538456</v>
      </c>
      <c r="I151" s="38" t="str">
        <f>CONCATENATE("per ",C135)</f>
        <v>per cum</v>
      </c>
      <c r="J151" s="710"/>
      <c r="K151" s="711"/>
      <c r="L151" s="711"/>
      <c r="M151" s="711"/>
      <c r="N151" s="711"/>
      <c r="O151" s="711"/>
      <c r="P151" s="711"/>
      <c r="Q151" s="711"/>
      <c r="R151" s="712"/>
    </row>
    <row r="152" spans="1:18">
      <c r="A152" s="39"/>
      <c r="B152" s="40"/>
      <c r="C152" s="69"/>
      <c r="D152" s="41"/>
      <c r="E152" s="41"/>
      <c r="F152" s="41"/>
      <c r="G152" s="149" t="s">
        <v>460</v>
      </c>
      <c r="H152" s="150">
        <f>CEILING(SUM(M136,M140,R136)/H145,0.0025)</f>
        <v>0.35499999999999998</v>
      </c>
      <c r="I152" s="42"/>
      <c r="J152" s="43"/>
      <c r="K152" s="43"/>
      <c r="L152" s="43"/>
      <c r="M152" s="43"/>
      <c r="N152" s="43"/>
      <c r="O152" s="43"/>
      <c r="P152" s="43"/>
      <c r="Q152" s="43"/>
      <c r="R152" s="44"/>
    </row>
    <row r="154" spans="1:18">
      <c r="A154" s="693" t="s">
        <v>0</v>
      </c>
      <c r="B154" s="695" t="s">
        <v>1</v>
      </c>
      <c r="C154" s="695" t="s">
        <v>2</v>
      </c>
      <c r="D154" s="697" t="s">
        <v>3</v>
      </c>
      <c r="E154" s="698"/>
      <c r="F154" s="698"/>
      <c r="G154" s="698"/>
      <c r="H154" s="698"/>
      <c r="I154" s="699" t="s">
        <v>4</v>
      </c>
      <c r="J154" s="700"/>
      <c r="K154" s="700"/>
      <c r="L154" s="700"/>
      <c r="M154" s="700"/>
      <c r="N154" s="698" t="s">
        <v>5</v>
      </c>
      <c r="O154" s="698"/>
      <c r="P154" s="698"/>
      <c r="Q154" s="698"/>
      <c r="R154" s="698"/>
    </row>
    <row r="155" spans="1:18">
      <c r="A155" s="694"/>
      <c r="B155" s="696"/>
      <c r="C155" s="696"/>
      <c r="D155" s="45" t="s">
        <v>6</v>
      </c>
      <c r="E155" s="46" t="s">
        <v>2</v>
      </c>
      <c r="F155" s="46" t="s">
        <v>7</v>
      </c>
      <c r="G155" s="46" t="s">
        <v>8</v>
      </c>
      <c r="H155" s="46" t="s">
        <v>9</v>
      </c>
      <c r="I155" s="46" t="s">
        <v>10</v>
      </c>
      <c r="J155" s="46" t="s">
        <v>2</v>
      </c>
      <c r="K155" s="46" t="s">
        <v>7</v>
      </c>
      <c r="L155" s="46" t="s">
        <v>8</v>
      </c>
      <c r="M155" s="47" t="s">
        <v>9</v>
      </c>
      <c r="N155" s="46" t="s">
        <v>10</v>
      </c>
      <c r="O155" s="46" t="s">
        <v>2</v>
      </c>
      <c r="P155" s="46" t="s">
        <v>7</v>
      </c>
      <c r="Q155" s="46" t="s">
        <v>8</v>
      </c>
      <c r="R155" s="46" t="s">
        <v>9</v>
      </c>
    </row>
    <row r="156" spans="1:18">
      <c r="A156" s="33" t="s">
        <v>23</v>
      </c>
      <c r="B156" s="73" t="s">
        <v>323</v>
      </c>
      <c r="C156" s="65"/>
      <c r="D156" s="31"/>
      <c r="E156" s="31"/>
      <c r="F156" s="31"/>
      <c r="G156" s="31"/>
      <c r="H156" s="31"/>
      <c r="I156" s="31"/>
      <c r="J156" s="31"/>
      <c r="K156" s="31"/>
      <c r="L156" s="31"/>
      <c r="M156" s="31"/>
      <c r="N156" s="31"/>
      <c r="O156" s="31"/>
      <c r="P156" s="31"/>
      <c r="Q156" s="31"/>
      <c r="R156" s="32"/>
    </row>
    <row r="157" spans="1:18">
      <c r="A157" s="34">
        <f>A135+1</f>
        <v>8</v>
      </c>
      <c r="B157" s="713" t="s">
        <v>324</v>
      </c>
      <c r="C157" s="66" t="s">
        <v>11</v>
      </c>
      <c r="D157" s="4"/>
      <c r="E157" s="6"/>
      <c r="F157" s="29"/>
      <c r="G157" s="26"/>
      <c r="H157" s="26"/>
      <c r="I157" s="6"/>
      <c r="J157" s="6"/>
      <c r="K157" s="29"/>
      <c r="L157" s="26"/>
      <c r="M157" s="26"/>
      <c r="N157" s="6"/>
      <c r="O157" s="6"/>
      <c r="P157" s="29"/>
      <c r="Q157" s="26"/>
      <c r="R157" s="26"/>
    </row>
    <row r="158" spans="1:18">
      <c r="A158" s="2"/>
      <c r="B158" s="714"/>
      <c r="C158" s="66"/>
      <c r="D158" s="4" t="s">
        <v>251</v>
      </c>
      <c r="E158" s="6" t="s">
        <v>81</v>
      </c>
      <c r="F158" s="29">
        <v>2</v>
      </c>
      <c r="G158" s="26">
        <f>sr</f>
        <v>1100</v>
      </c>
      <c r="H158" s="26">
        <f>F158*G158</f>
        <v>2200</v>
      </c>
      <c r="I158" s="7" t="s">
        <v>31</v>
      </c>
      <c r="J158" s="8" t="s">
        <v>32</v>
      </c>
      <c r="K158" s="88">
        <v>0.19</v>
      </c>
      <c r="L158" s="28">
        <f>cement</f>
        <v>24049.69</v>
      </c>
      <c r="M158" s="26">
        <f>K158*L158</f>
        <v>4569.4411</v>
      </c>
      <c r="N158" s="8" t="s">
        <v>294</v>
      </c>
      <c r="O158" s="6"/>
      <c r="P158" s="29"/>
      <c r="Q158" s="28"/>
      <c r="R158" s="26">
        <f>3%*H166</f>
        <v>180.75</v>
      </c>
    </row>
    <row r="159" spans="1:18">
      <c r="A159" s="2"/>
      <c r="B159" s="714"/>
      <c r="C159" s="66"/>
      <c r="D159" s="4" t="s">
        <v>97</v>
      </c>
      <c r="E159" s="6" t="s">
        <v>81</v>
      </c>
      <c r="F159" s="29">
        <v>4.5</v>
      </c>
      <c r="G159" s="26">
        <f>ur</f>
        <v>850</v>
      </c>
      <c r="H159" s="26">
        <f>F159*G159</f>
        <v>3825</v>
      </c>
      <c r="I159" s="7" t="s">
        <v>286</v>
      </c>
      <c r="J159" s="8" t="s">
        <v>11</v>
      </c>
      <c r="K159" s="88">
        <v>0.4</v>
      </c>
      <c r="L159" s="212">
        <f>sand</f>
        <v>1050</v>
      </c>
      <c r="M159" s="26">
        <f>K159*L159</f>
        <v>420</v>
      </c>
      <c r="N159" s="8"/>
      <c r="O159" s="6"/>
      <c r="P159" s="29"/>
      <c r="Q159" s="28"/>
      <c r="R159" s="26"/>
    </row>
    <row r="160" spans="1:18">
      <c r="A160" s="2"/>
      <c r="B160" s="714"/>
      <c r="C160" s="66"/>
      <c r="D160" s="4"/>
      <c r="E160" s="6"/>
      <c r="F160" s="29"/>
      <c r="G160" s="26"/>
      <c r="H160" s="26"/>
      <c r="I160" s="7" t="s">
        <v>318</v>
      </c>
      <c r="J160" s="8" t="s">
        <v>11</v>
      </c>
      <c r="K160" s="88">
        <v>1</v>
      </c>
      <c r="L160" s="212">
        <f>Block_Stone</f>
        <v>1350</v>
      </c>
      <c r="M160" s="26">
        <f>K160*L160</f>
        <v>1350</v>
      </c>
      <c r="N160" s="8"/>
      <c r="O160" s="6"/>
      <c r="P160" s="29"/>
      <c r="Q160" s="28"/>
      <c r="R160" s="28"/>
    </row>
    <row r="161" spans="1:18">
      <c r="A161" s="2"/>
      <c r="B161" s="714"/>
      <c r="C161" s="66"/>
      <c r="D161" s="4"/>
      <c r="E161" s="6"/>
      <c r="F161" s="29"/>
      <c r="G161" s="26"/>
      <c r="H161" s="26"/>
      <c r="I161" s="7" t="s">
        <v>315</v>
      </c>
      <c r="J161" s="8" t="s">
        <v>11</v>
      </c>
      <c r="K161" s="88">
        <v>0.15</v>
      </c>
      <c r="L161" s="28">
        <f>Bond_Stone</f>
        <v>1450</v>
      </c>
      <c r="M161" s="26">
        <f>K161*L161</f>
        <v>217.5</v>
      </c>
      <c r="N161" s="8"/>
      <c r="O161" s="6"/>
      <c r="P161" s="29"/>
      <c r="Q161" s="28"/>
      <c r="R161" s="28"/>
    </row>
    <row r="162" spans="1:18">
      <c r="A162" s="2"/>
      <c r="B162" s="714"/>
      <c r="C162" s="66"/>
      <c r="D162" s="4"/>
      <c r="E162" s="6"/>
      <c r="F162" s="29"/>
      <c r="G162" s="26"/>
      <c r="H162" s="26"/>
      <c r="I162" s="7" t="s">
        <v>215</v>
      </c>
      <c r="J162" s="8" t="s">
        <v>250</v>
      </c>
      <c r="K162" s="88">
        <v>120</v>
      </c>
      <c r="L162" s="28"/>
      <c r="M162" s="26">
        <f>K162*L162</f>
        <v>0</v>
      </c>
      <c r="N162" s="8"/>
      <c r="O162" s="6"/>
      <c r="P162" s="29"/>
      <c r="Q162" s="28"/>
      <c r="R162" s="28"/>
    </row>
    <row r="163" spans="1:18">
      <c r="A163" s="2"/>
      <c r="B163" s="126"/>
      <c r="C163" s="66"/>
      <c r="D163" s="4"/>
      <c r="E163" s="6"/>
      <c r="F163" s="29"/>
      <c r="G163" s="26"/>
      <c r="H163" s="26"/>
      <c r="I163" s="7"/>
      <c r="J163" s="8"/>
      <c r="K163" s="88"/>
      <c r="L163" s="28"/>
      <c r="M163" s="26"/>
      <c r="N163" s="8"/>
      <c r="O163" s="6"/>
      <c r="P163" s="29"/>
      <c r="Q163" s="28"/>
      <c r="R163" s="28"/>
    </row>
    <row r="164" spans="1:18">
      <c r="A164" s="2"/>
      <c r="B164" s="126"/>
      <c r="C164" s="66"/>
      <c r="D164" s="4"/>
      <c r="E164" s="6"/>
      <c r="F164" s="29"/>
      <c r="G164" s="26"/>
      <c r="H164" s="26"/>
      <c r="I164" s="7"/>
      <c r="J164" s="8"/>
      <c r="K164" s="29"/>
      <c r="L164" s="28"/>
      <c r="M164" s="26"/>
      <c r="N164" s="8"/>
      <c r="O164" s="6"/>
      <c r="P164" s="29"/>
      <c r="Q164" s="28"/>
      <c r="R164" s="28"/>
    </row>
    <row r="165" spans="1:18">
      <c r="A165" s="2"/>
      <c r="B165" s="5"/>
      <c r="C165" s="66"/>
      <c r="D165" s="4"/>
      <c r="E165" s="9"/>
      <c r="F165" s="30"/>
      <c r="G165" s="27"/>
      <c r="H165" s="27"/>
      <c r="I165" s="9"/>
      <c r="J165" s="10"/>
      <c r="K165" s="30"/>
      <c r="L165" s="28"/>
      <c r="M165" s="28"/>
      <c r="N165" s="8"/>
      <c r="O165" s="6"/>
      <c r="P165" s="30"/>
      <c r="Q165" s="28"/>
      <c r="R165" s="28"/>
    </row>
    <row r="166" spans="1:18">
      <c r="A166" s="2"/>
      <c r="B166" s="11"/>
      <c r="C166" s="66"/>
      <c r="D166" s="12"/>
      <c r="E166" s="59"/>
      <c r="F166" s="13"/>
      <c r="G166" s="13" t="s">
        <v>20</v>
      </c>
      <c r="H166" s="25">
        <f>SUM(H157:H165)</f>
        <v>6025</v>
      </c>
      <c r="I166" s="703"/>
      <c r="J166" s="703"/>
      <c r="K166" s="14"/>
      <c r="L166" s="13" t="s">
        <v>21</v>
      </c>
      <c r="M166" s="25">
        <f>SUM(M157:M165)</f>
        <v>6556.9411</v>
      </c>
      <c r="N166" s="3"/>
      <c r="O166" s="14"/>
      <c r="P166" s="14"/>
      <c r="Q166" s="13" t="s">
        <v>22</v>
      </c>
      <c r="R166" s="25">
        <f>SUM(R157:R165)</f>
        <v>180.75</v>
      </c>
    </row>
    <row r="167" spans="1:18">
      <c r="A167" s="2"/>
      <c r="B167" s="16" t="s">
        <v>13</v>
      </c>
      <c r="C167" s="67"/>
      <c r="D167" s="14"/>
      <c r="E167" s="14"/>
      <c r="F167" s="14"/>
      <c r="G167" s="13"/>
      <c r="H167" s="35">
        <f>M166+R166+H166</f>
        <v>12762.6911</v>
      </c>
      <c r="I167" s="17"/>
      <c r="J167" s="14"/>
      <c r="K167" s="14"/>
      <c r="L167" s="13"/>
      <c r="M167" s="15"/>
      <c r="N167" s="14"/>
      <c r="O167" s="14"/>
      <c r="P167" s="14"/>
      <c r="Q167" s="14"/>
      <c r="R167" s="17"/>
    </row>
    <row r="168" spans="1:18">
      <c r="A168" s="2"/>
      <c r="B168" s="11" t="s">
        <v>25</v>
      </c>
      <c r="C168" s="68"/>
      <c r="D168" s="4"/>
      <c r="E168" s="4"/>
      <c r="F168" s="4"/>
      <c r="G168" s="18"/>
      <c r="H168" s="36">
        <v>0</v>
      </c>
      <c r="I168" s="20"/>
      <c r="J168" s="4" t="s">
        <v>26</v>
      </c>
      <c r="K168" s="4"/>
      <c r="L168" s="18"/>
      <c r="M168" s="19"/>
      <c r="N168" s="4"/>
      <c r="O168" s="4"/>
      <c r="P168" s="4"/>
      <c r="Q168" s="4"/>
      <c r="R168" s="20"/>
    </row>
    <row r="169" spans="1:18">
      <c r="A169" s="23"/>
      <c r="B169" s="11" t="s">
        <v>14</v>
      </c>
      <c r="C169" s="68"/>
      <c r="D169" s="4"/>
      <c r="E169" s="4"/>
      <c r="F169" s="4"/>
      <c r="G169" s="18"/>
      <c r="H169" s="36">
        <f>SUM(H167:H168)</f>
        <v>12762.6911</v>
      </c>
      <c r="I169" s="20"/>
      <c r="J169" s="704"/>
      <c r="K169" s="705"/>
      <c r="L169" s="705"/>
      <c r="M169" s="705"/>
      <c r="N169" s="705"/>
      <c r="O169" s="705"/>
      <c r="P169" s="705"/>
      <c r="Q169" s="705"/>
      <c r="R169" s="706"/>
    </row>
    <row r="170" spans="1:18">
      <c r="A170" s="23"/>
      <c r="B170" s="11" t="s">
        <v>24</v>
      </c>
      <c r="C170" s="68"/>
      <c r="D170" s="4"/>
      <c r="E170" s="4"/>
      <c r="F170" s="4"/>
      <c r="G170" s="18"/>
      <c r="H170" s="36">
        <f>H169*15%</f>
        <v>1914.4036649999998</v>
      </c>
      <c r="I170" s="20"/>
      <c r="J170" s="707"/>
      <c r="K170" s="708"/>
      <c r="L170" s="708"/>
      <c r="M170" s="708"/>
      <c r="N170" s="708"/>
      <c r="O170" s="708"/>
      <c r="P170" s="708"/>
      <c r="Q170" s="708"/>
      <c r="R170" s="709"/>
    </row>
    <row r="171" spans="1:18">
      <c r="A171" s="23"/>
      <c r="B171" s="11" t="s">
        <v>15</v>
      </c>
      <c r="C171" s="68"/>
      <c r="D171" s="4"/>
      <c r="E171" s="4"/>
      <c r="F171" s="4"/>
      <c r="G171" s="21" t="s">
        <v>16</v>
      </c>
      <c r="H171" s="37">
        <f>H170+H169</f>
        <v>14677.094765</v>
      </c>
      <c r="I171" s="38" t="str">
        <f>CONCATENATE("per ",C157)</f>
        <v>per cum</v>
      </c>
      <c r="J171" s="707"/>
      <c r="K171" s="708"/>
      <c r="L171" s="708"/>
      <c r="M171" s="708"/>
      <c r="N171" s="708"/>
      <c r="O171" s="708"/>
      <c r="P171" s="708"/>
      <c r="Q171" s="708"/>
      <c r="R171" s="709"/>
    </row>
    <row r="172" spans="1:18">
      <c r="A172" s="23"/>
      <c r="B172" s="11" t="s">
        <v>18</v>
      </c>
      <c r="C172" s="125" t="s">
        <v>19</v>
      </c>
      <c r="D172" s="4"/>
      <c r="E172" s="4"/>
      <c r="F172" s="4"/>
      <c r="G172" s="21" t="s">
        <v>16</v>
      </c>
      <c r="H172" s="37">
        <f>CEILING(H171,0.5)</f>
        <v>14677.5</v>
      </c>
      <c r="I172" s="38" t="str">
        <f>CONCATENATE("per ",C157)</f>
        <v>per cum</v>
      </c>
      <c r="J172" s="707"/>
      <c r="K172" s="708"/>
      <c r="L172" s="708"/>
      <c r="M172" s="708"/>
      <c r="N172" s="708"/>
      <c r="O172" s="708"/>
      <c r="P172" s="708"/>
      <c r="Q172" s="708"/>
      <c r="R172" s="709"/>
    </row>
    <row r="173" spans="1:18">
      <c r="A173" s="23"/>
      <c r="B173" s="11"/>
      <c r="C173" s="68"/>
      <c r="D173" s="4"/>
      <c r="E173" s="4"/>
      <c r="F173" s="4"/>
      <c r="G173" s="24" t="s">
        <v>17</v>
      </c>
      <c r="H173" s="37">
        <f>H172/exr</f>
        <v>112.90384615384616</v>
      </c>
      <c r="I173" s="38" t="str">
        <f>CONCATENATE("per ",C157)</f>
        <v>per cum</v>
      </c>
      <c r="J173" s="710"/>
      <c r="K173" s="711"/>
      <c r="L173" s="711"/>
      <c r="M173" s="711"/>
      <c r="N173" s="711"/>
      <c r="O173" s="711"/>
      <c r="P173" s="711"/>
      <c r="Q173" s="711"/>
      <c r="R173" s="712"/>
    </row>
    <row r="174" spans="1:18">
      <c r="A174" s="39"/>
      <c r="B174" s="40"/>
      <c r="C174" s="69"/>
      <c r="D174" s="41"/>
      <c r="E174" s="41"/>
      <c r="F174" s="41"/>
      <c r="G174" s="149" t="s">
        <v>460</v>
      </c>
      <c r="H174" s="150">
        <f>CEILING(SUM(M158)/H167,0.0025)</f>
        <v>0.36</v>
      </c>
      <c r="I174" s="42"/>
      <c r="J174" s="43"/>
      <c r="K174" s="43"/>
      <c r="L174" s="43"/>
      <c r="M174" s="43"/>
      <c r="N174" s="43"/>
      <c r="O174" s="43"/>
      <c r="P174" s="43"/>
      <c r="Q174" s="43"/>
      <c r="R174" s="44"/>
    </row>
    <row r="176" spans="1:18">
      <c r="A176" s="693" t="s">
        <v>0</v>
      </c>
      <c r="B176" s="695" t="s">
        <v>1</v>
      </c>
      <c r="C176" s="695" t="s">
        <v>2</v>
      </c>
      <c r="D176" s="697" t="s">
        <v>3</v>
      </c>
      <c r="E176" s="698"/>
      <c r="F176" s="698"/>
      <c r="G176" s="698"/>
      <c r="H176" s="698"/>
      <c r="I176" s="699" t="s">
        <v>4</v>
      </c>
      <c r="J176" s="700"/>
      <c r="K176" s="700"/>
      <c r="L176" s="700"/>
      <c r="M176" s="700"/>
      <c r="N176" s="698" t="s">
        <v>5</v>
      </c>
      <c r="O176" s="698"/>
      <c r="P176" s="698"/>
      <c r="Q176" s="698"/>
      <c r="R176" s="698"/>
    </row>
    <row r="177" spans="1:18">
      <c r="A177" s="694"/>
      <c r="B177" s="696"/>
      <c r="C177" s="696"/>
      <c r="D177" s="45" t="s">
        <v>6</v>
      </c>
      <c r="E177" s="46" t="s">
        <v>2</v>
      </c>
      <c r="F177" s="46" t="s">
        <v>7</v>
      </c>
      <c r="G177" s="46" t="s">
        <v>8</v>
      </c>
      <c r="H177" s="46" t="s">
        <v>9</v>
      </c>
      <c r="I177" s="46" t="s">
        <v>10</v>
      </c>
      <c r="J177" s="46" t="s">
        <v>2</v>
      </c>
      <c r="K177" s="46" t="s">
        <v>7</v>
      </c>
      <c r="L177" s="46" t="s">
        <v>8</v>
      </c>
      <c r="M177" s="47" t="s">
        <v>9</v>
      </c>
      <c r="N177" s="46" t="s">
        <v>10</v>
      </c>
      <c r="O177" s="46" t="s">
        <v>2</v>
      </c>
      <c r="P177" s="46" t="s">
        <v>7</v>
      </c>
      <c r="Q177" s="46" t="s">
        <v>8</v>
      </c>
      <c r="R177" s="46" t="s">
        <v>9</v>
      </c>
    </row>
    <row r="178" spans="1:18">
      <c r="A178" s="33" t="s">
        <v>23</v>
      </c>
      <c r="B178" s="73" t="s">
        <v>323</v>
      </c>
      <c r="C178" s="65"/>
      <c r="D178" s="31"/>
      <c r="E178" s="31"/>
      <c r="F178" s="31"/>
      <c r="G178" s="31"/>
      <c r="H178" s="31"/>
      <c r="I178" s="31"/>
      <c r="J178" s="31"/>
      <c r="K178" s="31"/>
      <c r="L178" s="31"/>
      <c r="M178" s="31"/>
      <c r="N178" s="31"/>
      <c r="O178" s="31"/>
      <c r="P178" s="31"/>
      <c r="Q178" s="31"/>
      <c r="R178" s="32"/>
    </row>
    <row r="179" spans="1:18">
      <c r="A179" s="34">
        <f>A157+1</f>
        <v>9</v>
      </c>
      <c r="B179" s="713" t="s">
        <v>325</v>
      </c>
      <c r="C179" s="66" t="s">
        <v>11</v>
      </c>
      <c r="D179" s="4"/>
      <c r="E179" s="6"/>
      <c r="F179" s="29"/>
      <c r="G179" s="26"/>
      <c r="H179" s="26"/>
      <c r="I179" s="6"/>
      <c r="J179" s="6"/>
      <c r="K179" s="29"/>
      <c r="L179" s="26"/>
      <c r="M179" s="26"/>
      <c r="N179" s="6"/>
      <c r="O179" s="6"/>
      <c r="P179" s="29"/>
      <c r="Q179" s="26"/>
      <c r="R179" s="26"/>
    </row>
    <row r="180" spans="1:18">
      <c r="A180" s="2"/>
      <c r="B180" s="714"/>
      <c r="C180" s="66"/>
      <c r="D180" s="4" t="s">
        <v>251</v>
      </c>
      <c r="E180" s="6" t="s">
        <v>81</v>
      </c>
      <c r="F180" s="29">
        <v>2</v>
      </c>
      <c r="G180" s="26">
        <f>sr</f>
        <v>1100</v>
      </c>
      <c r="H180" s="26">
        <f>F180*G180</f>
        <v>2200</v>
      </c>
      <c r="I180" s="7" t="s">
        <v>31</v>
      </c>
      <c r="J180" s="8" t="s">
        <v>32</v>
      </c>
      <c r="K180" s="88">
        <v>0.155</v>
      </c>
      <c r="L180" s="28">
        <f>cement</f>
        <v>24049.69</v>
      </c>
      <c r="M180" s="26">
        <f>K180*L180</f>
        <v>3727.7019499999997</v>
      </c>
      <c r="N180" s="8" t="s">
        <v>294</v>
      </c>
      <c r="O180" s="6"/>
      <c r="P180" s="29"/>
      <c r="Q180" s="28"/>
      <c r="R180" s="26">
        <f>3%*H188</f>
        <v>180.75</v>
      </c>
    </row>
    <row r="181" spans="1:18">
      <c r="A181" s="2"/>
      <c r="B181" s="714"/>
      <c r="C181" s="66"/>
      <c r="D181" s="4" t="s">
        <v>97</v>
      </c>
      <c r="E181" s="6" t="s">
        <v>81</v>
      </c>
      <c r="F181" s="29">
        <v>4.5</v>
      </c>
      <c r="G181" s="26">
        <f>ur</f>
        <v>850</v>
      </c>
      <c r="H181" s="26">
        <f>F181*G181</f>
        <v>3825</v>
      </c>
      <c r="I181" s="7" t="s">
        <v>286</v>
      </c>
      <c r="J181" s="8" t="s">
        <v>11</v>
      </c>
      <c r="K181" s="88">
        <v>0.45</v>
      </c>
      <c r="L181" s="212">
        <f>sand</f>
        <v>1050</v>
      </c>
      <c r="M181" s="26">
        <f>K181*L181</f>
        <v>472.5</v>
      </c>
      <c r="N181" s="8"/>
      <c r="O181" s="6"/>
      <c r="P181" s="29"/>
      <c r="Q181" s="28"/>
      <c r="R181" s="26"/>
    </row>
    <row r="182" spans="1:18">
      <c r="A182" s="2"/>
      <c r="B182" s="714"/>
      <c r="C182" s="66"/>
      <c r="D182" s="4"/>
      <c r="E182" s="6"/>
      <c r="F182" s="29"/>
      <c r="G182" s="26"/>
      <c r="H182" s="26"/>
      <c r="I182" s="7" t="s">
        <v>318</v>
      </c>
      <c r="J182" s="8" t="s">
        <v>11</v>
      </c>
      <c r="K182" s="88">
        <v>1</v>
      </c>
      <c r="L182" s="212">
        <f>Block_Stone</f>
        <v>1350</v>
      </c>
      <c r="M182" s="26">
        <f>K182*L182</f>
        <v>1350</v>
      </c>
      <c r="N182" s="8"/>
      <c r="O182" s="6"/>
      <c r="P182" s="29"/>
      <c r="Q182" s="28"/>
      <c r="R182" s="28"/>
    </row>
    <row r="183" spans="1:18">
      <c r="A183" s="2"/>
      <c r="B183" s="714"/>
      <c r="C183" s="66"/>
      <c r="D183" s="4"/>
      <c r="E183" s="6"/>
      <c r="F183" s="29"/>
      <c r="G183" s="26"/>
      <c r="H183" s="26"/>
      <c r="I183" s="7" t="s">
        <v>315</v>
      </c>
      <c r="J183" s="8" t="s">
        <v>11</v>
      </c>
      <c r="K183" s="88">
        <v>0.15</v>
      </c>
      <c r="L183" s="28">
        <f>Bond_Stone</f>
        <v>1450</v>
      </c>
      <c r="M183" s="26">
        <f>K183*L183</f>
        <v>217.5</v>
      </c>
      <c r="N183" s="8"/>
      <c r="O183" s="6"/>
      <c r="P183" s="29"/>
      <c r="Q183" s="28"/>
      <c r="R183" s="28"/>
    </row>
    <row r="184" spans="1:18">
      <c r="A184" s="2"/>
      <c r="B184" s="714"/>
      <c r="C184" s="66"/>
      <c r="D184" s="4"/>
      <c r="E184" s="6"/>
      <c r="F184" s="29"/>
      <c r="G184" s="26"/>
      <c r="H184" s="26"/>
      <c r="I184" s="7" t="s">
        <v>215</v>
      </c>
      <c r="J184" s="8" t="s">
        <v>250</v>
      </c>
      <c r="K184" s="88">
        <v>100</v>
      </c>
      <c r="L184" s="28"/>
      <c r="M184" s="26">
        <f>K184*L184</f>
        <v>0</v>
      </c>
      <c r="N184" s="8"/>
      <c r="O184" s="6"/>
      <c r="P184" s="29"/>
      <c r="Q184" s="28"/>
      <c r="R184" s="28"/>
    </row>
    <row r="185" spans="1:18">
      <c r="A185" s="2"/>
      <c r="B185" s="126"/>
      <c r="C185" s="66"/>
      <c r="D185" s="4"/>
      <c r="E185" s="6"/>
      <c r="F185" s="29"/>
      <c r="G185" s="26"/>
      <c r="H185" s="26"/>
      <c r="I185" s="7"/>
      <c r="J185" s="8"/>
      <c r="K185" s="88"/>
      <c r="L185" s="28"/>
      <c r="M185" s="26"/>
      <c r="N185" s="8"/>
      <c r="O185" s="6"/>
      <c r="P185" s="29"/>
      <c r="Q185" s="28"/>
      <c r="R185" s="28"/>
    </row>
    <row r="186" spans="1:18">
      <c r="A186" s="2"/>
      <c r="B186" s="126"/>
      <c r="C186" s="66"/>
      <c r="D186" s="4"/>
      <c r="E186" s="6"/>
      <c r="F186" s="29"/>
      <c r="G186" s="26"/>
      <c r="H186" s="26"/>
      <c r="I186" s="7"/>
      <c r="J186" s="8"/>
      <c r="K186" s="29"/>
      <c r="L186" s="28"/>
      <c r="M186" s="26"/>
      <c r="N186" s="8"/>
      <c r="O186" s="6"/>
      <c r="P186" s="29"/>
      <c r="Q186" s="28"/>
      <c r="R186" s="28"/>
    </row>
    <row r="187" spans="1:18">
      <c r="A187" s="2"/>
      <c r="B187" s="5"/>
      <c r="C187" s="66"/>
      <c r="D187" s="4"/>
      <c r="E187" s="9"/>
      <c r="F187" s="30"/>
      <c r="G187" s="27"/>
      <c r="H187" s="27"/>
      <c r="I187" s="9"/>
      <c r="J187" s="10"/>
      <c r="K187" s="30"/>
      <c r="L187" s="28"/>
      <c r="M187" s="28"/>
      <c r="N187" s="8"/>
      <c r="O187" s="6"/>
      <c r="P187" s="30"/>
      <c r="Q187" s="28"/>
      <c r="R187" s="28"/>
    </row>
    <row r="188" spans="1:18">
      <c r="A188" s="2"/>
      <c r="B188" s="11"/>
      <c r="C188" s="66"/>
      <c r="D188" s="12"/>
      <c r="E188" s="59"/>
      <c r="F188" s="13"/>
      <c r="G188" s="13" t="s">
        <v>20</v>
      </c>
      <c r="H188" s="25">
        <f>SUM(H179:H187)</f>
        <v>6025</v>
      </c>
      <c r="I188" s="703"/>
      <c r="J188" s="703"/>
      <c r="K188" s="14"/>
      <c r="L188" s="13" t="s">
        <v>21</v>
      </c>
      <c r="M188" s="25">
        <f>SUM(M179:M187)</f>
        <v>5767.7019499999997</v>
      </c>
      <c r="N188" s="3"/>
      <c r="O188" s="14"/>
      <c r="P188" s="14"/>
      <c r="Q188" s="13" t="s">
        <v>22</v>
      </c>
      <c r="R188" s="25">
        <f>SUM(R179:R187)</f>
        <v>180.75</v>
      </c>
    </row>
    <row r="189" spans="1:18">
      <c r="A189" s="2"/>
      <c r="B189" s="16" t="s">
        <v>13</v>
      </c>
      <c r="C189" s="67"/>
      <c r="D189" s="14"/>
      <c r="E189" s="14"/>
      <c r="F189" s="14"/>
      <c r="G189" s="13"/>
      <c r="H189" s="35">
        <f>M188+R188+H188</f>
        <v>11973.451949999999</v>
      </c>
      <c r="I189" s="17"/>
      <c r="J189" s="14"/>
      <c r="K189" s="14"/>
      <c r="L189" s="13"/>
      <c r="M189" s="15"/>
      <c r="N189" s="14"/>
      <c r="O189" s="14"/>
      <c r="P189" s="14"/>
      <c r="Q189" s="14"/>
      <c r="R189" s="17"/>
    </row>
    <row r="190" spans="1:18">
      <c r="A190" s="2"/>
      <c r="B190" s="11" t="s">
        <v>25</v>
      </c>
      <c r="C190" s="68"/>
      <c r="D190" s="4"/>
      <c r="E190" s="4"/>
      <c r="F190" s="4"/>
      <c r="G190" s="18"/>
      <c r="H190" s="36">
        <v>0</v>
      </c>
      <c r="I190" s="20"/>
      <c r="J190" s="4" t="s">
        <v>26</v>
      </c>
      <c r="K190" s="4"/>
      <c r="L190" s="18"/>
      <c r="M190" s="19"/>
      <c r="N190" s="4"/>
      <c r="O190" s="4"/>
      <c r="P190" s="4"/>
      <c r="Q190" s="4"/>
      <c r="R190" s="20"/>
    </row>
    <row r="191" spans="1:18">
      <c r="A191" s="23"/>
      <c r="B191" s="11" t="s">
        <v>14</v>
      </c>
      <c r="C191" s="68"/>
      <c r="D191" s="4"/>
      <c r="E191" s="4"/>
      <c r="F191" s="4"/>
      <c r="G191" s="18"/>
      <c r="H191" s="36">
        <f>SUM(H189:H190)</f>
        <v>11973.451949999999</v>
      </c>
      <c r="I191" s="20"/>
      <c r="J191" s="704"/>
      <c r="K191" s="705"/>
      <c r="L191" s="705"/>
      <c r="M191" s="705"/>
      <c r="N191" s="705"/>
      <c r="O191" s="705"/>
      <c r="P191" s="705"/>
      <c r="Q191" s="705"/>
      <c r="R191" s="706"/>
    </row>
    <row r="192" spans="1:18">
      <c r="A192" s="23"/>
      <c r="B192" s="11" t="s">
        <v>24</v>
      </c>
      <c r="C192" s="68"/>
      <c r="D192" s="4"/>
      <c r="E192" s="4"/>
      <c r="F192" s="4"/>
      <c r="G192" s="18"/>
      <c r="H192" s="36">
        <f>H191*15%</f>
        <v>1796.0177924999998</v>
      </c>
      <c r="I192" s="20"/>
      <c r="J192" s="707"/>
      <c r="K192" s="708"/>
      <c r="L192" s="708"/>
      <c r="M192" s="708"/>
      <c r="N192" s="708"/>
      <c r="O192" s="708"/>
      <c r="P192" s="708"/>
      <c r="Q192" s="708"/>
      <c r="R192" s="709"/>
    </row>
    <row r="193" spans="1:18">
      <c r="A193" s="23"/>
      <c r="B193" s="11" t="s">
        <v>15</v>
      </c>
      <c r="C193" s="68"/>
      <c r="D193" s="4"/>
      <c r="E193" s="4"/>
      <c r="F193" s="4"/>
      <c r="G193" s="21" t="s">
        <v>16</v>
      </c>
      <c r="H193" s="37">
        <f>H192+H191</f>
        <v>13769.469742499998</v>
      </c>
      <c r="I193" s="38" t="str">
        <f>CONCATENATE("per ",C179)</f>
        <v>per cum</v>
      </c>
      <c r="J193" s="707"/>
      <c r="K193" s="708"/>
      <c r="L193" s="708"/>
      <c r="M193" s="708"/>
      <c r="N193" s="708"/>
      <c r="O193" s="708"/>
      <c r="P193" s="708"/>
      <c r="Q193" s="708"/>
      <c r="R193" s="709"/>
    </row>
    <row r="194" spans="1:18">
      <c r="A194" s="23"/>
      <c r="B194" s="11" t="s">
        <v>18</v>
      </c>
      <c r="C194" s="125" t="s">
        <v>19</v>
      </c>
      <c r="D194" s="4"/>
      <c r="E194" s="4"/>
      <c r="F194" s="4"/>
      <c r="G194" s="21" t="s">
        <v>16</v>
      </c>
      <c r="H194" s="37">
        <f>CEILING(H193,0.5)</f>
        <v>13769.5</v>
      </c>
      <c r="I194" s="38" t="str">
        <f>CONCATENATE("per ",C179)</f>
        <v>per cum</v>
      </c>
      <c r="J194" s="707"/>
      <c r="K194" s="708"/>
      <c r="L194" s="708"/>
      <c r="M194" s="708"/>
      <c r="N194" s="708"/>
      <c r="O194" s="708"/>
      <c r="P194" s="708"/>
      <c r="Q194" s="708"/>
      <c r="R194" s="709"/>
    </row>
    <row r="195" spans="1:18">
      <c r="A195" s="23"/>
      <c r="B195" s="11"/>
      <c r="C195" s="68"/>
      <c r="D195" s="4"/>
      <c r="E195" s="4"/>
      <c r="F195" s="4"/>
      <c r="G195" s="24" t="s">
        <v>17</v>
      </c>
      <c r="H195" s="37">
        <f>H194/exr</f>
        <v>105.91923076923077</v>
      </c>
      <c r="I195" s="38" t="str">
        <f>CONCATENATE("per ",C179)</f>
        <v>per cum</v>
      </c>
      <c r="J195" s="710"/>
      <c r="K195" s="711"/>
      <c r="L195" s="711"/>
      <c r="M195" s="711"/>
      <c r="N195" s="711"/>
      <c r="O195" s="711"/>
      <c r="P195" s="711"/>
      <c r="Q195" s="711"/>
      <c r="R195" s="712"/>
    </row>
    <row r="196" spans="1:18">
      <c r="A196" s="39"/>
      <c r="B196" s="40"/>
      <c r="C196" s="69"/>
      <c r="D196" s="41"/>
      <c r="E196" s="41"/>
      <c r="F196" s="41"/>
      <c r="G196" s="149" t="s">
        <v>460</v>
      </c>
      <c r="H196" s="150">
        <f>CEILING(SUM(M180)/H189,0.0025)</f>
        <v>0.3125</v>
      </c>
      <c r="I196" s="42"/>
      <c r="J196" s="43"/>
      <c r="K196" s="43"/>
      <c r="L196" s="43"/>
      <c r="M196" s="43"/>
      <c r="N196" s="43"/>
      <c r="O196" s="43"/>
      <c r="P196" s="43"/>
      <c r="Q196" s="43"/>
      <c r="R196" s="44"/>
    </row>
    <row r="198" spans="1:18">
      <c r="A198" s="693" t="s">
        <v>0</v>
      </c>
      <c r="B198" s="695" t="s">
        <v>1</v>
      </c>
      <c r="C198" s="695" t="s">
        <v>2</v>
      </c>
      <c r="D198" s="697" t="s">
        <v>3</v>
      </c>
      <c r="E198" s="698"/>
      <c r="F198" s="698"/>
      <c r="G198" s="698"/>
      <c r="H198" s="698"/>
      <c r="I198" s="699" t="s">
        <v>4</v>
      </c>
      <c r="J198" s="700"/>
      <c r="K198" s="700"/>
      <c r="L198" s="700"/>
      <c r="M198" s="700"/>
      <c r="N198" s="698" t="s">
        <v>5</v>
      </c>
      <c r="O198" s="698"/>
      <c r="P198" s="698"/>
      <c r="Q198" s="698"/>
      <c r="R198" s="698"/>
    </row>
    <row r="199" spans="1:18">
      <c r="A199" s="694"/>
      <c r="B199" s="696"/>
      <c r="C199" s="696"/>
      <c r="D199" s="45" t="s">
        <v>6</v>
      </c>
      <c r="E199" s="46" t="s">
        <v>2</v>
      </c>
      <c r="F199" s="46" t="s">
        <v>7</v>
      </c>
      <c r="G199" s="46" t="s">
        <v>8</v>
      </c>
      <c r="H199" s="46" t="s">
        <v>9</v>
      </c>
      <c r="I199" s="46" t="s">
        <v>10</v>
      </c>
      <c r="J199" s="46" t="s">
        <v>2</v>
      </c>
      <c r="K199" s="46" t="s">
        <v>7</v>
      </c>
      <c r="L199" s="46" t="s">
        <v>8</v>
      </c>
      <c r="M199" s="47" t="s">
        <v>9</v>
      </c>
      <c r="N199" s="46" t="s">
        <v>10</v>
      </c>
      <c r="O199" s="46" t="s">
        <v>2</v>
      </c>
      <c r="P199" s="46" t="s">
        <v>7</v>
      </c>
      <c r="Q199" s="46" t="s">
        <v>8</v>
      </c>
      <c r="R199" s="46" t="s">
        <v>9</v>
      </c>
    </row>
    <row r="200" spans="1:18">
      <c r="A200" s="33" t="s">
        <v>23</v>
      </c>
      <c r="B200" s="73" t="s">
        <v>561</v>
      </c>
      <c r="C200" s="31"/>
      <c r="D200" s="31"/>
      <c r="E200" s="31"/>
      <c r="F200" s="31"/>
      <c r="G200" s="31"/>
      <c r="H200" s="31"/>
      <c r="I200" s="31"/>
      <c r="J200" s="31"/>
      <c r="K200" s="31"/>
      <c r="L200" s="31"/>
      <c r="M200" s="31"/>
      <c r="N200" s="31"/>
      <c r="O200" s="31"/>
      <c r="P200" s="31"/>
      <c r="Q200" s="31"/>
      <c r="R200" s="32"/>
    </row>
    <row r="201" spans="1:18">
      <c r="A201" s="34">
        <f>A179+1</f>
        <v>10</v>
      </c>
      <c r="B201" s="713" t="s">
        <v>326</v>
      </c>
      <c r="C201" s="66">
        <v>100</v>
      </c>
      <c r="D201" s="4"/>
      <c r="E201" s="6"/>
      <c r="F201" s="29"/>
      <c r="G201" s="26"/>
      <c r="H201" s="26"/>
      <c r="I201" s="6"/>
      <c r="J201" s="6"/>
      <c r="K201" s="29"/>
      <c r="L201" s="26"/>
      <c r="M201" s="26"/>
      <c r="N201" s="6"/>
      <c r="O201" s="6"/>
      <c r="P201" s="29"/>
      <c r="Q201" s="26"/>
      <c r="R201" s="26"/>
    </row>
    <row r="202" spans="1:18">
      <c r="A202" s="2"/>
      <c r="B202" s="714"/>
      <c r="C202" s="124" t="s">
        <v>127</v>
      </c>
      <c r="D202" s="4" t="s">
        <v>96</v>
      </c>
      <c r="E202" s="6" t="s">
        <v>81</v>
      </c>
      <c r="F202" s="29">
        <v>10</v>
      </c>
      <c r="G202" s="26">
        <f>sr</f>
        <v>1100</v>
      </c>
      <c r="H202" s="26">
        <f>F202*G202</f>
        <v>11000</v>
      </c>
      <c r="I202" s="7" t="s">
        <v>300</v>
      </c>
      <c r="J202" s="8" t="s">
        <v>32</v>
      </c>
      <c r="K202" s="29">
        <v>0.40799999999999997</v>
      </c>
      <c r="L202" s="28">
        <f>cement</f>
        <v>24049.69</v>
      </c>
      <c r="M202" s="26">
        <f>K202*L202</f>
        <v>9812.2735199999988</v>
      </c>
      <c r="N202" s="8" t="s">
        <v>294</v>
      </c>
      <c r="O202" s="6"/>
      <c r="P202" s="29"/>
      <c r="Q202" s="28"/>
      <c r="R202" s="26">
        <f>3%*H207</f>
        <v>687</v>
      </c>
    </row>
    <row r="203" spans="1:18">
      <c r="A203" s="2"/>
      <c r="B203" s="714"/>
      <c r="C203" s="6"/>
      <c r="D203" s="4" t="s">
        <v>97</v>
      </c>
      <c r="E203" s="6" t="s">
        <v>81</v>
      </c>
      <c r="F203" s="29">
        <v>14</v>
      </c>
      <c r="G203" s="26">
        <f>ur</f>
        <v>850</v>
      </c>
      <c r="H203" s="26">
        <f>F203*G203</f>
        <v>11900</v>
      </c>
      <c r="I203" s="7" t="s">
        <v>301</v>
      </c>
      <c r="J203" s="8" t="s">
        <v>11</v>
      </c>
      <c r="K203" s="29">
        <v>0.56999999999999995</v>
      </c>
      <c r="L203" s="28">
        <f>sand</f>
        <v>1050</v>
      </c>
      <c r="M203" s="26">
        <f>K203*L203</f>
        <v>598.5</v>
      </c>
      <c r="N203" s="8"/>
      <c r="O203" s="6"/>
      <c r="P203" s="29"/>
      <c r="Q203" s="28"/>
      <c r="R203" s="26"/>
    </row>
    <row r="204" spans="1:18">
      <c r="A204" s="2"/>
      <c r="B204" s="714"/>
      <c r="C204" s="6"/>
      <c r="D204" s="4"/>
      <c r="E204" s="6"/>
      <c r="F204" s="29"/>
      <c r="G204" s="26"/>
      <c r="H204" s="26"/>
      <c r="I204" s="7" t="s">
        <v>255</v>
      </c>
      <c r="J204" s="8" t="s">
        <v>250</v>
      </c>
      <c r="K204" s="29">
        <v>70</v>
      </c>
      <c r="L204" s="28"/>
      <c r="M204" s="26">
        <f>K204*L204</f>
        <v>0</v>
      </c>
      <c r="N204" s="8"/>
      <c r="O204" s="6"/>
      <c r="P204" s="29"/>
      <c r="Q204" s="28"/>
      <c r="R204" s="26"/>
    </row>
    <row r="205" spans="1:18">
      <c r="A205" s="2"/>
      <c r="B205" s="714"/>
      <c r="C205" s="6"/>
      <c r="D205" s="4"/>
      <c r="E205" s="6"/>
      <c r="F205" s="29"/>
      <c r="G205" s="26"/>
      <c r="H205" s="26"/>
      <c r="I205" s="7"/>
      <c r="J205" s="8"/>
      <c r="K205" s="29"/>
      <c r="L205" s="28"/>
      <c r="M205" s="28"/>
      <c r="N205" s="8"/>
      <c r="O205" s="6"/>
      <c r="P205" s="29"/>
      <c r="Q205" s="28"/>
      <c r="R205" s="28"/>
    </row>
    <row r="206" spans="1:18">
      <c r="A206" s="2"/>
      <c r="B206" s="5"/>
      <c r="C206" s="6"/>
      <c r="D206" s="4"/>
      <c r="E206" s="9"/>
      <c r="F206" s="30"/>
      <c r="G206" s="27"/>
      <c r="H206" s="27"/>
      <c r="I206" s="9"/>
      <c r="J206" s="10"/>
      <c r="K206" s="30"/>
      <c r="L206" s="28"/>
      <c r="M206" s="28"/>
      <c r="N206" s="8"/>
      <c r="O206" s="6"/>
      <c r="P206" s="30"/>
      <c r="Q206" s="28"/>
      <c r="R206" s="28"/>
    </row>
    <row r="207" spans="1:18">
      <c r="A207" s="2"/>
      <c r="B207" s="11"/>
      <c r="C207" s="6"/>
      <c r="D207" s="12"/>
      <c r="E207" s="59"/>
      <c r="F207" s="13"/>
      <c r="G207" s="13" t="s">
        <v>20</v>
      </c>
      <c r="H207" s="25">
        <f>SUM(H201:H206)</f>
        <v>22900</v>
      </c>
      <c r="I207" s="703"/>
      <c r="J207" s="703"/>
      <c r="K207" s="14"/>
      <c r="L207" s="13" t="s">
        <v>21</v>
      </c>
      <c r="M207" s="25">
        <f>SUM(M201:M206)</f>
        <v>10410.773519999999</v>
      </c>
      <c r="N207" s="3"/>
      <c r="O207" s="14"/>
      <c r="P207" s="14"/>
      <c r="Q207" s="13" t="s">
        <v>22</v>
      </c>
      <c r="R207" s="25">
        <f>SUM(R201:R206)</f>
        <v>687</v>
      </c>
    </row>
    <row r="208" spans="1:18">
      <c r="A208" s="2"/>
      <c r="B208" s="16" t="s">
        <v>13</v>
      </c>
      <c r="C208" s="14"/>
      <c r="D208" s="14"/>
      <c r="E208" s="14"/>
      <c r="F208" s="14"/>
      <c r="G208" s="13"/>
      <c r="H208" s="35">
        <f>M207+R207+H207</f>
        <v>33997.773520000002</v>
      </c>
      <c r="I208" s="17"/>
      <c r="J208" s="14"/>
      <c r="K208" s="14"/>
      <c r="L208" s="13"/>
      <c r="M208" s="15"/>
      <c r="N208" s="14"/>
      <c r="O208" s="14"/>
      <c r="P208" s="14"/>
      <c r="Q208" s="14"/>
      <c r="R208" s="17"/>
    </row>
    <row r="209" spans="1:18">
      <c r="A209" s="2"/>
      <c r="B209" s="11" t="s">
        <v>25</v>
      </c>
      <c r="C209" s="4"/>
      <c r="D209" s="4"/>
      <c r="E209" s="4"/>
      <c r="F209" s="4"/>
      <c r="G209" s="18"/>
      <c r="H209" s="36">
        <v>0</v>
      </c>
      <c r="I209" s="20"/>
      <c r="J209" s="4" t="s">
        <v>26</v>
      </c>
      <c r="K209" s="4"/>
      <c r="L209" s="18"/>
      <c r="M209" s="19"/>
      <c r="N209" s="4"/>
      <c r="O209" s="4"/>
      <c r="P209" s="4"/>
      <c r="Q209" s="4"/>
      <c r="R209" s="20"/>
    </row>
    <row r="210" spans="1:18">
      <c r="A210" s="23"/>
      <c r="B210" s="11" t="s">
        <v>14</v>
      </c>
      <c r="C210" s="4"/>
      <c r="D210" s="4"/>
      <c r="E210" s="4"/>
      <c r="F210" s="4"/>
      <c r="G210" s="18"/>
      <c r="H210" s="36">
        <f>SUM(H208:H209)</f>
        <v>33997.773520000002</v>
      </c>
      <c r="I210" s="20"/>
      <c r="J210" s="741"/>
      <c r="K210" s="742"/>
      <c r="L210" s="742"/>
      <c r="M210" s="742"/>
      <c r="N210" s="742"/>
      <c r="O210" s="742"/>
      <c r="P210" s="742"/>
      <c r="Q210" s="742"/>
      <c r="R210" s="743"/>
    </row>
    <row r="211" spans="1:18">
      <c r="A211" s="23"/>
      <c r="B211" s="11" t="s">
        <v>24</v>
      </c>
      <c r="C211" s="4"/>
      <c r="D211" s="4"/>
      <c r="E211" s="4"/>
      <c r="F211" s="4"/>
      <c r="G211" s="18"/>
      <c r="H211" s="36">
        <f>H210*15%</f>
        <v>5099.6660280000006</v>
      </c>
      <c r="I211" s="20"/>
      <c r="J211" s="744"/>
      <c r="K211" s="745"/>
      <c r="L211" s="745"/>
      <c r="M211" s="745"/>
      <c r="N211" s="745"/>
      <c r="O211" s="745"/>
      <c r="P211" s="745"/>
      <c r="Q211" s="745"/>
      <c r="R211" s="746"/>
    </row>
    <row r="212" spans="1:18">
      <c r="A212" s="23"/>
      <c r="B212" s="11" t="s">
        <v>15</v>
      </c>
      <c r="C212" s="4"/>
      <c r="D212" s="4"/>
      <c r="E212" s="4"/>
      <c r="F212" s="4"/>
      <c r="G212" s="21" t="s">
        <v>16</v>
      </c>
      <c r="H212" s="37">
        <f>H211+H210</f>
        <v>39097.439548000002</v>
      </c>
      <c r="I212" s="38" t="str">
        <f>CONCATENATE("per ",C201, C202)</f>
        <v>per 100sqm</v>
      </c>
      <c r="J212" s="744"/>
      <c r="K212" s="745"/>
      <c r="L212" s="745"/>
      <c r="M212" s="745"/>
      <c r="N212" s="745"/>
      <c r="O212" s="745"/>
      <c r="P212" s="745"/>
      <c r="Q212" s="745"/>
      <c r="R212" s="746"/>
    </row>
    <row r="213" spans="1:18">
      <c r="A213" s="23"/>
      <c r="B213" s="11"/>
      <c r="C213" s="4"/>
      <c r="D213" s="4"/>
      <c r="E213" s="4"/>
      <c r="F213" s="4"/>
      <c r="G213" s="21" t="s">
        <v>16</v>
      </c>
      <c r="H213" s="37">
        <f>H212/C201</f>
        <v>390.97439548</v>
      </c>
      <c r="I213" s="38" t="str">
        <f>CONCATENATE("per ",C202)</f>
        <v>per sqm</v>
      </c>
      <c r="J213" s="744"/>
      <c r="K213" s="745"/>
      <c r="L213" s="745"/>
      <c r="M213" s="745"/>
      <c r="N213" s="745"/>
      <c r="O213" s="745"/>
      <c r="P213" s="745"/>
      <c r="Q213" s="745"/>
      <c r="R213" s="746"/>
    </row>
    <row r="214" spans="1:18">
      <c r="A214" s="23"/>
      <c r="B214" s="11" t="s">
        <v>18</v>
      </c>
      <c r="C214" s="4" t="s">
        <v>19</v>
      </c>
      <c r="D214" s="4"/>
      <c r="E214" s="4"/>
      <c r="F214" s="4"/>
      <c r="G214" s="21" t="s">
        <v>16</v>
      </c>
      <c r="H214" s="37">
        <f>CEILING(H213,0.5)</f>
        <v>391</v>
      </c>
      <c r="I214" s="38" t="str">
        <f>CONCATENATE("per ",C202)</f>
        <v>per sqm</v>
      </c>
      <c r="J214" s="744"/>
      <c r="K214" s="745"/>
      <c r="L214" s="745"/>
      <c r="M214" s="745"/>
      <c r="N214" s="745"/>
      <c r="O214" s="745"/>
      <c r="P214" s="745"/>
      <c r="Q214" s="745"/>
      <c r="R214" s="746"/>
    </row>
    <row r="215" spans="1:18">
      <c r="A215" s="23"/>
      <c r="B215" s="11"/>
      <c r="C215" s="4"/>
      <c r="D215" s="4"/>
      <c r="E215" s="4"/>
      <c r="F215" s="4"/>
      <c r="G215" s="24" t="s">
        <v>17</v>
      </c>
      <c r="H215" s="37">
        <f>H214/exr</f>
        <v>3.0076923076923077</v>
      </c>
      <c r="I215" s="38" t="str">
        <f>CONCATENATE("per ",C202)</f>
        <v>per sqm</v>
      </c>
      <c r="J215" s="747"/>
      <c r="K215" s="748"/>
      <c r="L215" s="748"/>
      <c r="M215" s="748"/>
      <c r="N215" s="748"/>
      <c r="O215" s="748"/>
      <c r="P215" s="748"/>
      <c r="Q215" s="748"/>
      <c r="R215" s="749"/>
    </row>
    <row r="216" spans="1:18">
      <c r="A216" s="39"/>
      <c r="B216" s="40"/>
      <c r="C216" s="41"/>
      <c r="D216" s="41"/>
      <c r="E216" s="41"/>
      <c r="F216" s="41"/>
      <c r="G216" s="149" t="s">
        <v>460</v>
      </c>
      <c r="H216" s="150">
        <f>CEILING(SUM(M202)/H208,0.0025)</f>
        <v>0.28999999999999998</v>
      </c>
      <c r="I216" s="42"/>
      <c r="J216" s="43"/>
      <c r="K216" s="43"/>
      <c r="L216" s="43"/>
      <c r="M216" s="43"/>
      <c r="N216" s="43"/>
      <c r="O216" s="43"/>
      <c r="P216" s="43"/>
      <c r="Q216" s="43"/>
      <c r="R216" s="44"/>
    </row>
  </sheetData>
  <mergeCells count="90">
    <mergeCell ref="B47:B52"/>
    <mergeCell ref="I56:J56"/>
    <mergeCell ref="J59:R63"/>
    <mergeCell ref="J37:R41"/>
    <mergeCell ref="A44:A45"/>
    <mergeCell ref="B44:B45"/>
    <mergeCell ref="C44:C45"/>
    <mergeCell ref="D44:H44"/>
    <mergeCell ref="I44:M44"/>
    <mergeCell ref="N44:R44"/>
    <mergeCell ref="I207:J207"/>
    <mergeCell ref="J210:R215"/>
    <mergeCell ref="N198:R198"/>
    <mergeCell ref="A22:A23"/>
    <mergeCell ref="B22:B23"/>
    <mergeCell ref="C22:C23"/>
    <mergeCell ref="D22:H22"/>
    <mergeCell ref="I22:M22"/>
    <mergeCell ref="N22:R22"/>
    <mergeCell ref="B25:B30"/>
    <mergeCell ref="I34:J34"/>
    <mergeCell ref="A198:A199"/>
    <mergeCell ref="B198:B199"/>
    <mergeCell ref="C198:C199"/>
    <mergeCell ref="D198:H198"/>
    <mergeCell ref="I198:M198"/>
    <mergeCell ref="B201:B205"/>
    <mergeCell ref="B179:B184"/>
    <mergeCell ref="I188:J188"/>
    <mergeCell ref="J191:R195"/>
    <mergeCell ref="B157:B162"/>
    <mergeCell ref="I166:J166"/>
    <mergeCell ref="J169:R173"/>
    <mergeCell ref="N176:R176"/>
    <mergeCell ref="A176:A177"/>
    <mergeCell ref="B176:B177"/>
    <mergeCell ref="C176:C177"/>
    <mergeCell ref="D176:H176"/>
    <mergeCell ref="I176:M176"/>
    <mergeCell ref="I144:J144"/>
    <mergeCell ref="J147:R151"/>
    <mergeCell ref="A154:A155"/>
    <mergeCell ref="B154:B155"/>
    <mergeCell ref="C154:C155"/>
    <mergeCell ref="D154:H154"/>
    <mergeCell ref="I154:M154"/>
    <mergeCell ref="N154:R154"/>
    <mergeCell ref="I122:J122"/>
    <mergeCell ref="J125:R129"/>
    <mergeCell ref="A132:A133"/>
    <mergeCell ref="B132:B133"/>
    <mergeCell ref="C132:C133"/>
    <mergeCell ref="D132:H132"/>
    <mergeCell ref="I132:M132"/>
    <mergeCell ref="N132:R132"/>
    <mergeCell ref="D88:H88"/>
    <mergeCell ref="I88:M88"/>
    <mergeCell ref="N88:R88"/>
    <mergeCell ref="J103:R107"/>
    <mergeCell ref="A110:A111"/>
    <mergeCell ref="B110:B111"/>
    <mergeCell ref="C110:C111"/>
    <mergeCell ref="D110:H110"/>
    <mergeCell ref="I110:M110"/>
    <mergeCell ref="N110:R110"/>
    <mergeCell ref="I66:M66"/>
    <mergeCell ref="N66:R66"/>
    <mergeCell ref="A88:A89"/>
    <mergeCell ref="B135:B140"/>
    <mergeCell ref="B113:B118"/>
    <mergeCell ref="I100:J100"/>
    <mergeCell ref="B69:B74"/>
    <mergeCell ref="I78:J78"/>
    <mergeCell ref="J81:R85"/>
    <mergeCell ref="B91:B96"/>
    <mergeCell ref="A66:A67"/>
    <mergeCell ref="B66:B67"/>
    <mergeCell ref="C66:C67"/>
    <mergeCell ref="D66:H66"/>
    <mergeCell ref="B88:B89"/>
    <mergeCell ref="C88:C89"/>
    <mergeCell ref="B4:B8"/>
    <mergeCell ref="I12:J12"/>
    <mergeCell ref="J15:R19"/>
    <mergeCell ref="A1:A2"/>
    <mergeCell ref="B1:B2"/>
    <mergeCell ref="C1:C2"/>
    <mergeCell ref="D1:H1"/>
    <mergeCell ref="I1:M1"/>
    <mergeCell ref="N1:R1"/>
  </mergeCells>
  <printOptions horizontalCentered="1"/>
  <pageMargins left="0.7" right="0.7" top="0.75" bottom="0.75" header="0.3" footer="0.3"/>
  <pageSetup paperSize="9" scale="66"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4" manualBreakCount="4">
    <brk id="43" max="16383" man="1"/>
    <brk id="86" max="16383" man="1"/>
    <brk id="130" max="16383" man="1"/>
    <brk id="174"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177"/>
  <sheetViews>
    <sheetView topLeftCell="A94" workbookViewId="0">
      <selection activeCell="I92" sqref="I92"/>
    </sheetView>
  </sheetViews>
  <sheetFormatPr defaultColWidth="9.140625" defaultRowHeight="15"/>
  <cols>
    <col min="1" max="1" width="5" style="48" customWidth="1"/>
    <col min="2" max="2" width="32" style="48" customWidth="1"/>
    <col min="3" max="3" width="5" style="49" bestFit="1" customWidth="1"/>
    <col min="4" max="4" width="12" style="48" bestFit="1" customWidth="1"/>
    <col min="5" max="5" width="23.42578125" style="48" hidden="1" customWidth="1"/>
    <col min="6" max="6" width="4.28515625" style="48" hidden="1" customWidth="1"/>
    <col min="7" max="7" width="4.140625" style="48" hidden="1" customWidth="1"/>
    <col min="8" max="8" width="13.7109375" style="48" hidden="1" customWidth="1"/>
    <col min="9" max="9" width="12" style="48" bestFit="1" customWidth="1"/>
    <col min="10" max="11" width="12.28515625" style="48" customWidth="1"/>
    <col min="12" max="12" width="16.7109375" style="48" customWidth="1"/>
    <col min="13" max="13" width="19.5703125" style="48" customWidth="1"/>
    <col min="14" max="16384" width="9.140625" style="48"/>
  </cols>
  <sheetData>
    <row r="1" spans="1:11">
      <c r="A1" s="61" t="s">
        <v>710</v>
      </c>
      <c r="B1" s="62"/>
      <c r="C1" s="63"/>
      <c r="D1" s="62"/>
      <c r="E1" s="64"/>
      <c r="I1" s="62"/>
      <c r="J1" s="560" t="s">
        <v>915</v>
      </c>
      <c r="K1" s="48" t="s">
        <v>918</v>
      </c>
    </row>
    <row r="2" spans="1:11">
      <c r="A2" s="215">
        <v>1</v>
      </c>
      <c r="B2" s="48" t="s">
        <v>711</v>
      </c>
      <c r="J2" s="560" t="s">
        <v>916</v>
      </c>
      <c r="K2" s="48" t="s">
        <v>918</v>
      </c>
    </row>
    <row r="3" spans="1:11">
      <c r="A3" s="215">
        <f>A2+1</f>
        <v>2</v>
      </c>
      <c r="B3" s="48" t="s">
        <v>712</v>
      </c>
      <c r="J3" s="562" t="s">
        <v>119</v>
      </c>
      <c r="K3" s="48" t="s">
        <v>926</v>
      </c>
    </row>
    <row r="4" spans="1:11">
      <c r="A4" s="215">
        <f>A3+1</f>
        <v>3</v>
      </c>
      <c r="B4" s="48" t="s">
        <v>713</v>
      </c>
      <c r="J4" s="560" t="s">
        <v>917</v>
      </c>
      <c r="K4" s="48" t="s">
        <v>918</v>
      </c>
    </row>
    <row r="5" spans="1:11">
      <c r="A5" s="215">
        <f>A4+1</f>
        <v>4</v>
      </c>
      <c r="B5" s="48" t="s">
        <v>1017</v>
      </c>
    </row>
    <row r="6" spans="1:11" ht="30" customHeight="1">
      <c r="A6" s="215">
        <f>A5+1</f>
        <v>5</v>
      </c>
      <c r="B6" s="666" t="s">
        <v>723</v>
      </c>
      <c r="C6" s="666"/>
      <c r="D6" s="666"/>
    </row>
    <row r="7" spans="1:11" ht="45" customHeight="1">
      <c r="A7" s="215">
        <f>A6+1</f>
        <v>6</v>
      </c>
      <c r="B7" s="665" t="s">
        <v>873</v>
      </c>
      <c r="C7" s="665"/>
      <c r="D7" s="665"/>
      <c r="E7" s="665"/>
    </row>
    <row r="8" spans="1:11">
      <c r="A8" s="214"/>
    </row>
    <row r="9" spans="1:11">
      <c r="A9" s="61" t="s">
        <v>720</v>
      </c>
      <c r="B9" s="62"/>
      <c r="C9" s="63"/>
      <c r="D9" s="62"/>
      <c r="E9" s="64"/>
      <c r="I9" s="62"/>
    </row>
    <row r="10" spans="1:11">
      <c r="B10" s="48" t="s">
        <v>714</v>
      </c>
    </row>
    <row r="11" spans="1:11">
      <c r="B11" s="48" t="s">
        <v>715</v>
      </c>
    </row>
    <row r="12" spans="1:11">
      <c r="B12" s="48" t="s">
        <v>716</v>
      </c>
    </row>
    <row r="13" spans="1:11">
      <c r="B13" s="48" t="s">
        <v>717</v>
      </c>
    </row>
    <row r="14" spans="1:11">
      <c r="B14" s="48" t="s">
        <v>718</v>
      </c>
    </row>
    <row r="15" spans="1:11">
      <c r="B15" s="48" t="s">
        <v>884</v>
      </c>
    </row>
    <row r="16" spans="1:11">
      <c r="B16" s="48" t="s">
        <v>885</v>
      </c>
    </row>
    <row r="17" spans="1:11">
      <c r="B17" s="48" t="s">
        <v>719</v>
      </c>
    </row>
    <row r="19" spans="1:11">
      <c r="A19" s="61" t="s">
        <v>743</v>
      </c>
      <c r="B19" s="62"/>
      <c r="C19" s="63"/>
      <c r="D19" s="62"/>
      <c r="E19" s="64"/>
      <c r="I19" s="62"/>
      <c r="J19" s="48" t="s">
        <v>982</v>
      </c>
      <c r="K19" s="566">
        <v>0</v>
      </c>
    </row>
    <row r="20" spans="1:11">
      <c r="B20" s="72" t="s">
        <v>130</v>
      </c>
      <c r="C20" s="49" t="s">
        <v>129</v>
      </c>
      <c r="D20" s="140">
        <v>130</v>
      </c>
      <c r="I20" s="140">
        <v>130</v>
      </c>
    </row>
    <row r="22" spans="1:11">
      <c r="A22" s="61" t="s">
        <v>1016</v>
      </c>
      <c r="B22" s="62"/>
      <c r="C22" s="63"/>
      <c r="D22" s="62"/>
      <c r="E22" s="64"/>
      <c r="I22" s="62"/>
    </row>
    <row r="24" spans="1:11">
      <c r="A24" s="50" t="s">
        <v>82</v>
      </c>
      <c r="B24" s="50" t="s">
        <v>126</v>
      </c>
      <c r="C24" s="50" t="s">
        <v>2</v>
      </c>
      <c r="D24" s="50" t="s">
        <v>85</v>
      </c>
      <c r="E24" s="50" t="s">
        <v>228</v>
      </c>
      <c r="H24" s="344"/>
      <c r="I24" s="50" t="s">
        <v>85</v>
      </c>
    </row>
    <row r="25" spans="1:11">
      <c r="A25" s="135">
        <v>1</v>
      </c>
      <c r="B25" s="134" t="s">
        <v>72</v>
      </c>
      <c r="C25" s="135" t="s">
        <v>81</v>
      </c>
      <c r="D25" s="168">
        <f>$K$19*I25+I25</f>
        <v>1100</v>
      </c>
      <c r="E25" s="134"/>
      <c r="H25" s="237"/>
      <c r="I25" s="168">
        <v>1100</v>
      </c>
      <c r="J25" s="237"/>
      <c r="K25" s="237"/>
    </row>
    <row r="26" spans="1:11">
      <c r="A26" s="135">
        <f>A25+1</f>
        <v>2</v>
      </c>
      <c r="B26" s="134" t="s">
        <v>74</v>
      </c>
      <c r="C26" s="135" t="s">
        <v>81</v>
      </c>
      <c r="D26" s="168">
        <f>$K$19*I26+I26</f>
        <v>900</v>
      </c>
      <c r="E26" s="134"/>
      <c r="H26" s="237"/>
      <c r="I26" s="168">
        <v>900</v>
      </c>
      <c r="J26" s="237"/>
      <c r="K26" s="237"/>
    </row>
    <row r="27" spans="1:11">
      <c r="A27" s="135">
        <f t="shared" ref="A27:A44" si="0">A26+1</f>
        <v>3</v>
      </c>
      <c r="B27" s="134" t="s">
        <v>73</v>
      </c>
      <c r="C27" s="135" t="s">
        <v>81</v>
      </c>
      <c r="D27" s="168">
        <f t="shared" ref="D27:D44" si="1">$K$19*I27+I27</f>
        <v>850</v>
      </c>
      <c r="E27" s="134"/>
      <c r="H27" s="237"/>
      <c r="I27" s="168">
        <v>850</v>
      </c>
      <c r="J27" s="237"/>
      <c r="K27" s="237"/>
    </row>
    <row r="28" spans="1:11">
      <c r="A28" s="135">
        <f t="shared" si="0"/>
        <v>4</v>
      </c>
      <c r="B28" s="134" t="s">
        <v>75</v>
      </c>
      <c r="C28" s="135" t="s">
        <v>81</v>
      </c>
      <c r="D28" s="168">
        <f t="shared" si="1"/>
        <v>1100</v>
      </c>
      <c r="E28" s="134"/>
      <c r="H28" s="237"/>
      <c r="I28" s="168">
        <v>1100</v>
      </c>
      <c r="J28" s="237"/>
      <c r="K28" s="237"/>
    </row>
    <row r="29" spans="1:11">
      <c r="A29" s="135">
        <f t="shared" si="0"/>
        <v>5</v>
      </c>
      <c r="B29" s="134" t="s">
        <v>461</v>
      </c>
      <c r="C29" s="135" t="s">
        <v>81</v>
      </c>
      <c r="D29" s="168">
        <f t="shared" si="1"/>
        <v>900</v>
      </c>
      <c r="E29" s="134"/>
      <c r="H29" s="237"/>
      <c r="I29" s="168">
        <v>900</v>
      </c>
      <c r="J29" s="237"/>
      <c r="K29" s="237"/>
    </row>
    <row r="30" spans="1:11">
      <c r="A30" s="135">
        <f t="shared" si="0"/>
        <v>6</v>
      </c>
      <c r="B30" s="134" t="s">
        <v>76</v>
      </c>
      <c r="C30" s="135" t="s">
        <v>81</v>
      </c>
      <c r="D30" s="168">
        <f t="shared" si="1"/>
        <v>1100</v>
      </c>
      <c r="E30" s="134"/>
      <c r="H30" s="237"/>
      <c r="I30" s="168">
        <v>1100</v>
      </c>
      <c r="J30" s="237"/>
    </row>
    <row r="31" spans="1:11">
      <c r="A31" s="135">
        <f t="shared" si="0"/>
        <v>7</v>
      </c>
      <c r="B31" s="134" t="s">
        <v>77</v>
      </c>
      <c r="C31" s="135" t="s">
        <v>81</v>
      </c>
      <c r="D31" s="168">
        <f t="shared" si="1"/>
        <v>1840</v>
      </c>
      <c r="E31" s="569"/>
      <c r="F31" s="570"/>
      <c r="G31" s="570"/>
      <c r="H31" s="571"/>
      <c r="I31" s="235">
        <f>230*8</f>
        <v>1840</v>
      </c>
      <c r="J31" s="237"/>
    </row>
    <row r="32" spans="1:11">
      <c r="A32" s="135">
        <f t="shared" si="0"/>
        <v>8</v>
      </c>
      <c r="B32" s="134" t="s">
        <v>86</v>
      </c>
      <c r="C32" s="135" t="s">
        <v>81</v>
      </c>
      <c r="D32" s="168">
        <f t="shared" si="1"/>
        <v>750</v>
      </c>
      <c r="E32" s="134"/>
      <c r="H32" s="237"/>
      <c r="I32" s="168">
        <v>750</v>
      </c>
      <c r="J32" s="237"/>
    </row>
    <row r="33" spans="1:11">
      <c r="A33" s="135">
        <f t="shared" si="0"/>
        <v>9</v>
      </c>
      <c r="B33" s="134" t="s">
        <v>89</v>
      </c>
      <c r="C33" s="135" t="s">
        <v>81</v>
      </c>
      <c r="D33" s="168">
        <f t="shared" si="1"/>
        <v>1100</v>
      </c>
      <c r="E33" s="134"/>
      <c r="H33" s="237"/>
      <c r="I33" s="168">
        <v>1100</v>
      </c>
      <c r="J33" s="237"/>
    </row>
    <row r="34" spans="1:11">
      <c r="A34" s="135">
        <f t="shared" ref="A34:A40" si="2">A33+1</f>
        <v>10</v>
      </c>
      <c r="B34" s="134" t="s">
        <v>462</v>
      </c>
      <c r="C34" s="135" t="s">
        <v>81</v>
      </c>
      <c r="D34" s="168">
        <f t="shared" si="1"/>
        <v>750</v>
      </c>
      <c r="E34" s="134"/>
      <c r="H34" s="237"/>
      <c r="I34" s="168">
        <v>750</v>
      </c>
      <c r="J34" s="237"/>
    </row>
    <row r="35" spans="1:11">
      <c r="A35" s="135">
        <f t="shared" si="2"/>
        <v>11</v>
      </c>
      <c r="B35" s="134" t="s">
        <v>87</v>
      </c>
      <c r="C35" s="135" t="s">
        <v>81</v>
      </c>
      <c r="D35" s="168">
        <f t="shared" si="1"/>
        <v>1100</v>
      </c>
      <c r="E35" s="134"/>
      <c r="H35" s="237"/>
      <c r="I35" s="168">
        <v>1100</v>
      </c>
      <c r="J35" s="237"/>
    </row>
    <row r="36" spans="1:11">
      <c r="A36" s="135">
        <f t="shared" si="2"/>
        <v>12</v>
      </c>
      <c r="B36" s="134" t="s">
        <v>88</v>
      </c>
      <c r="C36" s="135" t="s">
        <v>81</v>
      </c>
      <c r="D36" s="168">
        <f t="shared" si="1"/>
        <v>1100</v>
      </c>
      <c r="E36" s="134"/>
      <c r="H36" s="237"/>
      <c r="I36" s="168">
        <v>1100</v>
      </c>
      <c r="J36" s="237"/>
    </row>
    <row r="37" spans="1:11">
      <c r="A37" s="135">
        <f t="shared" si="2"/>
        <v>13</v>
      </c>
      <c r="B37" s="134" t="s">
        <v>463</v>
      </c>
      <c r="C37" s="135" t="s">
        <v>81</v>
      </c>
      <c r="D37" s="168">
        <f t="shared" si="1"/>
        <v>1100</v>
      </c>
      <c r="E37" s="134"/>
      <c r="H37" s="237"/>
      <c r="I37" s="168">
        <v>1100</v>
      </c>
      <c r="J37" s="237"/>
    </row>
    <row r="38" spans="1:11">
      <c r="A38" s="135">
        <f t="shared" si="2"/>
        <v>14</v>
      </c>
      <c r="B38" s="134" t="s">
        <v>645</v>
      </c>
      <c r="C38" s="135" t="s">
        <v>81</v>
      </c>
      <c r="D38" s="168">
        <f t="shared" si="1"/>
        <v>1840</v>
      </c>
      <c r="E38" s="569"/>
      <c r="F38" s="570"/>
      <c r="G38" s="570"/>
      <c r="H38" s="571"/>
      <c r="I38" s="235">
        <f>or</f>
        <v>1840</v>
      </c>
      <c r="J38" s="237"/>
    </row>
    <row r="39" spans="1:11">
      <c r="A39" s="135">
        <f t="shared" si="2"/>
        <v>15</v>
      </c>
      <c r="B39" s="134" t="s">
        <v>464</v>
      </c>
      <c r="C39" s="135" t="s">
        <v>81</v>
      </c>
      <c r="D39" s="168">
        <f t="shared" si="1"/>
        <v>1100</v>
      </c>
      <c r="E39" s="134"/>
      <c r="H39" s="237"/>
      <c r="I39" s="168">
        <v>1100</v>
      </c>
      <c r="J39" s="237"/>
    </row>
    <row r="40" spans="1:11">
      <c r="A40" s="135">
        <f t="shared" si="2"/>
        <v>16</v>
      </c>
      <c r="B40" s="134" t="s">
        <v>78</v>
      </c>
      <c r="C40" s="135" t="s">
        <v>81</v>
      </c>
      <c r="D40" s="168">
        <f t="shared" si="1"/>
        <v>1750</v>
      </c>
      <c r="E40" s="134"/>
      <c r="H40" s="237"/>
      <c r="I40" s="168">
        <v>1750</v>
      </c>
      <c r="J40" s="237"/>
    </row>
    <row r="41" spans="1:11">
      <c r="A41" s="135">
        <f t="shared" si="0"/>
        <v>17</v>
      </c>
      <c r="B41" s="134" t="s">
        <v>79</v>
      </c>
      <c r="C41" s="135" t="s">
        <v>81</v>
      </c>
      <c r="D41" s="168">
        <f t="shared" si="1"/>
        <v>1400</v>
      </c>
      <c r="E41" s="134"/>
      <c r="H41" s="237"/>
      <c r="I41" s="168">
        <v>1400</v>
      </c>
      <c r="J41" s="237"/>
    </row>
    <row r="42" spans="1:11">
      <c r="A42" s="135">
        <f t="shared" si="0"/>
        <v>18</v>
      </c>
      <c r="B42" s="134" t="s">
        <v>80</v>
      </c>
      <c r="C42" s="135" t="s">
        <v>81</v>
      </c>
      <c r="D42" s="168">
        <f t="shared" si="1"/>
        <v>0</v>
      </c>
      <c r="E42" s="134"/>
      <c r="H42" s="237"/>
      <c r="I42" s="235"/>
      <c r="J42" s="237"/>
    </row>
    <row r="43" spans="1:11">
      <c r="A43" s="135">
        <f t="shared" si="0"/>
        <v>19</v>
      </c>
      <c r="B43" s="134" t="s">
        <v>90</v>
      </c>
      <c r="C43" s="135" t="s">
        <v>81</v>
      </c>
      <c r="D43" s="168">
        <f t="shared" si="1"/>
        <v>780</v>
      </c>
      <c r="E43" s="134"/>
      <c r="H43" s="237"/>
      <c r="I43" s="235">
        <v>780</v>
      </c>
      <c r="J43" s="237"/>
    </row>
    <row r="44" spans="1:11">
      <c r="A44" s="135">
        <f t="shared" si="0"/>
        <v>20</v>
      </c>
      <c r="B44" s="134" t="s">
        <v>823</v>
      </c>
      <c r="C44" s="135" t="s">
        <v>81</v>
      </c>
      <c r="D44" s="168">
        <f t="shared" si="1"/>
        <v>1100</v>
      </c>
      <c r="E44" s="134"/>
      <c r="H44" s="237"/>
      <c r="I44" s="235">
        <v>1100</v>
      </c>
      <c r="J44" s="237"/>
    </row>
    <row r="45" spans="1:11">
      <c r="J45" s="237"/>
    </row>
    <row r="47" spans="1:11">
      <c r="A47" s="61" t="s">
        <v>1015</v>
      </c>
      <c r="B47" s="62"/>
      <c r="C47" s="63"/>
      <c r="D47" s="62"/>
      <c r="E47" s="64"/>
      <c r="I47" s="62"/>
      <c r="K47" s="566"/>
    </row>
    <row r="49" spans="1:12">
      <c r="A49" s="50" t="s">
        <v>83</v>
      </c>
      <c r="B49" s="50" t="s">
        <v>84</v>
      </c>
      <c r="C49" s="50" t="s">
        <v>2</v>
      </c>
      <c r="D49" s="50" t="s">
        <v>85</v>
      </c>
      <c r="E49" s="50" t="s">
        <v>106</v>
      </c>
      <c r="I49" s="50" t="s">
        <v>85</v>
      </c>
    </row>
    <row r="50" spans="1:12">
      <c r="A50" s="217" t="s">
        <v>596</v>
      </c>
      <c r="B50" s="134"/>
      <c r="C50" s="135"/>
      <c r="D50" s="136"/>
      <c r="E50" s="134"/>
      <c r="I50" s="136"/>
    </row>
    <row r="51" spans="1:12">
      <c r="A51" s="135">
        <v>1</v>
      </c>
      <c r="B51" s="134" t="s">
        <v>37</v>
      </c>
      <c r="C51" s="135" t="s">
        <v>11</v>
      </c>
      <c r="D51" s="168">
        <f>$K$19*I51+I51</f>
        <v>1050</v>
      </c>
      <c r="E51" s="134" t="s">
        <v>605</v>
      </c>
      <c r="F51" s="48" t="s">
        <v>590</v>
      </c>
      <c r="G51" s="48">
        <f t="shared" ref="G51:G59" si="3">A51</f>
        <v>1</v>
      </c>
      <c r="I51" s="168">
        <v>1050</v>
      </c>
      <c r="J51" s="237"/>
      <c r="K51" s="237"/>
      <c r="L51" s="237"/>
    </row>
    <row r="52" spans="1:12">
      <c r="A52" s="135">
        <f t="shared" ref="A52:A59" si="4">A51+1</f>
        <v>2</v>
      </c>
      <c r="B52" s="134" t="s">
        <v>41</v>
      </c>
      <c r="C52" s="135" t="s">
        <v>11</v>
      </c>
      <c r="D52" s="168">
        <f t="shared" ref="D52:D59" si="5">$K$19*I52+I52</f>
        <v>1000</v>
      </c>
      <c r="E52" s="134" t="s">
        <v>605</v>
      </c>
      <c r="F52" s="48" t="s">
        <v>590</v>
      </c>
      <c r="G52" s="48">
        <f t="shared" si="3"/>
        <v>2</v>
      </c>
      <c r="I52" s="168">
        <v>1000</v>
      </c>
      <c r="J52" s="237"/>
      <c r="K52" s="237"/>
      <c r="L52" s="237"/>
    </row>
    <row r="53" spans="1:12">
      <c r="A53" s="135">
        <f t="shared" si="4"/>
        <v>3</v>
      </c>
      <c r="B53" s="134" t="s">
        <v>318</v>
      </c>
      <c r="C53" s="135" t="s">
        <v>11</v>
      </c>
      <c r="D53" s="168">
        <f t="shared" si="5"/>
        <v>1350</v>
      </c>
      <c r="E53" s="134" t="s">
        <v>605</v>
      </c>
      <c r="F53" s="48" t="s">
        <v>590</v>
      </c>
      <c r="G53" s="48">
        <f t="shared" si="3"/>
        <v>3</v>
      </c>
      <c r="I53" s="168">
        <v>1350</v>
      </c>
      <c r="J53" s="237"/>
      <c r="K53" s="237"/>
      <c r="L53" s="237"/>
    </row>
    <row r="54" spans="1:12">
      <c r="A54" s="135">
        <f t="shared" si="4"/>
        <v>4</v>
      </c>
      <c r="B54" s="134" t="s">
        <v>315</v>
      </c>
      <c r="C54" s="135" t="s">
        <v>11</v>
      </c>
      <c r="D54" s="168">
        <f t="shared" si="5"/>
        <v>1450</v>
      </c>
      <c r="E54" s="134" t="s">
        <v>605</v>
      </c>
      <c r="F54" s="48" t="s">
        <v>590</v>
      </c>
      <c r="G54" s="48">
        <f t="shared" si="3"/>
        <v>4</v>
      </c>
      <c r="I54" s="168">
        <v>1450</v>
      </c>
      <c r="J54" s="237"/>
      <c r="K54" s="237"/>
      <c r="L54" s="237"/>
    </row>
    <row r="55" spans="1:12">
      <c r="A55" s="135">
        <f t="shared" si="4"/>
        <v>5</v>
      </c>
      <c r="B55" s="134" t="s">
        <v>33</v>
      </c>
      <c r="C55" s="135" t="s">
        <v>11</v>
      </c>
      <c r="D55" s="168">
        <f t="shared" si="5"/>
        <v>2450</v>
      </c>
      <c r="E55" s="134" t="s">
        <v>605</v>
      </c>
      <c r="F55" s="48" t="s">
        <v>590</v>
      </c>
      <c r="G55" s="48">
        <f t="shared" si="3"/>
        <v>5</v>
      </c>
      <c r="I55" s="168">
        <v>2450</v>
      </c>
      <c r="J55" s="237"/>
      <c r="K55" s="237"/>
      <c r="L55" s="237"/>
    </row>
    <row r="56" spans="1:12">
      <c r="A56" s="135">
        <f t="shared" si="4"/>
        <v>6</v>
      </c>
      <c r="B56" s="134" t="s">
        <v>35</v>
      </c>
      <c r="C56" s="135" t="s">
        <v>11</v>
      </c>
      <c r="D56" s="168">
        <f t="shared" si="5"/>
        <v>2700</v>
      </c>
      <c r="E56" s="134" t="s">
        <v>605</v>
      </c>
      <c r="F56" s="48" t="s">
        <v>590</v>
      </c>
      <c r="G56" s="48">
        <f t="shared" si="3"/>
        <v>6</v>
      </c>
      <c r="I56" s="168">
        <v>2700</v>
      </c>
      <c r="J56" s="237"/>
      <c r="K56" s="237"/>
      <c r="L56" s="237"/>
    </row>
    <row r="57" spans="1:12">
      <c r="A57" s="135">
        <f t="shared" si="4"/>
        <v>7</v>
      </c>
      <c r="B57" s="134" t="s">
        <v>36</v>
      </c>
      <c r="C57" s="135" t="s">
        <v>11</v>
      </c>
      <c r="D57" s="168">
        <f t="shared" si="5"/>
        <v>2950</v>
      </c>
      <c r="E57" s="134" t="s">
        <v>605</v>
      </c>
      <c r="F57" s="48" t="s">
        <v>590</v>
      </c>
      <c r="G57" s="48">
        <f t="shared" si="3"/>
        <v>7</v>
      </c>
      <c r="I57" s="168">
        <v>2950</v>
      </c>
      <c r="J57" s="237"/>
      <c r="K57" s="237"/>
      <c r="L57" s="237"/>
    </row>
    <row r="58" spans="1:12">
      <c r="A58" s="135">
        <f t="shared" si="4"/>
        <v>8</v>
      </c>
      <c r="B58" s="134" t="s">
        <v>71</v>
      </c>
      <c r="C58" s="135" t="s">
        <v>11</v>
      </c>
      <c r="D58" s="168">
        <f t="shared" si="5"/>
        <v>1150</v>
      </c>
      <c r="E58" s="134" t="s">
        <v>605</v>
      </c>
      <c r="F58" s="48" t="s">
        <v>590</v>
      </c>
      <c r="G58" s="48">
        <f t="shared" si="3"/>
        <v>8</v>
      </c>
      <c r="I58" s="168">
        <v>1150</v>
      </c>
      <c r="J58" s="237"/>
      <c r="K58" s="237"/>
      <c r="L58" s="237"/>
    </row>
    <row r="59" spans="1:12">
      <c r="A59" s="135">
        <f t="shared" si="4"/>
        <v>9</v>
      </c>
      <c r="B59" s="134" t="s">
        <v>38</v>
      </c>
      <c r="C59" s="135" t="s">
        <v>11</v>
      </c>
      <c r="D59" s="168">
        <f t="shared" si="5"/>
        <v>1100</v>
      </c>
      <c r="E59" s="569" t="s">
        <v>605</v>
      </c>
      <c r="F59" s="570" t="s">
        <v>590</v>
      </c>
      <c r="G59" s="570">
        <f t="shared" si="3"/>
        <v>9</v>
      </c>
      <c r="H59" s="570"/>
      <c r="I59" s="235">
        <f>AVERAGE(I51,I58)</f>
        <v>1100</v>
      </c>
      <c r="J59" s="237"/>
      <c r="K59" s="237"/>
      <c r="L59" s="237"/>
    </row>
    <row r="60" spans="1:12">
      <c r="A60" s="217" t="s">
        <v>597</v>
      </c>
      <c r="B60" s="134"/>
      <c r="C60" s="135"/>
      <c r="D60" s="136"/>
      <c r="E60" s="134"/>
      <c r="I60" s="136"/>
      <c r="J60" s="237"/>
    </row>
    <row r="61" spans="1:12">
      <c r="A61" s="135">
        <f>A59+1</f>
        <v>10</v>
      </c>
      <c r="B61" s="134" t="s">
        <v>31</v>
      </c>
      <c r="C61" s="135" t="s">
        <v>113</v>
      </c>
      <c r="D61" s="168">
        <f>$K$19*I61+I61</f>
        <v>18400</v>
      </c>
      <c r="E61" s="134" t="s">
        <v>877</v>
      </c>
      <c r="F61" s="48" t="s">
        <v>589</v>
      </c>
      <c r="G61" s="48">
        <f t="shared" ref="G61:G90" si="6">A61</f>
        <v>10</v>
      </c>
      <c r="I61" s="235">
        <f>920*20</f>
        <v>18400</v>
      </c>
      <c r="J61" s="237"/>
      <c r="K61" s="237">
        <f>D61/1000*50</f>
        <v>919.99999999999989</v>
      </c>
      <c r="L61" s="237"/>
    </row>
    <row r="62" spans="1:12">
      <c r="A62" s="135">
        <f t="shared" ref="A62:A90" si="7">A61+1</f>
        <v>11</v>
      </c>
      <c r="B62" s="134" t="s">
        <v>745</v>
      </c>
      <c r="C62" s="135" t="s">
        <v>113</v>
      </c>
      <c r="D62" s="168">
        <f t="shared" ref="D62:D90" si="8">$K$19*I62+I62</f>
        <v>124500</v>
      </c>
      <c r="E62" s="134" t="s">
        <v>868</v>
      </c>
      <c r="F62" s="48" t="s">
        <v>589</v>
      </c>
      <c r="G62" s="48">
        <f t="shared" si="6"/>
        <v>11</v>
      </c>
      <c r="I62" s="235">
        <f>124.5*1000</f>
        <v>124500</v>
      </c>
      <c r="J62" s="237"/>
      <c r="K62" s="237"/>
    </row>
    <row r="63" spans="1:12">
      <c r="A63" s="135">
        <f t="shared" si="7"/>
        <v>12</v>
      </c>
      <c r="B63" s="134" t="s">
        <v>29</v>
      </c>
      <c r="C63" s="135" t="s">
        <v>113</v>
      </c>
      <c r="D63" s="168">
        <f t="shared" si="8"/>
        <v>100000</v>
      </c>
      <c r="E63" s="134" t="s">
        <v>868</v>
      </c>
      <c r="F63" s="48" t="s">
        <v>589</v>
      </c>
      <c r="G63" s="48">
        <f t="shared" si="6"/>
        <v>12</v>
      </c>
      <c r="I63" s="168">
        <f>(100*1000)</f>
        <v>100000</v>
      </c>
      <c r="J63" s="237"/>
      <c r="K63" s="237"/>
    </row>
    <row r="64" spans="1:12">
      <c r="A64" s="135">
        <f t="shared" si="7"/>
        <v>13</v>
      </c>
      <c r="B64" s="134" t="s">
        <v>608</v>
      </c>
      <c r="C64" s="135" t="s">
        <v>113</v>
      </c>
      <c r="D64" s="168">
        <f t="shared" si="8"/>
        <v>89000</v>
      </c>
      <c r="E64" s="134" t="s">
        <v>868</v>
      </c>
      <c r="F64" s="48" t="s">
        <v>591</v>
      </c>
      <c r="G64" s="48">
        <f t="shared" si="6"/>
        <v>13</v>
      </c>
      <c r="I64" s="235">
        <f>89*1000</f>
        <v>89000</v>
      </c>
      <c r="J64" s="237"/>
      <c r="K64" s="237"/>
    </row>
    <row r="65" spans="1:12">
      <c r="A65" s="135">
        <f t="shared" si="7"/>
        <v>14</v>
      </c>
      <c r="B65" s="134" t="s">
        <v>406</v>
      </c>
      <c r="C65" s="135" t="s">
        <v>113</v>
      </c>
      <c r="D65" s="168">
        <f t="shared" si="8"/>
        <v>108160</v>
      </c>
      <c r="E65" s="134" t="s">
        <v>868</v>
      </c>
      <c r="F65" s="48" t="s">
        <v>589</v>
      </c>
      <c r="G65" s="48">
        <f t="shared" si="6"/>
        <v>14</v>
      </c>
      <c r="I65" s="568">
        <f>(108.16*1000)</f>
        <v>108160</v>
      </c>
      <c r="J65" s="237"/>
      <c r="K65" s="237"/>
      <c r="L65" s="237"/>
    </row>
    <row r="66" spans="1:12">
      <c r="A66" s="135">
        <f t="shared" si="7"/>
        <v>15</v>
      </c>
      <c r="B66" s="134" t="s">
        <v>405</v>
      </c>
      <c r="C66" s="135" t="s">
        <v>113</v>
      </c>
      <c r="D66" s="168">
        <f t="shared" si="8"/>
        <v>110320</v>
      </c>
      <c r="E66" s="134" t="s">
        <v>868</v>
      </c>
      <c r="F66" s="48" t="s">
        <v>589</v>
      </c>
      <c r="G66" s="48">
        <f t="shared" si="6"/>
        <v>15</v>
      </c>
      <c r="I66" s="568">
        <f>110.32*1000</f>
        <v>110320</v>
      </c>
      <c r="J66" s="237"/>
      <c r="K66" s="237"/>
      <c r="L66" s="237"/>
    </row>
    <row r="67" spans="1:12">
      <c r="A67" s="135">
        <f t="shared" si="7"/>
        <v>16</v>
      </c>
      <c r="B67" s="134" t="s">
        <v>407</v>
      </c>
      <c r="C67" s="135" t="s">
        <v>113</v>
      </c>
      <c r="D67" s="168">
        <f t="shared" si="8"/>
        <v>113570</v>
      </c>
      <c r="E67" s="134" t="s">
        <v>868</v>
      </c>
      <c r="F67" s="48" t="s">
        <v>589</v>
      </c>
      <c r="G67" s="48">
        <f t="shared" si="6"/>
        <v>16</v>
      </c>
      <c r="I67" s="568">
        <f>113.57*1000</f>
        <v>113570</v>
      </c>
      <c r="J67" s="237"/>
      <c r="K67" s="237"/>
      <c r="L67" s="237"/>
    </row>
    <row r="68" spans="1:12">
      <c r="A68" s="135">
        <f t="shared" si="7"/>
        <v>17</v>
      </c>
      <c r="B68" s="134" t="s">
        <v>27</v>
      </c>
      <c r="C68" s="135" t="s">
        <v>113</v>
      </c>
      <c r="D68" s="168">
        <f t="shared" si="8"/>
        <v>100000</v>
      </c>
      <c r="E68" s="134" t="s">
        <v>868</v>
      </c>
      <c r="F68" s="48" t="s">
        <v>589</v>
      </c>
      <c r="G68" s="48">
        <f t="shared" si="6"/>
        <v>17</v>
      </c>
      <c r="I68" s="168">
        <f>100*1000</f>
        <v>100000</v>
      </c>
      <c r="J68" s="237"/>
      <c r="K68" s="237"/>
      <c r="L68" s="237"/>
    </row>
    <row r="69" spans="1:12">
      <c r="A69" s="135">
        <f t="shared" si="7"/>
        <v>18</v>
      </c>
      <c r="B69" s="134" t="s">
        <v>39</v>
      </c>
      <c r="C69" s="135" t="s">
        <v>11</v>
      </c>
      <c r="D69" s="168">
        <f t="shared" si="8"/>
        <v>90000</v>
      </c>
      <c r="E69" s="134" t="s">
        <v>868</v>
      </c>
      <c r="F69" s="48" t="s">
        <v>589</v>
      </c>
      <c r="G69" s="48">
        <f t="shared" si="6"/>
        <v>18</v>
      </c>
      <c r="I69" s="168">
        <v>90000</v>
      </c>
      <c r="J69" s="237"/>
      <c r="K69" s="237"/>
      <c r="L69" s="237"/>
    </row>
    <row r="70" spans="1:12">
      <c r="A70" s="135">
        <f t="shared" si="7"/>
        <v>19</v>
      </c>
      <c r="B70" s="134" t="s">
        <v>40</v>
      </c>
      <c r="C70" s="135" t="s">
        <v>11</v>
      </c>
      <c r="D70" s="168">
        <f t="shared" si="8"/>
        <v>31000</v>
      </c>
      <c r="E70" s="134" t="s">
        <v>868</v>
      </c>
      <c r="F70" s="48" t="s">
        <v>589</v>
      </c>
      <c r="G70" s="48">
        <f t="shared" si="6"/>
        <v>19</v>
      </c>
      <c r="I70" s="168">
        <v>31000</v>
      </c>
      <c r="J70" s="237"/>
      <c r="K70" s="237"/>
      <c r="L70" s="237"/>
    </row>
    <row r="71" spans="1:12">
      <c r="A71" s="135">
        <f t="shared" si="7"/>
        <v>20</v>
      </c>
      <c r="B71" s="134" t="s">
        <v>48</v>
      </c>
      <c r="C71" s="135" t="s">
        <v>127</v>
      </c>
      <c r="D71" s="168">
        <f t="shared" si="8"/>
        <v>376.73702679138455</v>
      </c>
      <c r="E71" s="134" t="s">
        <v>868</v>
      </c>
      <c r="F71" s="48" t="s">
        <v>589</v>
      </c>
      <c r="G71" s="48">
        <f t="shared" si="6"/>
        <v>20</v>
      </c>
      <c r="I71" s="168">
        <f>35/0.092903</f>
        <v>376.73702679138455</v>
      </c>
      <c r="J71" s="237"/>
      <c r="K71" s="237"/>
      <c r="L71" s="237"/>
    </row>
    <row r="72" spans="1:12">
      <c r="A72" s="135">
        <f t="shared" si="7"/>
        <v>21</v>
      </c>
      <c r="B72" s="134" t="s">
        <v>42</v>
      </c>
      <c r="C72" s="135" t="s">
        <v>113</v>
      </c>
      <c r="D72" s="168">
        <f t="shared" si="8"/>
        <v>120000</v>
      </c>
      <c r="E72" s="134" t="s">
        <v>868</v>
      </c>
      <c r="F72" s="48" t="s">
        <v>589</v>
      </c>
      <c r="G72" s="48">
        <f t="shared" si="6"/>
        <v>21</v>
      </c>
      <c r="I72" s="168">
        <f>(120)*1000</f>
        <v>120000</v>
      </c>
      <c r="J72" s="237"/>
      <c r="K72" s="237"/>
      <c r="L72" s="237"/>
    </row>
    <row r="73" spans="1:12">
      <c r="A73" s="135">
        <f t="shared" si="7"/>
        <v>22</v>
      </c>
      <c r="B73" s="134" t="s">
        <v>53</v>
      </c>
      <c r="C73" s="135" t="s">
        <v>45</v>
      </c>
      <c r="D73" s="168">
        <f t="shared" si="8"/>
        <v>10</v>
      </c>
      <c r="E73" s="134" t="s">
        <v>882</v>
      </c>
      <c r="F73" s="48" t="s">
        <v>589</v>
      </c>
      <c r="G73" s="48">
        <f t="shared" si="6"/>
        <v>22</v>
      </c>
      <c r="I73" s="168">
        <v>10</v>
      </c>
      <c r="J73" s="237"/>
      <c r="K73" s="237"/>
      <c r="L73" s="237"/>
    </row>
    <row r="74" spans="1:12">
      <c r="A74" s="135">
        <f t="shared" si="7"/>
        <v>23</v>
      </c>
      <c r="B74" s="134" t="s">
        <v>64</v>
      </c>
      <c r="C74" s="135" t="s">
        <v>45</v>
      </c>
      <c r="D74" s="168">
        <f t="shared" si="8"/>
        <v>17.5</v>
      </c>
      <c r="E74" s="134" t="s">
        <v>605</v>
      </c>
      <c r="F74" s="48" t="s">
        <v>589</v>
      </c>
      <c r="G74" s="48">
        <f t="shared" si="6"/>
        <v>23</v>
      </c>
      <c r="I74" s="168">
        <v>17.5</v>
      </c>
      <c r="J74" s="237"/>
      <c r="K74" s="237"/>
      <c r="L74" s="237"/>
    </row>
    <row r="75" spans="1:12">
      <c r="A75" s="135">
        <f t="shared" si="7"/>
        <v>24</v>
      </c>
      <c r="B75" s="134" t="s">
        <v>416</v>
      </c>
      <c r="C75" s="135" t="s">
        <v>28</v>
      </c>
      <c r="D75" s="168">
        <f t="shared" si="8"/>
        <v>360</v>
      </c>
      <c r="E75" s="134" t="s">
        <v>882</v>
      </c>
      <c r="F75" s="48" t="s">
        <v>589</v>
      </c>
      <c r="G75" s="48">
        <f t="shared" si="6"/>
        <v>24</v>
      </c>
      <c r="I75" s="168">
        <v>360</v>
      </c>
      <c r="J75" s="237"/>
      <c r="K75" s="237"/>
      <c r="L75" s="237"/>
    </row>
    <row r="76" spans="1:12">
      <c r="A76" s="135">
        <f t="shared" si="7"/>
        <v>25</v>
      </c>
      <c r="B76" s="134" t="s">
        <v>471</v>
      </c>
      <c r="C76" s="135" t="s">
        <v>28</v>
      </c>
      <c r="D76" s="168">
        <f t="shared" si="8"/>
        <v>79.2</v>
      </c>
      <c r="E76" s="134" t="s">
        <v>124</v>
      </c>
      <c r="F76" s="48" t="s">
        <v>589</v>
      </c>
      <c r="G76" s="48">
        <f t="shared" si="6"/>
        <v>25</v>
      </c>
      <c r="I76" s="568">
        <v>79.2</v>
      </c>
      <c r="J76" s="237"/>
      <c r="K76" s="237"/>
      <c r="L76" s="237"/>
    </row>
    <row r="77" spans="1:12">
      <c r="A77" s="135">
        <f t="shared" si="7"/>
        <v>26</v>
      </c>
      <c r="B77" s="134" t="s">
        <v>684</v>
      </c>
      <c r="C77" s="135" t="s">
        <v>28</v>
      </c>
      <c r="D77" s="168">
        <f t="shared" si="8"/>
        <v>129.79</v>
      </c>
      <c r="E77" s="134" t="s">
        <v>124</v>
      </c>
      <c r="F77" s="48" t="s">
        <v>589</v>
      </c>
      <c r="G77" s="48">
        <f>A77</f>
        <v>26</v>
      </c>
      <c r="I77" s="568">
        <v>129.79</v>
      </c>
      <c r="J77" s="237"/>
      <c r="K77" s="237"/>
      <c r="L77" s="237"/>
    </row>
    <row r="78" spans="1:12">
      <c r="A78" s="135">
        <f t="shared" si="7"/>
        <v>27</v>
      </c>
      <c r="B78" s="134" t="s">
        <v>427</v>
      </c>
      <c r="C78" s="135" t="s">
        <v>28</v>
      </c>
      <c r="D78" s="168">
        <f t="shared" si="8"/>
        <v>130</v>
      </c>
      <c r="E78" s="134" t="s">
        <v>868</v>
      </c>
      <c r="F78" s="48" t="s">
        <v>589</v>
      </c>
      <c r="G78" s="48">
        <f t="shared" si="6"/>
        <v>27</v>
      </c>
      <c r="I78" s="235">
        <v>130</v>
      </c>
      <c r="J78" s="237"/>
      <c r="K78" s="237"/>
      <c r="L78" s="237"/>
    </row>
    <row r="79" spans="1:12">
      <c r="A79" s="135">
        <f t="shared" si="7"/>
        <v>28</v>
      </c>
      <c r="B79" s="134" t="s">
        <v>66</v>
      </c>
      <c r="C79" s="135" t="s">
        <v>28</v>
      </c>
      <c r="D79" s="168">
        <f t="shared" si="8"/>
        <v>105</v>
      </c>
      <c r="E79" s="134" t="s">
        <v>868</v>
      </c>
      <c r="F79" s="48" t="s">
        <v>589</v>
      </c>
      <c r="G79" s="48">
        <f t="shared" si="6"/>
        <v>28</v>
      </c>
      <c r="I79" s="235">
        <v>105</v>
      </c>
      <c r="J79" s="237"/>
      <c r="K79" s="237"/>
      <c r="L79" s="237"/>
    </row>
    <row r="80" spans="1:12">
      <c r="A80" s="135">
        <f t="shared" si="7"/>
        <v>29</v>
      </c>
      <c r="B80" s="134" t="s">
        <v>576</v>
      </c>
      <c r="C80" s="135" t="s">
        <v>45</v>
      </c>
      <c r="D80" s="168">
        <f t="shared" si="8"/>
        <v>400</v>
      </c>
      <c r="E80" s="134" t="s">
        <v>868</v>
      </c>
      <c r="F80" s="48" t="s">
        <v>589</v>
      </c>
      <c r="G80" s="48">
        <f t="shared" si="6"/>
        <v>29</v>
      </c>
      <c r="I80" s="168">
        <v>400</v>
      </c>
      <c r="J80" s="237"/>
      <c r="K80" s="237"/>
      <c r="L80" s="237"/>
    </row>
    <row r="81" spans="1:12">
      <c r="A81" s="135">
        <f>A80+1</f>
        <v>30</v>
      </c>
      <c r="B81" s="134" t="s">
        <v>874</v>
      </c>
      <c r="C81" s="135" t="s">
        <v>65</v>
      </c>
      <c r="D81" s="168">
        <f t="shared" si="8"/>
        <v>970</v>
      </c>
      <c r="E81" s="134" t="s">
        <v>868</v>
      </c>
      <c r="F81" s="48" t="s">
        <v>589</v>
      </c>
      <c r="G81" s="48">
        <f t="shared" si="6"/>
        <v>30</v>
      </c>
      <c r="I81" s="168">
        <v>970</v>
      </c>
      <c r="J81" s="237"/>
      <c r="K81" s="237"/>
      <c r="L81" s="237"/>
    </row>
    <row r="82" spans="1:12">
      <c r="A82" s="135">
        <f>A81+1</f>
        <v>31</v>
      </c>
      <c r="B82" s="134" t="s">
        <v>866</v>
      </c>
      <c r="C82" s="135" t="s">
        <v>65</v>
      </c>
      <c r="D82" s="168">
        <f t="shared" si="8"/>
        <v>275</v>
      </c>
      <c r="E82" s="134" t="s">
        <v>868</v>
      </c>
      <c r="F82" s="48" t="s">
        <v>589</v>
      </c>
      <c r="G82" s="48">
        <f t="shared" si="6"/>
        <v>31</v>
      </c>
      <c r="I82" s="168">
        <v>275</v>
      </c>
      <c r="J82" s="237"/>
      <c r="K82" s="237"/>
      <c r="L82" s="237"/>
    </row>
    <row r="83" spans="1:12">
      <c r="A83" s="135">
        <f t="shared" si="7"/>
        <v>32</v>
      </c>
      <c r="B83" s="134" t="s">
        <v>119</v>
      </c>
      <c r="C83" s="135" t="s">
        <v>127</v>
      </c>
      <c r="D83" s="168">
        <f t="shared" si="8"/>
        <v>155</v>
      </c>
      <c r="E83" s="134" t="s">
        <v>882</v>
      </c>
      <c r="F83" s="48" t="s">
        <v>589</v>
      </c>
      <c r="G83" s="48">
        <f t="shared" si="6"/>
        <v>32</v>
      </c>
      <c r="I83" s="168">
        <v>155</v>
      </c>
      <c r="J83" s="237"/>
      <c r="K83" s="237"/>
      <c r="L83" s="237"/>
    </row>
    <row r="84" spans="1:12">
      <c r="A84" s="135">
        <f t="shared" si="7"/>
        <v>33</v>
      </c>
      <c r="B84" s="134" t="s">
        <v>483</v>
      </c>
      <c r="C84" s="135" t="s">
        <v>127</v>
      </c>
      <c r="D84" s="168">
        <f t="shared" si="8"/>
        <v>113.57</v>
      </c>
      <c r="E84" s="134" t="s">
        <v>868</v>
      </c>
      <c r="F84" s="48" t="s">
        <v>589</v>
      </c>
      <c r="G84" s="48">
        <f t="shared" si="6"/>
        <v>33</v>
      </c>
      <c r="I84" s="235">
        <v>113.57</v>
      </c>
      <c r="J84" s="237"/>
      <c r="K84" s="237"/>
      <c r="L84" s="237"/>
    </row>
    <row r="85" spans="1:12">
      <c r="A85" s="135">
        <f t="shared" si="7"/>
        <v>34</v>
      </c>
      <c r="B85" s="134" t="s">
        <v>888</v>
      </c>
      <c r="C85" s="135" t="s">
        <v>47</v>
      </c>
      <c r="D85" s="168">
        <f t="shared" si="8"/>
        <v>353</v>
      </c>
      <c r="E85" s="134" t="s">
        <v>882</v>
      </c>
      <c r="F85" s="48" t="s">
        <v>589</v>
      </c>
      <c r="G85" s="48">
        <f t="shared" si="6"/>
        <v>34</v>
      </c>
      <c r="I85" s="235">
        <v>353</v>
      </c>
      <c r="J85" s="237"/>
      <c r="K85" s="237"/>
      <c r="L85" s="237"/>
    </row>
    <row r="86" spans="1:12">
      <c r="A86" s="135">
        <f t="shared" si="7"/>
        <v>35</v>
      </c>
      <c r="B86" s="134" t="s">
        <v>802</v>
      </c>
      <c r="C86" s="135" t="s">
        <v>28</v>
      </c>
      <c r="D86" s="168">
        <f t="shared" si="8"/>
        <v>89</v>
      </c>
      <c r="E86" s="134" t="s">
        <v>881</v>
      </c>
      <c r="F86" s="48" t="s">
        <v>589</v>
      </c>
      <c r="G86" s="48">
        <f t="shared" si="6"/>
        <v>35</v>
      </c>
      <c r="I86" s="568">
        <f>89</f>
        <v>89</v>
      </c>
      <c r="J86" s="237"/>
      <c r="K86" s="237"/>
      <c r="L86" s="237"/>
    </row>
    <row r="87" spans="1:12">
      <c r="A87" s="135">
        <f t="shared" si="7"/>
        <v>36</v>
      </c>
      <c r="B87" s="134" t="s">
        <v>803</v>
      </c>
      <c r="C87" s="135" t="s">
        <v>28</v>
      </c>
      <c r="D87" s="168">
        <f t="shared" si="8"/>
        <v>270</v>
      </c>
      <c r="E87" s="134" t="s">
        <v>868</v>
      </c>
      <c r="F87" s="48" t="s">
        <v>589</v>
      </c>
      <c r="G87" s="48">
        <f t="shared" si="6"/>
        <v>36</v>
      </c>
      <c r="I87" s="235">
        <v>270</v>
      </c>
      <c r="J87" s="237"/>
      <c r="K87" s="237"/>
      <c r="L87" s="237"/>
    </row>
    <row r="88" spans="1:12">
      <c r="A88" s="135">
        <f t="shared" si="7"/>
        <v>37</v>
      </c>
      <c r="B88" s="134" t="s">
        <v>804</v>
      </c>
      <c r="C88" s="135" t="s">
        <v>65</v>
      </c>
      <c r="D88" s="168">
        <f t="shared" si="8"/>
        <v>355.67999999999995</v>
      </c>
      <c r="E88" s="134" t="s">
        <v>881</v>
      </c>
      <c r="F88" s="48" t="s">
        <v>589</v>
      </c>
      <c r="G88" s="48">
        <f t="shared" si="6"/>
        <v>37</v>
      </c>
      <c r="I88" s="235">
        <f>3.8*93.6</f>
        <v>355.67999999999995</v>
      </c>
      <c r="J88" s="237"/>
      <c r="K88" s="237"/>
      <c r="L88" s="237"/>
    </row>
    <row r="89" spans="1:12">
      <c r="A89" s="135">
        <f t="shared" si="7"/>
        <v>38</v>
      </c>
      <c r="B89" s="134" t="s">
        <v>799</v>
      </c>
      <c r="C89" s="135" t="s">
        <v>45</v>
      </c>
      <c r="D89" s="168">
        <f t="shared" si="8"/>
        <v>3244.8</v>
      </c>
      <c r="E89" s="134" t="s">
        <v>868</v>
      </c>
      <c r="F89" s="48" t="s">
        <v>589</v>
      </c>
      <c r="G89" s="48">
        <f t="shared" si="6"/>
        <v>38</v>
      </c>
      <c r="I89" s="568">
        <v>3244.8</v>
      </c>
      <c r="J89" s="237"/>
      <c r="K89" s="237"/>
      <c r="L89" s="237"/>
    </row>
    <row r="90" spans="1:12">
      <c r="A90" s="135">
        <f t="shared" si="7"/>
        <v>39</v>
      </c>
      <c r="B90" s="134" t="s">
        <v>833</v>
      </c>
      <c r="C90" s="135" t="s">
        <v>28</v>
      </c>
      <c r="D90" s="168">
        <f t="shared" si="8"/>
        <v>30</v>
      </c>
      <c r="E90" s="134" t="s">
        <v>868</v>
      </c>
      <c r="F90" s="48" t="s">
        <v>589</v>
      </c>
      <c r="G90" s="48">
        <f t="shared" si="6"/>
        <v>39</v>
      </c>
      <c r="I90" s="568">
        <v>30</v>
      </c>
      <c r="J90" s="237"/>
      <c r="K90" s="237"/>
      <c r="L90" s="237"/>
    </row>
    <row r="91" spans="1:12">
      <c r="A91" s="217" t="s">
        <v>598</v>
      </c>
      <c r="B91" s="134"/>
      <c r="C91" s="135"/>
      <c r="D91" s="136"/>
      <c r="E91" s="134"/>
      <c r="I91" s="136"/>
    </row>
    <row r="92" spans="1:12">
      <c r="A92" s="231">
        <f>A90+1</f>
        <v>40</v>
      </c>
      <c r="B92" s="232" t="s">
        <v>67</v>
      </c>
      <c r="C92" s="231" t="s">
        <v>68</v>
      </c>
      <c r="D92" s="236">
        <f>D93</f>
        <v>170.5</v>
      </c>
      <c r="E92" s="232" t="s">
        <v>868</v>
      </c>
      <c r="F92" s="48" t="s">
        <v>595</v>
      </c>
      <c r="G92" s="48">
        <f>A92</f>
        <v>40</v>
      </c>
      <c r="I92" s="235">
        <f>I93</f>
        <v>170.5</v>
      </c>
      <c r="J92" s="237" t="s">
        <v>984</v>
      </c>
      <c r="K92" s="237"/>
    </row>
    <row r="93" spans="1:12">
      <c r="A93" s="231">
        <f>A92+1</f>
        <v>41</v>
      </c>
      <c r="B93" s="232" t="s">
        <v>69</v>
      </c>
      <c r="C93" s="231" t="s">
        <v>68</v>
      </c>
      <c r="D93" s="236">
        <v>170.5</v>
      </c>
      <c r="E93" s="232" t="s">
        <v>868</v>
      </c>
      <c r="F93" s="48" t="s">
        <v>595</v>
      </c>
      <c r="G93" s="48">
        <f>A93</f>
        <v>41</v>
      </c>
      <c r="I93" s="235">
        <f>D93</f>
        <v>170.5</v>
      </c>
      <c r="J93" s="237"/>
      <c r="K93" s="237"/>
    </row>
    <row r="94" spans="1:12">
      <c r="A94" s="231">
        <f>A93+1</f>
        <v>42</v>
      </c>
      <c r="B94" s="232" t="s">
        <v>70</v>
      </c>
      <c r="C94" s="231" t="s">
        <v>68</v>
      </c>
      <c r="D94" s="236">
        <v>181.5</v>
      </c>
      <c r="E94" s="232" t="s">
        <v>868</v>
      </c>
      <c r="F94" s="48" t="s">
        <v>595</v>
      </c>
      <c r="G94" s="48">
        <f>A94</f>
        <v>42</v>
      </c>
      <c r="I94" s="235">
        <f>D94</f>
        <v>181.5</v>
      </c>
      <c r="J94" s="237"/>
      <c r="K94" s="237"/>
    </row>
    <row r="95" spans="1:12">
      <c r="A95" s="231">
        <f>A94+1</f>
        <v>43</v>
      </c>
      <c r="B95" s="232" t="s">
        <v>467</v>
      </c>
      <c r="C95" s="231" t="s">
        <v>68</v>
      </c>
      <c r="D95" s="236">
        <f t="shared" ref="D95:D96" si="9">$K$19*I95+I95</f>
        <v>450</v>
      </c>
      <c r="E95" s="232" t="s">
        <v>124</v>
      </c>
      <c r="F95" s="48" t="s">
        <v>214</v>
      </c>
      <c r="G95" s="48">
        <f>A95</f>
        <v>43</v>
      </c>
      <c r="I95" s="235">
        <f>CEILING(430*1.04,5)</f>
        <v>450</v>
      </c>
      <c r="J95" s="237"/>
      <c r="K95" s="237"/>
    </row>
    <row r="96" spans="1:12">
      <c r="A96" s="231">
        <f>A95+1</f>
        <v>44</v>
      </c>
      <c r="B96" s="232" t="s">
        <v>466</v>
      </c>
      <c r="C96" s="231" t="s">
        <v>68</v>
      </c>
      <c r="D96" s="236">
        <f t="shared" si="9"/>
        <v>330</v>
      </c>
      <c r="E96" s="232" t="s">
        <v>124</v>
      </c>
      <c r="F96" s="48" t="s">
        <v>214</v>
      </c>
      <c r="G96" s="48">
        <f>A96</f>
        <v>44</v>
      </c>
      <c r="I96" s="235">
        <f>CEILING(315*1.04,5)</f>
        <v>330</v>
      </c>
      <c r="J96" s="237"/>
      <c r="K96" s="237"/>
    </row>
    <row r="97" spans="1:11">
      <c r="A97" s="217" t="s">
        <v>542</v>
      </c>
      <c r="B97" s="134"/>
      <c r="C97" s="135"/>
      <c r="D97" s="136"/>
      <c r="E97" s="134"/>
      <c r="I97" s="136"/>
    </row>
    <row r="98" spans="1:11">
      <c r="A98" s="135">
        <f>A96+1</f>
        <v>45</v>
      </c>
      <c r="B98" s="134" t="s">
        <v>58</v>
      </c>
      <c r="C98" s="135" t="s">
        <v>28</v>
      </c>
      <c r="D98" s="168">
        <f>$K$19*I98+I98</f>
        <v>41</v>
      </c>
      <c r="E98" s="134" t="s">
        <v>868</v>
      </c>
      <c r="F98" s="48" t="s">
        <v>592</v>
      </c>
      <c r="G98" s="48">
        <f t="shared" ref="G98:G113" si="10">A98</f>
        <v>45</v>
      </c>
      <c r="I98" s="168">
        <f>2050/50</f>
        <v>41</v>
      </c>
      <c r="J98" s="237"/>
      <c r="K98" s="237"/>
    </row>
    <row r="99" spans="1:11">
      <c r="A99" s="135">
        <f t="shared" ref="A99:A113" si="11">A98+1</f>
        <v>46</v>
      </c>
      <c r="B99" s="134" t="s">
        <v>60</v>
      </c>
      <c r="C99" s="135" t="s">
        <v>62</v>
      </c>
      <c r="D99" s="168">
        <f t="shared" ref="D99:D113" si="12">$K$19*I99+I99</f>
        <v>85</v>
      </c>
      <c r="E99" s="134" t="s">
        <v>868</v>
      </c>
      <c r="F99" s="48" t="s">
        <v>592</v>
      </c>
      <c r="G99" s="48">
        <f>A99</f>
        <v>46</v>
      </c>
      <c r="I99" s="168">
        <v>85</v>
      </c>
      <c r="J99" s="237"/>
      <c r="K99" s="237"/>
    </row>
    <row r="100" spans="1:11">
      <c r="A100" s="135">
        <f t="shared" si="11"/>
        <v>47</v>
      </c>
      <c r="B100" s="134" t="s">
        <v>61</v>
      </c>
      <c r="C100" s="135" t="s">
        <v>62</v>
      </c>
      <c r="D100" s="168">
        <f t="shared" si="12"/>
        <v>390</v>
      </c>
      <c r="E100" s="134" t="s">
        <v>868</v>
      </c>
      <c r="F100" s="48" t="s">
        <v>592</v>
      </c>
      <c r="G100" s="48">
        <f t="shared" si="10"/>
        <v>47</v>
      </c>
      <c r="I100" s="168">
        <v>390</v>
      </c>
      <c r="J100" s="237"/>
      <c r="K100" s="237"/>
    </row>
    <row r="101" spans="1:11">
      <c r="A101" s="135">
        <f t="shared" si="11"/>
        <v>48</v>
      </c>
      <c r="B101" s="134" t="s">
        <v>428</v>
      </c>
      <c r="C101" s="135" t="s">
        <v>62</v>
      </c>
      <c r="D101" s="168">
        <f t="shared" si="12"/>
        <v>310</v>
      </c>
      <c r="E101" s="134" t="s">
        <v>880</v>
      </c>
      <c r="F101" s="48" t="s">
        <v>592</v>
      </c>
      <c r="G101" s="48">
        <f t="shared" si="10"/>
        <v>48</v>
      </c>
      <c r="I101" s="235">
        <v>310</v>
      </c>
      <c r="J101" s="237" t="s">
        <v>985</v>
      </c>
      <c r="K101" s="237"/>
    </row>
    <row r="102" spans="1:11">
      <c r="A102" s="135">
        <f t="shared" si="11"/>
        <v>49</v>
      </c>
      <c r="B102" s="134" t="s">
        <v>63</v>
      </c>
      <c r="C102" s="135" t="s">
        <v>62</v>
      </c>
      <c r="D102" s="168">
        <f t="shared" si="12"/>
        <v>315</v>
      </c>
      <c r="E102" s="134" t="s">
        <v>868</v>
      </c>
      <c r="F102" s="48" t="s">
        <v>592</v>
      </c>
      <c r="G102" s="48">
        <f t="shared" si="10"/>
        <v>49</v>
      </c>
      <c r="I102" s="168">
        <v>315</v>
      </c>
      <c r="J102" s="237"/>
      <c r="K102" s="237"/>
    </row>
    <row r="103" spans="1:11">
      <c r="A103" s="135">
        <f t="shared" si="11"/>
        <v>50</v>
      </c>
      <c r="B103" s="134" t="s">
        <v>49</v>
      </c>
      <c r="C103" s="135" t="s">
        <v>127</v>
      </c>
      <c r="D103" s="168">
        <f t="shared" si="12"/>
        <v>864.96</v>
      </c>
      <c r="E103" s="134" t="s">
        <v>868</v>
      </c>
      <c r="F103" s="48" t="s">
        <v>592</v>
      </c>
      <c r="G103" s="48">
        <f t="shared" si="10"/>
        <v>50</v>
      </c>
      <c r="I103" s="235">
        <f>ROUND((13500/168)*(1/((12*2.54/100)^2)),2)</f>
        <v>864.96</v>
      </c>
      <c r="J103" s="237" t="s">
        <v>986</v>
      </c>
      <c r="K103" s="237"/>
    </row>
    <row r="104" spans="1:11">
      <c r="A104" s="135">
        <f t="shared" si="11"/>
        <v>51</v>
      </c>
      <c r="B104" s="134" t="s">
        <v>50</v>
      </c>
      <c r="C104" s="135" t="s">
        <v>45</v>
      </c>
      <c r="D104" s="168">
        <f t="shared" si="12"/>
        <v>20</v>
      </c>
      <c r="E104" s="134" t="s">
        <v>868</v>
      </c>
      <c r="F104" s="48" t="s">
        <v>592</v>
      </c>
      <c r="G104" s="48">
        <f t="shared" si="10"/>
        <v>51</v>
      </c>
      <c r="I104" s="235">
        <v>20</v>
      </c>
      <c r="J104" s="237"/>
      <c r="K104" s="237"/>
    </row>
    <row r="105" spans="1:11">
      <c r="A105" s="135">
        <f t="shared" si="11"/>
        <v>52</v>
      </c>
      <c r="B105" s="134" t="s">
        <v>51</v>
      </c>
      <c r="C105" s="135" t="s">
        <v>45</v>
      </c>
      <c r="D105" s="168">
        <f t="shared" si="12"/>
        <v>25</v>
      </c>
      <c r="E105" s="134" t="s">
        <v>868</v>
      </c>
      <c r="F105" s="48" t="s">
        <v>592</v>
      </c>
      <c r="G105" s="48">
        <f t="shared" si="10"/>
        <v>52</v>
      </c>
      <c r="I105" s="235">
        <v>25</v>
      </c>
      <c r="J105" s="237"/>
      <c r="K105" s="237"/>
    </row>
    <row r="106" spans="1:11">
      <c r="A106" s="135">
        <f t="shared" si="11"/>
        <v>53</v>
      </c>
      <c r="B106" s="134" t="s">
        <v>52</v>
      </c>
      <c r="C106" s="135" t="s">
        <v>45</v>
      </c>
      <c r="D106" s="168">
        <f t="shared" si="12"/>
        <v>2</v>
      </c>
      <c r="E106" s="134" t="s">
        <v>868</v>
      </c>
      <c r="F106" s="48" t="s">
        <v>592</v>
      </c>
      <c r="G106" s="48">
        <f t="shared" si="10"/>
        <v>53</v>
      </c>
      <c r="I106" s="235">
        <v>2</v>
      </c>
      <c r="J106" s="237"/>
      <c r="K106" s="237"/>
    </row>
    <row r="107" spans="1:11">
      <c r="A107" s="135">
        <f>A106+1</f>
        <v>54</v>
      </c>
      <c r="B107" s="134" t="s">
        <v>54</v>
      </c>
      <c r="C107" s="135" t="s">
        <v>45</v>
      </c>
      <c r="D107" s="168">
        <f t="shared" si="12"/>
        <v>25</v>
      </c>
      <c r="E107" s="134" t="s">
        <v>868</v>
      </c>
      <c r="F107" s="48" t="s">
        <v>592</v>
      </c>
      <c r="G107" s="48">
        <f t="shared" si="10"/>
        <v>54</v>
      </c>
      <c r="I107" s="235">
        <v>25</v>
      </c>
      <c r="J107" s="237"/>
      <c r="K107" s="237"/>
    </row>
    <row r="108" spans="1:11">
      <c r="A108" s="135">
        <f t="shared" si="11"/>
        <v>55</v>
      </c>
      <c r="B108" s="134" t="s">
        <v>875</v>
      </c>
      <c r="C108" s="135" t="s">
        <v>45</v>
      </c>
      <c r="D108" s="168">
        <f t="shared" si="12"/>
        <v>23</v>
      </c>
      <c r="E108" s="134" t="s">
        <v>868</v>
      </c>
      <c r="F108" s="48" t="s">
        <v>592</v>
      </c>
      <c r="G108" s="48">
        <f t="shared" si="10"/>
        <v>55</v>
      </c>
      <c r="I108" s="235">
        <v>23</v>
      </c>
      <c r="J108" s="237"/>
      <c r="K108" s="237"/>
    </row>
    <row r="109" spans="1:11">
      <c r="A109" s="135">
        <f t="shared" si="11"/>
        <v>56</v>
      </c>
      <c r="B109" s="134" t="s">
        <v>55</v>
      </c>
      <c r="C109" s="135" t="s">
        <v>45</v>
      </c>
      <c r="D109" s="168">
        <f t="shared" si="12"/>
        <v>23</v>
      </c>
      <c r="E109" s="134" t="s">
        <v>868</v>
      </c>
      <c r="F109" s="48" t="s">
        <v>592</v>
      </c>
      <c r="G109" s="48">
        <f t="shared" si="10"/>
        <v>56</v>
      </c>
      <c r="I109" s="235">
        <v>23</v>
      </c>
      <c r="J109" s="237"/>
      <c r="K109" s="237"/>
    </row>
    <row r="110" spans="1:11">
      <c r="A110" s="135">
        <f t="shared" si="11"/>
        <v>57</v>
      </c>
      <c r="B110" s="134" t="s">
        <v>56</v>
      </c>
      <c r="C110" s="135" t="s">
        <v>45</v>
      </c>
      <c r="D110" s="168">
        <f t="shared" si="12"/>
        <v>175</v>
      </c>
      <c r="E110" s="134" t="s">
        <v>868</v>
      </c>
      <c r="F110" s="48" t="s">
        <v>592</v>
      </c>
      <c r="G110" s="48">
        <f t="shared" si="10"/>
        <v>57</v>
      </c>
      <c r="I110" s="168">
        <v>175</v>
      </c>
      <c r="J110" s="237"/>
      <c r="K110" s="237"/>
    </row>
    <row r="111" spans="1:11">
      <c r="A111" s="135">
        <f t="shared" si="11"/>
        <v>58</v>
      </c>
      <c r="B111" s="134" t="s">
        <v>57</v>
      </c>
      <c r="C111" s="135" t="s">
        <v>45</v>
      </c>
      <c r="D111" s="168">
        <f t="shared" si="12"/>
        <v>30</v>
      </c>
      <c r="E111" s="134" t="s">
        <v>868</v>
      </c>
      <c r="F111" s="48" t="s">
        <v>592</v>
      </c>
      <c r="G111" s="48">
        <f t="shared" si="10"/>
        <v>58</v>
      </c>
      <c r="I111" s="168">
        <v>30</v>
      </c>
      <c r="J111" s="237" t="s">
        <v>987</v>
      </c>
      <c r="K111" s="237"/>
    </row>
    <row r="112" spans="1:11">
      <c r="A112" s="135">
        <f t="shared" si="11"/>
        <v>59</v>
      </c>
      <c r="B112" s="134" t="s">
        <v>872</v>
      </c>
      <c r="C112" s="135" t="s">
        <v>127</v>
      </c>
      <c r="D112" s="168">
        <f t="shared" si="12"/>
        <v>731.94622348040434</v>
      </c>
      <c r="E112" s="134" t="s">
        <v>868</v>
      </c>
      <c r="F112" s="48" t="s">
        <v>592</v>
      </c>
      <c r="G112" s="48">
        <f t="shared" si="10"/>
        <v>59</v>
      </c>
      <c r="I112" s="235">
        <f>68/0.092903</f>
        <v>731.94622348040434</v>
      </c>
      <c r="J112" s="237"/>
      <c r="K112" s="237"/>
    </row>
    <row r="113" spans="1:11">
      <c r="A113" s="135">
        <f t="shared" si="11"/>
        <v>60</v>
      </c>
      <c r="B113" s="134" t="s">
        <v>59</v>
      </c>
      <c r="C113" s="135" t="s">
        <v>28</v>
      </c>
      <c r="D113" s="168">
        <f t="shared" si="12"/>
        <v>300</v>
      </c>
      <c r="E113" s="134" t="s">
        <v>868</v>
      </c>
      <c r="F113" s="48" t="s">
        <v>592</v>
      </c>
      <c r="G113" s="48">
        <f t="shared" si="10"/>
        <v>60</v>
      </c>
      <c r="I113" s="235">
        <f>60/0.2</f>
        <v>300</v>
      </c>
      <c r="J113" s="237"/>
      <c r="K113" s="237"/>
    </row>
    <row r="114" spans="1:11">
      <c r="A114" s="217" t="s">
        <v>599</v>
      </c>
      <c r="B114" s="134"/>
      <c r="C114" s="135"/>
      <c r="D114" s="136"/>
      <c r="E114" s="134"/>
      <c r="I114" s="136"/>
    </row>
    <row r="115" spans="1:11">
      <c r="A115" s="135">
        <f>A113+1</f>
        <v>61</v>
      </c>
      <c r="B115" s="134" t="s">
        <v>43</v>
      </c>
      <c r="C115" s="135" t="s">
        <v>28</v>
      </c>
      <c r="D115" s="168">
        <f>$K$19*I115+I115</f>
        <v>155</v>
      </c>
      <c r="E115" s="134" t="s">
        <v>868</v>
      </c>
      <c r="F115" s="48" t="s">
        <v>591</v>
      </c>
      <c r="G115" s="48">
        <f t="shared" ref="G115:G133" si="13">A115</f>
        <v>61</v>
      </c>
      <c r="I115" s="168">
        <v>155</v>
      </c>
      <c r="J115" s="237"/>
      <c r="K115" s="237"/>
    </row>
    <row r="116" spans="1:11">
      <c r="A116" s="135">
        <f t="shared" ref="A116:A133" si="14">A115+1</f>
        <v>62</v>
      </c>
      <c r="B116" s="134" t="s">
        <v>44</v>
      </c>
      <c r="C116" s="135" t="s">
        <v>45</v>
      </c>
      <c r="D116" s="168">
        <f t="shared" ref="D116:D130" si="15">$K$19*I116+I116</f>
        <v>4</v>
      </c>
      <c r="E116" s="134" t="s">
        <v>868</v>
      </c>
      <c r="F116" s="48" t="s">
        <v>591</v>
      </c>
      <c r="G116" s="48">
        <f t="shared" si="13"/>
        <v>62</v>
      </c>
      <c r="I116" s="168">
        <v>4</v>
      </c>
      <c r="J116" s="237"/>
      <c r="K116" s="237"/>
    </row>
    <row r="117" spans="1:11">
      <c r="A117" s="135">
        <f t="shared" si="14"/>
        <v>63</v>
      </c>
      <c r="B117" s="134" t="s">
        <v>46</v>
      </c>
      <c r="C117" s="135" t="s">
        <v>47</v>
      </c>
      <c r="D117" s="168">
        <f t="shared" si="15"/>
        <v>7</v>
      </c>
      <c r="E117" s="134" t="s">
        <v>868</v>
      </c>
      <c r="F117" s="48" t="s">
        <v>591</v>
      </c>
      <c r="G117" s="48">
        <f t="shared" si="13"/>
        <v>63</v>
      </c>
      <c r="I117" s="168">
        <v>7</v>
      </c>
      <c r="J117" s="237"/>
      <c r="K117" s="237"/>
    </row>
    <row r="118" spans="1:11">
      <c r="A118" s="135">
        <f t="shared" si="14"/>
        <v>64</v>
      </c>
      <c r="B118" s="134" t="s">
        <v>412</v>
      </c>
      <c r="C118" s="135" t="s">
        <v>28</v>
      </c>
      <c r="D118" s="168">
        <f t="shared" si="15"/>
        <v>185.85</v>
      </c>
      <c r="E118" s="134" t="s">
        <v>124</v>
      </c>
      <c r="F118" s="48" t="s">
        <v>591</v>
      </c>
      <c r="G118" s="48">
        <f t="shared" si="13"/>
        <v>64</v>
      </c>
      <c r="I118" s="235">
        <v>185.85</v>
      </c>
      <c r="J118" s="237"/>
      <c r="K118" s="237"/>
    </row>
    <row r="119" spans="1:11">
      <c r="A119" s="135">
        <f t="shared" si="14"/>
        <v>65</v>
      </c>
      <c r="B119" s="134" t="s">
        <v>396</v>
      </c>
      <c r="C119" s="135" t="s">
        <v>45</v>
      </c>
      <c r="D119" s="168">
        <f t="shared" si="15"/>
        <v>6592.35</v>
      </c>
      <c r="E119" s="134" t="s">
        <v>124</v>
      </c>
      <c r="F119" s="48" t="s">
        <v>591</v>
      </c>
      <c r="G119" s="48">
        <f t="shared" si="13"/>
        <v>65</v>
      </c>
      <c r="I119" s="235">
        <v>6592.35</v>
      </c>
      <c r="J119" s="237"/>
      <c r="K119" s="237"/>
    </row>
    <row r="120" spans="1:11">
      <c r="A120" s="135">
        <f t="shared" si="14"/>
        <v>66</v>
      </c>
      <c r="B120" s="134" t="s">
        <v>889</v>
      </c>
      <c r="C120" s="135" t="s">
        <v>45</v>
      </c>
      <c r="D120" s="168">
        <f t="shared" si="15"/>
        <v>3691</v>
      </c>
      <c r="E120" s="134" t="s">
        <v>882</v>
      </c>
      <c r="F120" s="48" t="s">
        <v>591</v>
      </c>
      <c r="G120" s="48">
        <f t="shared" si="13"/>
        <v>66</v>
      </c>
      <c r="I120" s="168">
        <v>3691</v>
      </c>
      <c r="J120" s="237"/>
      <c r="K120" s="237"/>
    </row>
    <row r="121" spans="1:11">
      <c r="A121" s="135">
        <f t="shared" si="14"/>
        <v>67</v>
      </c>
      <c r="B121" s="134" t="s">
        <v>890</v>
      </c>
      <c r="C121" s="135" t="s">
        <v>45</v>
      </c>
      <c r="D121" s="168">
        <f t="shared" si="15"/>
        <v>3850</v>
      </c>
      <c r="E121" s="134" t="s">
        <v>882</v>
      </c>
      <c r="F121" s="48" t="s">
        <v>591</v>
      </c>
      <c r="G121" s="48">
        <f t="shared" si="13"/>
        <v>67</v>
      </c>
      <c r="I121" s="168">
        <v>3850</v>
      </c>
      <c r="J121" s="237"/>
      <c r="K121" s="237"/>
    </row>
    <row r="122" spans="1:11">
      <c r="A122" s="135">
        <f t="shared" si="14"/>
        <v>68</v>
      </c>
      <c r="B122" s="134" t="s">
        <v>474</v>
      </c>
      <c r="C122" s="135" t="s">
        <v>475</v>
      </c>
      <c r="D122" s="168">
        <f t="shared" si="15"/>
        <v>686.82</v>
      </c>
      <c r="E122" s="134" t="s">
        <v>124</v>
      </c>
      <c r="F122" s="48" t="s">
        <v>591</v>
      </c>
      <c r="G122" s="48">
        <f t="shared" si="13"/>
        <v>68</v>
      </c>
      <c r="I122" s="235">
        <v>686.82</v>
      </c>
      <c r="J122" s="237"/>
      <c r="K122" s="237"/>
    </row>
    <row r="123" spans="1:11">
      <c r="A123" s="135">
        <f t="shared" si="14"/>
        <v>69</v>
      </c>
      <c r="B123" s="134" t="s">
        <v>468</v>
      </c>
      <c r="C123" s="135" t="s">
        <v>47</v>
      </c>
      <c r="D123" s="168">
        <f t="shared" si="15"/>
        <v>1990.14</v>
      </c>
      <c r="E123" s="134" t="s">
        <v>124</v>
      </c>
      <c r="F123" s="48" t="s">
        <v>591</v>
      </c>
      <c r="G123" s="48">
        <f t="shared" si="13"/>
        <v>69</v>
      </c>
      <c r="I123" s="235">
        <v>1990.14</v>
      </c>
      <c r="J123" s="237"/>
      <c r="K123" s="237"/>
    </row>
    <row r="124" spans="1:11">
      <c r="A124" s="135">
        <f t="shared" si="14"/>
        <v>70</v>
      </c>
      <c r="B124" s="134" t="s">
        <v>472</v>
      </c>
      <c r="C124" s="135" t="s">
        <v>28</v>
      </c>
      <c r="D124" s="168">
        <f t="shared" si="15"/>
        <v>124.38</v>
      </c>
      <c r="E124" s="134" t="s">
        <v>124</v>
      </c>
      <c r="F124" s="48" t="s">
        <v>591</v>
      </c>
      <c r="G124" s="48">
        <f t="shared" si="13"/>
        <v>70</v>
      </c>
      <c r="I124" s="235">
        <v>124.38</v>
      </c>
      <c r="J124" s="237"/>
      <c r="K124" s="237"/>
    </row>
    <row r="125" spans="1:11">
      <c r="A125" s="135">
        <f t="shared" si="14"/>
        <v>71</v>
      </c>
      <c r="B125" s="134" t="s">
        <v>470</v>
      </c>
      <c r="C125" s="135" t="s">
        <v>45</v>
      </c>
      <c r="D125" s="168">
        <f t="shared" si="15"/>
        <v>75.709999999999994</v>
      </c>
      <c r="E125" s="134" t="s">
        <v>124</v>
      </c>
      <c r="F125" s="48" t="s">
        <v>591</v>
      </c>
      <c r="G125" s="48">
        <f t="shared" si="13"/>
        <v>71</v>
      </c>
      <c r="I125" s="235">
        <v>75.709999999999994</v>
      </c>
      <c r="J125" s="237"/>
      <c r="K125" s="237"/>
    </row>
    <row r="126" spans="1:11">
      <c r="A126" s="135">
        <f t="shared" si="14"/>
        <v>72</v>
      </c>
      <c r="B126" s="134" t="s">
        <v>477</v>
      </c>
      <c r="C126" s="135" t="s">
        <v>45</v>
      </c>
      <c r="D126" s="168">
        <f t="shared" si="15"/>
        <v>313.66000000000003</v>
      </c>
      <c r="E126" s="134" t="s">
        <v>124</v>
      </c>
      <c r="F126" s="48" t="s">
        <v>591</v>
      </c>
      <c r="G126" s="48">
        <f t="shared" si="13"/>
        <v>72</v>
      </c>
      <c r="I126" s="235">
        <v>313.66000000000003</v>
      </c>
      <c r="J126" s="237"/>
      <c r="K126" s="237"/>
    </row>
    <row r="127" spans="1:11">
      <c r="A127" s="135">
        <f t="shared" si="14"/>
        <v>73</v>
      </c>
      <c r="B127" s="134" t="s">
        <v>469</v>
      </c>
      <c r="C127" s="135" t="s">
        <v>45</v>
      </c>
      <c r="D127" s="168">
        <f t="shared" si="15"/>
        <v>1408</v>
      </c>
      <c r="E127" s="134" t="s">
        <v>882</v>
      </c>
      <c r="F127" s="48" t="s">
        <v>591</v>
      </c>
      <c r="G127" s="48">
        <f t="shared" si="13"/>
        <v>73</v>
      </c>
      <c r="H127" s="235">
        <f>ROUND((6/12*6/12*1/12)/(1/((12*2.54/100)^3*7850*D62/1000)),2)</f>
        <v>576.55999999999995</v>
      </c>
      <c r="I127" s="168">
        <v>1408</v>
      </c>
      <c r="J127" s="237"/>
      <c r="K127" s="237"/>
    </row>
    <row r="128" spans="1:11">
      <c r="A128" s="135">
        <f t="shared" si="14"/>
        <v>74</v>
      </c>
      <c r="B128" s="134" t="s">
        <v>482</v>
      </c>
      <c r="C128" s="135" t="s">
        <v>47</v>
      </c>
      <c r="D128" s="168">
        <f t="shared" si="15"/>
        <v>307.03570401696442</v>
      </c>
      <c r="E128" s="134" t="s">
        <v>868</v>
      </c>
      <c r="F128" s="48" t="s">
        <v>591</v>
      </c>
      <c r="G128" s="48">
        <f t="shared" si="13"/>
        <v>74</v>
      </c>
      <c r="I128" s="168">
        <f>PI()*(20/1000)^2/4*7.85*I62</f>
        <v>307.03570401696442</v>
      </c>
      <c r="J128" s="237"/>
      <c r="K128" s="237"/>
    </row>
    <row r="129" spans="1:14">
      <c r="A129" s="135">
        <f t="shared" si="14"/>
        <v>75</v>
      </c>
      <c r="B129" s="134" t="s">
        <v>481</v>
      </c>
      <c r="C129" s="135" t="s">
        <v>47</v>
      </c>
      <c r="D129" s="168">
        <f t="shared" si="15"/>
        <v>337.59</v>
      </c>
      <c r="E129" s="134" t="s">
        <v>868</v>
      </c>
      <c r="F129" s="48" t="s">
        <v>591</v>
      </c>
      <c r="G129" s="48">
        <f t="shared" si="13"/>
        <v>75</v>
      </c>
      <c r="I129" s="168">
        <v>337.59</v>
      </c>
      <c r="J129" s="237"/>
      <c r="K129" s="237"/>
    </row>
    <row r="130" spans="1:14">
      <c r="A130" s="135">
        <f t="shared" si="14"/>
        <v>76</v>
      </c>
      <c r="B130" s="134" t="s">
        <v>601</v>
      </c>
      <c r="C130" s="135" t="s">
        <v>47</v>
      </c>
      <c r="D130" s="168">
        <f t="shared" si="15"/>
        <v>786.01140228342888</v>
      </c>
      <c r="E130" s="134" t="s">
        <v>868</v>
      </c>
      <c r="F130" s="48" t="s">
        <v>591</v>
      </c>
      <c r="G130" s="48">
        <f>A130</f>
        <v>76</v>
      </c>
      <c r="I130" s="168">
        <f>PI()*(32/1000)^2/4*7.85*I62</f>
        <v>786.01140228342888</v>
      </c>
      <c r="J130" s="237"/>
      <c r="K130" s="237"/>
    </row>
    <row r="131" spans="1:14" ht="15.75" hidden="1" customHeight="1">
      <c r="A131" s="135">
        <f t="shared" si="14"/>
        <v>77</v>
      </c>
      <c r="B131" s="134" t="s">
        <v>509</v>
      </c>
      <c r="C131" s="135" t="s">
        <v>47</v>
      </c>
      <c r="D131" s="136">
        <f t="shared" ref="D131:D133" si="16">K131</f>
        <v>0</v>
      </c>
      <c r="E131" s="134" t="s">
        <v>124</v>
      </c>
      <c r="F131" s="48" t="s">
        <v>591</v>
      </c>
      <c r="G131" s="48">
        <f t="shared" si="13"/>
        <v>77</v>
      </c>
      <c r="I131" s="136">
        <f t="shared" ref="I131:I133" si="17">P131</f>
        <v>0</v>
      </c>
    </row>
    <row r="132" spans="1:14" ht="18.75" hidden="1" customHeight="1">
      <c r="A132" s="135">
        <f t="shared" si="14"/>
        <v>78</v>
      </c>
      <c r="B132" s="134" t="s">
        <v>508</v>
      </c>
      <c r="C132" s="135" t="s">
        <v>47</v>
      </c>
      <c r="D132" s="136">
        <f t="shared" si="16"/>
        <v>0</v>
      </c>
      <c r="E132" s="134" t="s">
        <v>124</v>
      </c>
      <c r="F132" s="48" t="s">
        <v>591</v>
      </c>
      <c r="G132" s="48">
        <f>A132</f>
        <v>78</v>
      </c>
      <c r="I132" s="136">
        <f t="shared" si="17"/>
        <v>0</v>
      </c>
    </row>
    <row r="133" spans="1:14" ht="21" hidden="1" customHeight="1">
      <c r="A133" s="135">
        <f t="shared" si="14"/>
        <v>79</v>
      </c>
      <c r="B133" s="134" t="s">
        <v>602</v>
      </c>
      <c r="C133" s="135" t="s">
        <v>47</v>
      </c>
      <c r="D133" s="136">
        <f t="shared" si="16"/>
        <v>0</v>
      </c>
      <c r="E133" s="134" t="s">
        <v>124</v>
      </c>
      <c r="F133" s="48" t="s">
        <v>591</v>
      </c>
      <c r="G133" s="48">
        <f t="shared" si="13"/>
        <v>79</v>
      </c>
      <c r="I133" s="136">
        <f t="shared" si="17"/>
        <v>0</v>
      </c>
    </row>
    <row r="134" spans="1:14">
      <c r="A134" s="141"/>
      <c r="B134" s="142"/>
      <c r="C134" s="141"/>
      <c r="D134" s="143"/>
      <c r="E134" s="142"/>
      <c r="I134" s="143"/>
    </row>
    <row r="136" spans="1:14">
      <c r="A136" s="61" t="s">
        <v>375</v>
      </c>
      <c r="B136" s="62"/>
      <c r="C136" s="63"/>
      <c r="D136" s="62"/>
      <c r="E136" s="64"/>
      <c r="I136" s="62"/>
    </row>
    <row r="138" spans="1:14">
      <c r="A138" s="50" t="s">
        <v>226</v>
      </c>
      <c r="B138" s="50" t="s">
        <v>376</v>
      </c>
      <c r="C138" s="50" t="s">
        <v>2</v>
      </c>
      <c r="D138" s="50" t="s">
        <v>85</v>
      </c>
      <c r="E138" s="50" t="s">
        <v>228</v>
      </c>
      <c r="I138" s="50" t="s">
        <v>85</v>
      </c>
    </row>
    <row r="139" spans="1:14">
      <c r="A139" s="135">
        <v>1</v>
      </c>
      <c r="B139" s="134" t="s">
        <v>383</v>
      </c>
      <c r="C139" s="135" t="s">
        <v>101</v>
      </c>
      <c r="D139" s="168">
        <f>$K$19*I139+I139</f>
        <v>486.72</v>
      </c>
      <c r="E139" s="135" t="s">
        <v>692</v>
      </c>
      <c r="F139" s="48" t="s">
        <v>594</v>
      </c>
      <c r="G139" s="48">
        <v>1</v>
      </c>
      <c r="I139" s="168">
        <v>486.72</v>
      </c>
      <c r="L139" s="237"/>
      <c r="M139" s="237"/>
      <c r="N139" s="237"/>
    </row>
    <row r="140" spans="1:14">
      <c r="A140" s="135">
        <f t="shared" ref="A140:A174" si="18">A139+1</f>
        <v>2</v>
      </c>
      <c r="B140" s="134" t="s">
        <v>395</v>
      </c>
      <c r="C140" s="135" t="s">
        <v>101</v>
      </c>
      <c r="D140" s="168">
        <f t="shared" ref="D140:D174" si="19">$K$19*I140+I140</f>
        <v>324.48</v>
      </c>
      <c r="E140" s="135" t="s">
        <v>692</v>
      </c>
      <c r="F140" s="48" t="s">
        <v>594</v>
      </c>
      <c r="G140" s="48">
        <f>G139+1</f>
        <v>2</v>
      </c>
      <c r="I140" s="168">
        <v>324.48</v>
      </c>
      <c r="L140" s="237"/>
      <c r="M140" s="237"/>
      <c r="N140" s="237"/>
    </row>
    <row r="141" spans="1:14">
      <c r="A141" s="135">
        <f t="shared" si="18"/>
        <v>3</v>
      </c>
      <c r="B141" s="134" t="s">
        <v>385</v>
      </c>
      <c r="C141" s="135" t="s">
        <v>101</v>
      </c>
      <c r="D141" s="168">
        <f t="shared" si="19"/>
        <v>1622.4</v>
      </c>
      <c r="E141" s="135" t="s">
        <v>692</v>
      </c>
      <c r="F141" s="48" t="s">
        <v>594</v>
      </c>
      <c r="G141" s="48">
        <f>G140+1</f>
        <v>3</v>
      </c>
      <c r="I141" s="168">
        <v>1622.4</v>
      </c>
      <c r="L141" s="237"/>
      <c r="M141" s="237"/>
      <c r="N141" s="237"/>
    </row>
    <row r="142" spans="1:14">
      <c r="A142" s="135">
        <f t="shared" si="18"/>
        <v>4</v>
      </c>
      <c r="B142" s="134" t="s">
        <v>386</v>
      </c>
      <c r="C142" s="135" t="s">
        <v>101</v>
      </c>
      <c r="D142" s="168">
        <f t="shared" si="19"/>
        <v>2379.52</v>
      </c>
      <c r="E142" s="135" t="s">
        <v>692</v>
      </c>
      <c r="F142" s="48" t="s">
        <v>594</v>
      </c>
      <c r="G142" s="48">
        <f t="shared" ref="G142:G174" si="20">G141+1</f>
        <v>4</v>
      </c>
      <c r="I142" s="168">
        <v>2379.52</v>
      </c>
      <c r="L142" s="237"/>
      <c r="M142" s="237"/>
      <c r="N142" s="237"/>
    </row>
    <row r="143" spans="1:14">
      <c r="A143" s="135">
        <f t="shared" si="18"/>
        <v>5</v>
      </c>
      <c r="B143" s="134" t="s">
        <v>378</v>
      </c>
      <c r="C143" s="135" t="s">
        <v>101</v>
      </c>
      <c r="D143" s="168">
        <f t="shared" si="19"/>
        <v>216.32</v>
      </c>
      <c r="E143" s="135" t="s">
        <v>721</v>
      </c>
      <c r="F143" s="48" t="s">
        <v>589</v>
      </c>
      <c r="G143" s="48">
        <f>G142+1</f>
        <v>5</v>
      </c>
      <c r="I143" s="168">
        <v>216.32</v>
      </c>
      <c r="L143" s="237"/>
      <c r="M143" s="237"/>
      <c r="N143" s="237"/>
    </row>
    <row r="144" spans="1:14">
      <c r="A144" s="135">
        <f t="shared" si="18"/>
        <v>6</v>
      </c>
      <c r="B144" s="134" t="s">
        <v>379</v>
      </c>
      <c r="C144" s="135" t="s">
        <v>101</v>
      </c>
      <c r="D144" s="168">
        <f t="shared" si="19"/>
        <v>108.16</v>
      </c>
      <c r="E144" s="135" t="s">
        <v>692</v>
      </c>
      <c r="F144" s="48" t="s">
        <v>589</v>
      </c>
      <c r="G144" s="48">
        <f t="shared" si="20"/>
        <v>6</v>
      </c>
      <c r="I144" s="168">
        <v>108.16</v>
      </c>
      <c r="L144" s="237"/>
      <c r="M144" s="237"/>
      <c r="N144" s="237"/>
    </row>
    <row r="145" spans="1:14">
      <c r="A145" s="135">
        <f t="shared" si="18"/>
        <v>7</v>
      </c>
      <c r="B145" s="134" t="s">
        <v>553</v>
      </c>
      <c r="C145" s="135" t="s">
        <v>101</v>
      </c>
      <c r="D145" s="168">
        <f t="shared" si="19"/>
        <v>1622.4</v>
      </c>
      <c r="E145" s="135" t="s">
        <v>721</v>
      </c>
      <c r="F145" s="48" t="s">
        <v>589</v>
      </c>
      <c r="G145" s="48">
        <f t="shared" si="20"/>
        <v>7</v>
      </c>
      <c r="I145" s="168">
        <v>1622.4</v>
      </c>
      <c r="L145" s="237"/>
      <c r="M145" s="237"/>
      <c r="N145" s="237"/>
    </row>
    <row r="146" spans="1:14">
      <c r="A146" s="135">
        <f t="shared" si="18"/>
        <v>8</v>
      </c>
      <c r="B146" s="134" t="s">
        <v>390</v>
      </c>
      <c r="C146" s="135" t="s">
        <v>101</v>
      </c>
      <c r="D146" s="168">
        <f t="shared" si="19"/>
        <v>594.88</v>
      </c>
      <c r="E146" s="135" t="s">
        <v>692</v>
      </c>
      <c r="F146" s="48" t="s">
        <v>589</v>
      </c>
      <c r="G146" s="48">
        <f t="shared" si="20"/>
        <v>8</v>
      </c>
      <c r="I146" s="168">
        <v>594.88</v>
      </c>
      <c r="L146" s="237"/>
      <c r="M146" s="237"/>
      <c r="N146" s="237"/>
    </row>
    <row r="147" spans="1:14">
      <c r="A147" s="135">
        <f t="shared" si="18"/>
        <v>9</v>
      </c>
      <c r="B147" s="134" t="s">
        <v>389</v>
      </c>
      <c r="C147" s="135" t="s">
        <v>101</v>
      </c>
      <c r="D147" s="168">
        <f t="shared" si="19"/>
        <v>216.32</v>
      </c>
      <c r="E147" s="135" t="s">
        <v>692</v>
      </c>
      <c r="F147" s="48" t="s">
        <v>589</v>
      </c>
      <c r="G147" s="48">
        <f t="shared" si="20"/>
        <v>9</v>
      </c>
      <c r="I147" s="168">
        <v>216.32</v>
      </c>
      <c r="L147" s="237"/>
      <c r="M147" s="237"/>
      <c r="N147" s="237"/>
    </row>
    <row r="148" spans="1:14">
      <c r="A148" s="135">
        <f t="shared" si="18"/>
        <v>10</v>
      </c>
      <c r="B148" s="134" t="s">
        <v>478</v>
      </c>
      <c r="C148" s="135" t="s">
        <v>101</v>
      </c>
      <c r="D148" s="168">
        <f t="shared" si="19"/>
        <v>43.26</v>
      </c>
      <c r="E148" s="135"/>
      <c r="F148" s="48" t="s">
        <v>589</v>
      </c>
      <c r="G148" s="48">
        <f t="shared" si="20"/>
        <v>10</v>
      </c>
      <c r="I148" s="168">
        <v>43.26</v>
      </c>
      <c r="L148" s="237"/>
      <c r="M148" s="237"/>
      <c r="N148" s="237"/>
    </row>
    <row r="149" spans="1:14">
      <c r="A149" s="135">
        <f t="shared" si="18"/>
        <v>11</v>
      </c>
      <c r="B149" s="134" t="s">
        <v>414</v>
      </c>
      <c r="C149" s="135" t="s">
        <v>101</v>
      </c>
      <c r="D149" s="168">
        <f t="shared" si="19"/>
        <v>1946.88</v>
      </c>
      <c r="E149" s="135" t="s">
        <v>692</v>
      </c>
      <c r="F149" s="48" t="s">
        <v>589</v>
      </c>
      <c r="G149" s="48">
        <f t="shared" si="20"/>
        <v>11</v>
      </c>
      <c r="I149" s="168">
        <v>1946.88</v>
      </c>
      <c r="L149" s="237"/>
      <c r="M149" s="237"/>
      <c r="N149" s="237"/>
    </row>
    <row r="150" spans="1:14">
      <c r="A150" s="135">
        <f t="shared" si="18"/>
        <v>12</v>
      </c>
      <c r="B150" s="134" t="s">
        <v>413</v>
      </c>
      <c r="C150" s="135" t="s">
        <v>101</v>
      </c>
      <c r="D150" s="168">
        <f t="shared" si="19"/>
        <v>2271.36</v>
      </c>
      <c r="E150" s="135" t="s">
        <v>692</v>
      </c>
      <c r="F150" s="48" t="s">
        <v>589</v>
      </c>
      <c r="G150" s="48">
        <f t="shared" si="20"/>
        <v>12</v>
      </c>
      <c r="I150" s="168">
        <v>2271.36</v>
      </c>
      <c r="L150" s="237"/>
      <c r="M150" s="237"/>
      <c r="N150" s="237"/>
    </row>
    <row r="151" spans="1:14">
      <c r="A151" s="135">
        <f t="shared" si="18"/>
        <v>13</v>
      </c>
      <c r="B151" s="134" t="s">
        <v>393</v>
      </c>
      <c r="C151" s="135" t="s">
        <v>101</v>
      </c>
      <c r="D151" s="168">
        <f t="shared" si="19"/>
        <v>1081.5999999999999</v>
      </c>
      <c r="E151" s="135" t="s">
        <v>692</v>
      </c>
      <c r="F151" s="48" t="s">
        <v>589</v>
      </c>
      <c r="G151" s="48">
        <f t="shared" si="20"/>
        <v>13</v>
      </c>
      <c r="I151" s="168">
        <v>1081.5999999999999</v>
      </c>
      <c r="L151" s="237"/>
      <c r="M151" s="237"/>
      <c r="N151" s="237"/>
    </row>
    <row r="152" spans="1:14">
      <c r="A152" s="135">
        <f t="shared" si="18"/>
        <v>14</v>
      </c>
      <c r="B152" s="134" t="s">
        <v>387</v>
      </c>
      <c r="C152" s="135" t="s">
        <v>101</v>
      </c>
      <c r="D152" s="168">
        <f t="shared" si="19"/>
        <v>3785.6</v>
      </c>
      <c r="E152" s="135" t="s">
        <v>692</v>
      </c>
      <c r="F152" s="48" t="s">
        <v>589</v>
      </c>
      <c r="G152" s="48">
        <f t="shared" si="20"/>
        <v>14</v>
      </c>
      <c r="I152" s="168">
        <v>3785.6</v>
      </c>
      <c r="L152" s="237"/>
      <c r="M152" s="237"/>
      <c r="N152" s="237"/>
    </row>
    <row r="153" spans="1:14">
      <c r="A153" s="135">
        <f t="shared" si="18"/>
        <v>15</v>
      </c>
      <c r="B153" s="134" t="s">
        <v>388</v>
      </c>
      <c r="C153" s="135" t="s">
        <v>101</v>
      </c>
      <c r="D153" s="168">
        <f t="shared" si="19"/>
        <v>411.01</v>
      </c>
      <c r="E153" s="135"/>
      <c r="F153" s="48" t="s">
        <v>589</v>
      </c>
      <c r="G153" s="48">
        <f t="shared" si="20"/>
        <v>15</v>
      </c>
      <c r="I153" s="168">
        <v>411.01</v>
      </c>
      <c r="L153" s="237"/>
      <c r="M153" s="237"/>
      <c r="N153" s="237"/>
    </row>
    <row r="154" spans="1:14">
      <c r="A154" s="135">
        <f t="shared" si="18"/>
        <v>16</v>
      </c>
      <c r="B154" s="134" t="s">
        <v>382</v>
      </c>
      <c r="C154" s="135" t="s">
        <v>101</v>
      </c>
      <c r="D154" s="168">
        <f t="shared" si="19"/>
        <v>551.62</v>
      </c>
      <c r="E154" s="135"/>
      <c r="F154" s="48" t="s">
        <v>589</v>
      </c>
      <c r="G154" s="48">
        <f t="shared" si="20"/>
        <v>16</v>
      </c>
      <c r="I154" s="168">
        <v>551.62</v>
      </c>
      <c r="L154" s="237"/>
      <c r="M154" s="237"/>
      <c r="N154" s="237"/>
    </row>
    <row r="155" spans="1:14">
      <c r="A155" s="135">
        <f t="shared" si="18"/>
        <v>17</v>
      </c>
      <c r="B155" s="134" t="s">
        <v>394</v>
      </c>
      <c r="C155" s="135" t="s">
        <v>101</v>
      </c>
      <c r="D155" s="168">
        <f t="shared" si="19"/>
        <v>865.28</v>
      </c>
      <c r="E155" s="135" t="s">
        <v>692</v>
      </c>
      <c r="F155" s="48" t="s">
        <v>589</v>
      </c>
      <c r="G155" s="48">
        <f t="shared" si="20"/>
        <v>17</v>
      </c>
      <c r="I155" s="168">
        <v>865.28</v>
      </c>
      <c r="L155" s="237"/>
      <c r="M155" s="237"/>
      <c r="N155" s="237"/>
    </row>
    <row r="156" spans="1:14">
      <c r="A156" s="135">
        <f t="shared" si="18"/>
        <v>18</v>
      </c>
      <c r="B156" s="134" t="s">
        <v>380</v>
      </c>
      <c r="C156" s="135" t="s">
        <v>101</v>
      </c>
      <c r="D156" s="168">
        <f t="shared" si="19"/>
        <v>75.709999999999994</v>
      </c>
      <c r="E156" s="135"/>
      <c r="F156" s="48" t="s">
        <v>589</v>
      </c>
      <c r="G156" s="48">
        <f t="shared" si="20"/>
        <v>18</v>
      </c>
      <c r="I156" s="168">
        <v>75.709999999999994</v>
      </c>
      <c r="L156" s="237"/>
      <c r="M156" s="237"/>
      <c r="N156" s="237"/>
    </row>
    <row r="157" spans="1:14">
      <c r="A157" s="135">
        <f t="shared" si="18"/>
        <v>19</v>
      </c>
      <c r="B157" s="134" t="s">
        <v>381</v>
      </c>
      <c r="C157" s="135" t="s">
        <v>101</v>
      </c>
      <c r="D157" s="168">
        <f t="shared" si="19"/>
        <v>324.48</v>
      </c>
      <c r="E157" s="135" t="s">
        <v>721</v>
      </c>
      <c r="F157" s="48" t="s">
        <v>589</v>
      </c>
      <c r="G157" s="48">
        <f t="shared" si="20"/>
        <v>19</v>
      </c>
      <c r="I157" s="168">
        <v>324.48</v>
      </c>
      <c r="L157" s="237"/>
      <c r="M157" s="237"/>
      <c r="N157" s="237"/>
    </row>
    <row r="158" spans="1:14">
      <c r="A158" s="135">
        <f t="shared" si="18"/>
        <v>20</v>
      </c>
      <c r="B158" s="134" t="s">
        <v>722</v>
      </c>
      <c r="C158" s="135" t="s">
        <v>101</v>
      </c>
      <c r="D158" s="168">
        <f t="shared" si="19"/>
        <v>162.24</v>
      </c>
      <c r="E158" s="135" t="s">
        <v>691</v>
      </c>
      <c r="F158" s="48" t="s">
        <v>589</v>
      </c>
      <c r="G158" s="48">
        <f t="shared" si="20"/>
        <v>20</v>
      </c>
      <c r="I158" s="168">
        <v>162.24</v>
      </c>
      <c r="L158" s="237"/>
      <c r="M158" s="237"/>
      <c r="N158" s="237"/>
    </row>
    <row r="159" spans="1:14">
      <c r="A159" s="135">
        <f t="shared" si="18"/>
        <v>21</v>
      </c>
      <c r="B159" s="134" t="s">
        <v>391</v>
      </c>
      <c r="C159" s="135" t="s">
        <v>101</v>
      </c>
      <c r="D159" s="168">
        <f t="shared" si="19"/>
        <v>162.24</v>
      </c>
      <c r="E159" s="135" t="s">
        <v>692</v>
      </c>
      <c r="F159" s="48" t="s">
        <v>589</v>
      </c>
      <c r="G159" s="48">
        <f t="shared" si="20"/>
        <v>21</v>
      </c>
      <c r="I159" s="168">
        <v>162.24</v>
      </c>
      <c r="L159" s="237"/>
      <c r="M159" s="237"/>
      <c r="N159" s="237"/>
    </row>
    <row r="160" spans="1:14">
      <c r="A160" s="135">
        <f t="shared" si="18"/>
        <v>22</v>
      </c>
      <c r="B160" s="134" t="s">
        <v>392</v>
      </c>
      <c r="C160" s="135" t="s">
        <v>101</v>
      </c>
      <c r="D160" s="168">
        <f t="shared" si="19"/>
        <v>378.56</v>
      </c>
      <c r="E160" s="135" t="s">
        <v>692</v>
      </c>
      <c r="F160" s="48" t="s">
        <v>589</v>
      </c>
      <c r="G160" s="48">
        <f t="shared" si="20"/>
        <v>22</v>
      </c>
      <c r="I160" s="168">
        <v>378.56</v>
      </c>
      <c r="L160" s="237"/>
      <c r="M160" s="237"/>
      <c r="N160" s="237"/>
    </row>
    <row r="161" spans="1:14">
      <c r="A161" s="135">
        <f t="shared" si="18"/>
        <v>23</v>
      </c>
      <c r="B161" s="134" t="s">
        <v>529</v>
      </c>
      <c r="C161" s="135" t="s">
        <v>101</v>
      </c>
      <c r="D161" s="168">
        <f t="shared" si="19"/>
        <v>108.16</v>
      </c>
      <c r="E161" s="135"/>
      <c r="F161" s="48" t="s">
        <v>589</v>
      </c>
      <c r="G161" s="48">
        <f t="shared" si="20"/>
        <v>23</v>
      </c>
      <c r="I161" s="168">
        <v>108.16</v>
      </c>
      <c r="L161" s="237"/>
      <c r="M161" s="237"/>
      <c r="N161" s="237"/>
    </row>
    <row r="162" spans="1:14">
      <c r="A162" s="135">
        <f t="shared" si="18"/>
        <v>24</v>
      </c>
      <c r="B162" s="134" t="s">
        <v>480</v>
      </c>
      <c r="C162" s="135" t="s">
        <v>101</v>
      </c>
      <c r="D162" s="168">
        <f t="shared" si="19"/>
        <v>378.56</v>
      </c>
      <c r="E162" s="135"/>
      <c r="F162" s="48" t="s">
        <v>589</v>
      </c>
      <c r="G162" s="48">
        <f t="shared" si="20"/>
        <v>24</v>
      </c>
      <c r="I162" s="168">
        <v>378.56</v>
      </c>
      <c r="L162" s="237"/>
      <c r="M162" s="237"/>
      <c r="N162" s="237"/>
    </row>
    <row r="163" spans="1:14">
      <c r="A163" s="135">
        <f t="shared" si="18"/>
        <v>25</v>
      </c>
      <c r="B163" s="134" t="s">
        <v>377</v>
      </c>
      <c r="C163" s="135" t="s">
        <v>101</v>
      </c>
      <c r="D163" s="168">
        <f t="shared" si="19"/>
        <v>270.39999999999998</v>
      </c>
      <c r="E163" s="135" t="s">
        <v>692</v>
      </c>
      <c r="F163" s="48" t="s">
        <v>593</v>
      </c>
      <c r="G163" s="48">
        <f t="shared" si="20"/>
        <v>25</v>
      </c>
      <c r="I163" s="168">
        <v>270.39999999999998</v>
      </c>
      <c r="L163" s="237"/>
      <c r="M163" s="237"/>
      <c r="N163" s="237"/>
    </row>
    <row r="164" spans="1:14">
      <c r="A164" s="135">
        <f t="shared" si="18"/>
        <v>26</v>
      </c>
      <c r="B164" s="134" t="s">
        <v>400</v>
      </c>
      <c r="C164" s="135" t="s">
        <v>101</v>
      </c>
      <c r="D164" s="168">
        <f t="shared" si="19"/>
        <v>260.67</v>
      </c>
      <c r="E164" s="135" t="s">
        <v>691</v>
      </c>
      <c r="F164" s="48" t="s">
        <v>593</v>
      </c>
      <c r="G164" s="48">
        <f t="shared" si="20"/>
        <v>26</v>
      </c>
      <c r="I164" s="168">
        <v>260.67</v>
      </c>
      <c r="L164" s="237"/>
      <c r="M164" s="237"/>
      <c r="N164" s="237"/>
    </row>
    <row r="165" spans="1:14">
      <c r="A165" s="135">
        <f t="shared" si="18"/>
        <v>27</v>
      </c>
      <c r="B165" s="134" t="s">
        <v>479</v>
      </c>
      <c r="C165" s="135" t="s">
        <v>101</v>
      </c>
      <c r="D165" s="168">
        <f t="shared" si="19"/>
        <v>367.74</v>
      </c>
      <c r="E165" s="135"/>
      <c r="F165" s="48" t="s">
        <v>593</v>
      </c>
      <c r="G165" s="48">
        <f t="shared" si="20"/>
        <v>27</v>
      </c>
      <c r="I165" s="168">
        <v>367.74</v>
      </c>
      <c r="L165" s="237"/>
      <c r="M165" s="237"/>
      <c r="N165" s="237"/>
    </row>
    <row r="166" spans="1:14">
      <c r="A166" s="135">
        <f t="shared" si="18"/>
        <v>28</v>
      </c>
      <c r="B166" s="134" t="s">
        <v>415</v>
      </c>
      <c r="C166" s="135" t="s">
        <v>101</v>
      </c>
      <c r="D166" s="168">
        <f t="shared" si="19"/>
        <v>540.79999999999995</v>
      </c>
      <c r="E166" s="135" t="s">
        <v>721</v>
      </c>
      <c r="F166" s="48" t="s">
        <v>593</v>
      </c>
      <c r="G166" s="48">
        <f t="shared" si="20"/>
        <v>28</v>
      </c>
      <c r="I166" s="168">
        <v>540.79999999999995</v>
      </c>
      <c r="L166" s="237"/>
      <c r="M166" s="237"/>
      <c r="N166" s="237"/>
    </row>
    <row r="167" spans="1:14">
      <c r="A167" s="135">
        <f t="shared" si="18"/>
        <v>29</v>
      </c>
      <c r="B167" s="134" t="s">
        <v>409</v>
      </c>
      <c r="C167" s="135" t="s">
        <v>101</v>
      </c>
      <c r="D167" s="168">
        <f t="shared" si="19"/>
        <v>540.79999999999995</v>
      </c>
      <c r="E167" s="135" t="s">
        <v>721</v>
      </c>
      <c r="F167" s="48" t="s">
        <v>593</v>
      </c>
      <c r="G167" s="48">
        <f t="shared" si="20"/>
        <v>29</v>
      </c>
      <c r="I167" s="168">
        <v>540.79999999999995</v>
      </c>
      <c r="L167" s="237"/>
      <c r="M167" s="237"/>
      <c r="N167" s="237"/>
    </row>
    <row r="168" spans="1:14">
      <c r="A168" s="135">
        <f t="shared" si="18"/>
        <v>30</v>
      </c>
      <c r="B168" s="134" t="s">
        <v>540</v>
      </c>
      <c r="C168" s="135" t="s">
        <v>101</v>
      </c>
      <c r="D168" s="168">
        <f t="shared" si="19"/>
        <v>4867.2</v>
      </c>
      <c r="E168" s="135" t="s">
        <v>721</v>
      </c>
      <c r="F168" s="48" t="s">
        <v>593</v>
      </c>
      <c r="G168" s="48">
        <f t="shared" si="20"/>
        <v>30</v>
      </c>
      <c r="I168" s="168">
        <v>4867.2</v>
      </c>
      <c r="L168" s="237"/>
      <c r="M168" s="237"/>
      <c r="N168" s="237"/>
    </row>
    <row r="169" spans="1:14">
      <c r="A169" s="135">
        <f t="shared" si="18"/>
        <v>31</v>
      </c>
      <c r="B169" s="134" t="s">
        <v>397</v>
      </c>
      <c r="C169" s="135" t="s">
        <v>101</v>
      </c>
      <c r="D169" s="168">
        <f t="shared" si="19"/>
        <v>54.08</v>
      </c>
      <c r="E169" s="135" t="s">
        <v>721</v>
      </c>
      <c r="F169" s="48" t="s">
        <v>593</v>
      </c>
      <c r="G169" s="48">
        <f t="shared" si="20"/>
        <v>31</v>
      </c>
      <c r="I169" s="168">
        <v>54.08</v>
      </c>
      <c r="L169" s="237"/>
      <c r="M169" s="237"/>
      <c r="N169" s="237"/>
    </row>
    <row r="170" spans="1:14">
      <c r="A170" s="135">
        <f t="shared" si="18"/>
        <v>32</v>
      </c>
      <c r="B170" s="134" t="s">
        <v>410</v>
      </c>
      <c r="C170" s="135" t="s">
        <v>101</v>
      </c>
      <c r="D170" s="168">
        <f t="shared" si="19"/>
        <v>346.11</v>
      </c>
      <c r="E170" s="135"/>
      <c r="F170" s="48" t="s">
        <v>593</v>
      </c>
      <c r="G170" s="48">
        <f t="shared" si="20"/>
        <v>32</v>
      </c>
      <c r="I170" s="168">
        <v>346.11</v>
      </c>
      <c r="L170" s="237"/>
      <c r="M170" s="237"/>
      <c r="N170" s="237"/>
    </row>
    <row r="171" spans="1:14">
      <c r="A171" s="135">
        <f t="shared" si="18"/>
        <v>33</v>
      </c>
      <c r="B171" s="134" t="s">
        <v>411</v>
      </c>
      <c r="C171" s="135" t="s">
        <v>101</v>
      </c>
      <c r="D171" s="168">
        <f t="shared" si="19"/>
        <v>194.69</v>
      </c>
      <c r="E171" s="135"/>
      <c r="F171" s="48" t="s">
        <v>593</v>
      </c>
      <c r="G171" s="48">
        <f t="shared" si="20"/>
        <v>33</v>
      </c>
      <c r="I171" s="168">
        <v>194.69</v>
      </c>
      <c r="L171" s="237"/>
      <c r="M171" s="237"/>
      <c r="N171" s="237"/>
    </row>
    <row r="172" spans="1:14">
      <c r="A172" s="135">
        <f t="shared" si="18"/>
        <v>34</v>
      </c>
      <c r="B172" s="134" t="s">
        <v>681</v>
      </c>
      <c r="C172" s="135" t="s">
        <v>101</v>
      </c>
      <c r="D172" s="168">
        <f t="shared" si="19"/>
        <v>1081.5999999999999</v>
      </c>
      <c r="E172" s="135" t="s">
        <v>691</v>
      </c>
      <c r="F172" s="48" t="s">
        <v>593</v>
      </c>
      <c r="G172" s="48">
        <f t="shared" si="20"/>
        <v>34</v>
      </c>
      <c r="I172" s="168">
        <v>1081.5999999999999</v>
      </c>
      <c r="L172" s="237"/>
      <c r="M172" s="237"/>
      <c r="N172" s="237"/>
    </row>
    <row r="173" spans="1:14">
      <c r="A173" s="135">
        <f t="shared" si="18"/>
        <v>35</v>
      </c>
      <c r="B173" s="52" t="s">
        <v>787</v>
      </c>
      <c r="C173" s="135" t="s">
        <v>101</v>
      </c>
      <c r="D173" s="168">
        <f t="shared" si="19"/>
        <v>627.33000000000004</v>
      </c>
      <c r="E173" s="52" t="s">
        <v>788</v>
      </c>
      <c r="F173" s="48" t="s">
        <v>593</v>
      </c>
      <c r="G173" s="48">
        <f t="shared" si="20"/>
        <v>35</v>
      </c>
      <c r="I173" s="168">
        <v>627.33000000000004</v>
      </c>
      <c r="L173" s="237"/>
      <c r="M173" s="237"/>
      <c r="N173" s="237"/>
    </row>
    <row r="174" spans="1:14">
      <c r="A174" s="135">
        <f t="shared" si="18"/>
        <v>36</v>
      </c>
      <c r="B174" s="52" t="s">
        <v>814</v>
      </c>
      <c r="C174" s="135" t="s">
        <v>101</v>
      </c>
      <c r="D174" s="168">
        <f t="shared" si="19"/>
        <v>27.04</v>
      </c>
      <c r="E174" s="52"/>
      <c r="F174" s="48" t="s">
        <v>594</v>
      </c>
      <c r="G174" s="48">
        <f t="shared" si="20"/>
        <v>36</v>
      </c>
      <c r="I174" s="168">
        <v>27.04</v>
      </c>
      <c r="L174" s="237"/>
      <c r="M174" s="237"/>
      <c r="N174" s="237"/>
    </row>
    <row r="175" spans="1:14">
      <c r="C175" s="48"/>
      <c r="D175" s="237"/>
      <c r="I175" s="237"/>
      <c r="N175" s="237"/>
    </row>
    <row r="176" spans="1:14">
      <c r="C176" s="48"/>
      <c r="N176" s="237"/>
    </row>
    <row r="177" spans="14:14">
      <c r="N177" s="237"/>
    </row>
  </sheetData>
  <mergeCells count="2">
    <mergeCell ref="B7:E7"/>
    <mergeCell ref="B6:D6"/>
  </mergeCells>
  <printOptions horizontalCentered="1"/>
  <pageMargins left="0.7" right="0.7" top="0.75" bottom="0.75" header="0.3" footer="0.3"/>
  <pageSetup paperSize="9" fitToHeight="2" orientation="portrait" r:id="rId1"/>
  <headerFooter>
    <oddHeader>&amp;L&amp;"Gill Sans MT,Italic"&amp;9Hydro Consult
Nyadi Hydropower Project&amp;C&amp;"Gill Sans MT,Regular"RATE ANALYSIS&amp;R&amp;"Gill Sans MT,Italic"&amp;9&amp;A</oddHeader>
    <oddFooter>&amp;R&amp;"Gill Sans MT,Italic"&amp;9Page &amp;P of &amp;N</oddFooter>
  </headerFooter>
  <rowBreaks count="2" manualBreakCount="2">
    <brk id="46" max="4" man="1"/>
    <brk id="135" max="16383" man="1"/>
  </rowBreaks>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24"/>
  <sheetViews>
    <sheetView workbookViewId="0">
      <selection sqref="A1:A2"/>
    </sheetView>
  </sheetViews>
  <sheetFormatPr defaultColWidth="9.140625" defaultRowHeight="15.75"/>
  <cols>
    <col min="1" max="1" width="10.7109375" style="1" customWidth="1"/>
    <col min="2" max="2" width="33" style="1" customWidth="1"/>
    <col min="3" max="3" width="5.28515625" style="1" customWidth="1"/>
    <col min="4" max="4" width="9.140625" style="1"/>
    <col min="5" max="5" width="5.28515625" style="1" customWidth="1"/>
    <col min="6" max="7" width="9.140625" style="1"/>
    <col min="8" max="8" width="10.7109375" style="1" customWidth="1"/>
    <col min="9" max="9" width="20.140625" style="1" customWidth="1"/>
    <col min="10" max="10" width="5.28515625" style="1" customWidth="1"/>
    <col min="11" max="12" width="9.140625" style="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759"/>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127" t="s">
        <v>333</v>
      </c>
      <c r="C3" s="31"/>
      <c r="D3" s="31"/>
      <c r="E3" s="31"/>
      <c r="F3" s="31"/>
      <c r="G3" s="31"/>
      <c r="H3" s="31"/>
      <c r="I3" s="31"/>
      <c r="J3" s="31"/>
      <c r="K3" s="31"/>
      <c r="L3" s="31"/>
      <c r="M3" s="31"/>
      <c r="N3" s="31"/>
      <c r="O3" s="31"/>
      <c r="P3" s="31"/>
      <c r="Q3" s="31"/>
      <c r="R3" s="32"/>
    </row>
    <row r="4" spans="1:18" ht="15.75" customHeight="1">
      <c r="A4" s="34">
        <v>1</v>
      </c>
      <c r="B4" s="713" t="s">
        <v>332</v>
      </c>
      <c r="C4" s="66">
        <v>2</v>
      </c>
      <c r="D4" s="4"/>
      <c r="E4" s="6"/>
      <c r="F4" s="29"/>
      <c r="G4" s="26"/>
      <c r="H4" s="26"/>
      <c r="I4" s="6"/>
      <c r="J4" s="6"/>
      <c r="K4" s="29"/>
      <c r="L4" s="26"/>
      <c r="M4" s="26"/>
      <c r="N4" s="6"/>
      <c r="O4" s="6"/>
      <c r="P4" s="29"/>
      <c r="Q4" s="26"/>
      <c r="R4" s="26"/>
    </row>
    <row r="5" spans="1:18">
      <c r="A5" s="2"/>
      <c r="B5" s="714"/>
      <c r="C5" s="124" t="s">
        <v>11</v>
      </c>
      <c r="D5" s="4" t="s">
        <v>96</v>
      </c>
      <c r="E5" s="6" t="s">
        <v>81</v>
      </c>
      <c r="F5" s="29">
        <v>0.34</v>
      </c>
      <c r="G5" s="26">
        <f>sr</f>
        <v>1100</v>
      </c>
      <c r="H5" s="26">
        <f>F5*G5</f>
        <v>374</v>
      </c>
      <c r="I5" s="7" t="s">
        <v>334</v>
      </c>
      <c r="J5" s="8" t="s">
        <v>335</v>
      </c>
      <c r="K5" s="29">
        <v>24.15</v>
      </c>
      <c r="L5" s="28">
        <f>gabion_10/1000</f>
        <v>114.46419</v>
      </c>
      <c r="M5" s="26">
        <f>K5*L5</f>
        <v>2764.3101885000001</v>
      </c>
      <c r="N5" s="8"/>
      <c r="O5" s="6"/>
      <c r="P5" s="29"/>
      <c r="Q5" s="28"/>
      <c r="R5" s="26"/>
    </row>
    <row r="6" spans="1:18">
      <c r="A6" s="2"/>
      <c r="B6" s="714"/>
      <c r="C6" s="6"/>
      <c r="D6" s="4" t="s">
        <v>97</v>
      </c>
      <c r="E6" s="6" t="s">
        <v>81</v>
      </c>
      <c r="F6" s="29">
        <v>0.15</v>
      </c>
      <c r="G6" s="26">
        <f>ur</f>
        <v>850</v>
      </c>
      <c r="H6" s="26">
        <f>F6*G6</f>
        <v>127.5</v>
      </c>
      <c r="I6" s="7" t="s">
        <v>336</v>
      </c>
      <c r="J6" s="8" t="s">
        <v>335</v>
      </c>
      <c r="K6" s="29">
        <v>3.41</v>
      </c>
      <c r="L6" s="28">
        <f>gabion_9/1000</f>
        <v>112.30419000000001</v>
      </c>
      <c r="M6" s="26">
        <f>K6*L6</f>
        <v>382.95728790000004</v>
      </c>
      <c r="N6" s="8"/>
      <c r="O6" s="6"/>
      <c r="P6" s="29"/>
      <c r="Q6" s="28"/>
      <c r="R6" s="26"/>
    </row>
    <row r="7" spans="1:18">
      <c r="A7" s="2"/>
      <c r="B7" s="714"/>
      <c r="C7" s="6"/>
      <c r="D7" s="4"/>
      <c r="E7" s="6"/>
      <c r="F7" s="29"/>
      <c r="G7" s="26"/>
      <c r="H7" s="26"/>
      <c r="I7" s="7"/>
      <c r="J7" s="8"/>
      <c r="K7" s="29"/>
      <c r="L7" s="28"/>
      <c r="M7" s="26"/>
      <c r="N7" s="8"/>
      <c r="O7" s="6"/>
      <c r="P7" s="29"/>
      <c r="Q7" s="28"/>
      <c r="R7" s="26"/>
    </row>
    <row r="8" spans="1:18">
      <c r="A8" s="2"/>
      <c r="B8" s="714"/>
      <c r="C8" s="6"/>
      <c r="D8" s="4" t="s">
        <v>97</v>
      </c>
      <c r="E8" s="6" t="s">
        <v>81</v>
      </c>
      <c r="F8" s="29">
        <v>0.75</v>
      </c>
      <c r="G8" s="26">
        <f>ur</f>
        <v>850</v>
      </c>
      <c r="H8" s="26">
        <f>F8*G8</f>
        <v>637.5</v>
      </c>
      <c r="I8" s="7" t="s">
        <v>337</v>
      </c>
      <c r="J8" s="8" t="s">
        <v>335</v>
      </c>
      <c r="K8" s="29">
        <v>1.3</v>
      </c>
      <c r="L8" s="28">
        <f>gabion_12/1000</f>
        <v>117.71419</v>
      </c>
      <c r="M8" s="26">
        <f>K8*L8</f>
        <v>153.028447</v>
      </c>
      <c r="N8" s="8"/>
      <c r="O8" s="6"/>
      <c r="P8" s="29"/>
      <c r="Q8" s="28"/>
      <c r="R8" s="26"/>
    </row>
    <row r="9" spans="1:18">
      <c r="A9" s="2"/>
      <c r="B9" s="714"/>
      <c r="C9" s="6"/>
      <c r="D9" s="4"/>
      <c r="E9" s="6"/>
      <c r="F9" s="29"/>
      <c r="G9" s="26"/>
      <c r="H9" s="26"/>
      <c r="I9" s="7"/>
      <c r="J9" s="8"/>
      <c r="K9" s="29"/>
      <c r="L9" s="28"/>
      <c r="M9" s="26"/>
      <c r="N9" s="8"/>
      <c r="O9" s="6"/>
      <c r="P9" s="29"/>
      <c r="Q9" s="28"/>
      <c r="R9" s="26"/>
    </row>
    <row r="10" spans="1:18">
      <c r="A10" s="2"/>
      <c r="B10" s="714"/>
      <c r="C10" s="6"/>
      <c r="D10" s="4" t="s">
        <v>96</v>
      </c>
      <c r="E10" s="6" t="s">
        <v>81</v>
      </c>
      <c r="F10" s="29">
        <v>0.5</v>
      </c>
      <c r="G10" s="26">
        <f>sr</f>
        <v>1100</v>
      </c>
      <c r="H10" s="26">
        <f>F10*G10</f>
        <v>550</v>
      </c>
      <c r="I10" s="7" t="s">
        <v>338</v>
      </c>
      <c r="J10" s="8" t="s">
        <v>11</v>
      </c>
      <c r="K10" s="29">
        <v>2</v>
      </c>
      <c r="L10" s="28">
        <f>Block_Stone</f>
        <v>1350</v>
      </c>
      <c r="M10" s="26">
        <f>K10*L10</f>
        <v>2700</v>
      </c>
      <c r="N10" s="8"/>
      <c r="O10" s="6"/>
      <c r="P10" s="29"/>
      <c r="Q10" s="28"/>
      <c r="R10" s="26"/>
    </row>
    <row r="11" spans="1:18">
      <c r="A11" s="2"/>
      <c r="B11" s="714"/>
      <c r="C11" s="6"/>
      <c r="D11" s="4" t="s">
        <v>97</v>
      </c>
      <c r="E11" s="6" t="s">
        <v>81</v>
      </c>
      <c r="F11" s="29">
        <v>1.5</v>
      </c>
      <c r="G11" s="26">
        <f>ur</f>
        <v>850</v>
      </c>
      <c r="H11" s="26">
        <f>F11*G11</f>
        <v>1275</v>
      </c>
      <c r="I11" s="7" t="s">
        <v>339</v>
      </c>
      <c r="J11" s="8" t="s">
        <v>11</v>
      </c>
      <c r="K11" s="29">
        <v>0.2</v>
      </c>
      <c r="L11" s="28">
        <f>Bond_Stone</f>
        <v>1450</v>
      </c>
      <c r="M11" s="26">
        <f>K11*L11</f>
        <v>290</v>
      </c>
      <c r="N11" s="8"/>
      <c r="O11" s="6"/>
      <c r="P11" s="29"/>
      <c r="Q11" s="28"/>
      <c r="R11" s="26"/>
    </row>
    <row r="12" spans="1:18">
      <c r="A12" s="2"/>
      <c r="B12" s="714"/>
      <c r="C12" s="6"/>
      <c r="D12" s="4"/>
      <c r="E12" s="6"/>
      <c r="F12" s="29"/>
      <c r="G12" s="26"/>
      <c r="H12" s="26"/>
      <c r="I12" s="7"/>
      <c r="J12" s="8"/>
      <c r="K12" s="29"/>
      <c r="L12" s="28"/>
      <c r="M12" s="26"/>
      <c r="N12" s="8"/>
      <c r="O12" s="6"/>
      <c r="P12" s="29"/>
      <c r="Q12" s="28"/>
      <c r="R12" s="26"/>
    </row>
    <row r="13" spans="1:18">
      <c r="A13" s="2"/>
      <c r="B13" s="714"/>
      <c r="C13" s="6"/>
      <c r="D13" s="4"/>
      <c r="E13" s="6"/>
      <c r="F13" s="29"/>
      <c r="G13" s="26"/>
      <c r="H13" s="26"/>
      <c r="I13" s="7"/>
      <c r="J13" s="8"/>
      <c r="K13" s="29"/>
      <c r="L13" s="28"/>
      <c r="M13" s="26"/>
      <c r="N13" s="8"/>
      <c r="O13" s="6"/>
      <c r="P13" s="29"/>
      <c r="Q13" s="28"/>
      <c r="R13" s="26"/>
    </row>
    <row r="14" spans="1:18">
      <c r="A14" s="2"/>
      <c r="B14" s="5"/>
      <c r="C14" s="6"/>
      <c r="D14" s="4"/>
      <c r="E14" s="9"/>
      <c r="F14" s="30"/>
      <c r="G14" s="27"/>
      <c r="H14" s="27"/>
      <c r="I14" s="9"/>
      <c r="J14" s="10"/>
      <c r="K14" s="30"/>
      <c r="L14" s="28"/>
      <c r="M14" s="28"/>
      <c r="N14" s="8"/>
      <c r="O14" s="6"/>
      <c r="P14" s="30"/>
      <c r="Q14" s="28"/>
      <c r="R14" s="28"/>
    </row>
    <row r="15" spans="1:18">
      <c r="A15" s="2"/>
      <c r="B15" s="11"/>
      <c r="C15" s="6"/>
      <c r="D15" s="12"/>
      <c r="E15" s="59"/>
      <c r="F15" s="13"/>
      <c r="G15" s="13" t="s">
        <v>20</v>
      </c>
      <c r="H15" s="25">
        <f>SUM(H4:H14)</f>
        <v>2964</v>
      </c>
      <c r="I15" s="703"/>
      <c r="J15" s="703"/>
      <c r="K15" s="14"/>
      <c r="L15" s="13" t="s">
        <v>21</v>
      </c>
      <c r="M15" s="25">
        <f>SUM(M4:M14)</f>
        <v>6290.2959234000009</v>
      </c>
      <c r="N15" s="3"/>
      <c r="O15" s="14"/>
      <c r="P15" s="14"/>
      <c r="Q15" s="13" t="s">
        <v>22</v>
      </c>
      <c r="R15" s="25">
        <f>SUM(R4:R14)</f>
        <v>0</v>
      </c>
    </row>
    <row r="16" spans="1:18">
      <c r="A16" s="2"/>
      <c r="B16" s="16" t="s">
        <v>13</v>
      </c>
      <c r="C16" s="14"/>
      <c r="D16" s="14"/>
      <c r="E16" s="14"/>
      <c r="F16" s="14"/>
      <c r="G16" s="13"/>
      <c r="H16" s="35">
        <f>M15+R15+H15</f>
        <v>9254.2959234000009</v>
      </c>
      <c r="I16" s="17"/>
      <c r="J16" s="14"/>
      <c r="K16" s="14"/>
      <c r="L16" s="13"/>
      <c r="M16" s="15"/>
      <c r="N16" s="14"/>
      <c r="O16" s="14"/>
      <c r="P16" s="14"/>
      <c r="Q16" s="14"/>
      <c r="R16" s="17"/>
    </row>
    <row r="17" spans="1:18">
      <c r="A17" s="2"/>
      <c r="B17" s="11" t="s">
        <v>25</v>
      </c>
      <c r="C17" s="4"/>
      <c r="D17" s="4"/>
      <c r="E17" s="4"/>
      <c r="F17" s="4"/>
      <c r="G17" s="18"/>
      <c r="H17" s="36">
        <v>0</v>
      </c>
      <c r="I17" s="20"/>
      <c r="J17" s="4" t="s">
        <v>26</v>
      </c>
      <c r="K17" s="4"/>
      <c r="L17" s="18"/>
      <c r="M17" s="19"/>
      <c r="N17" s="4"/>
      <c r="O17" s="4"/>
      <c r="P17" s="4"/>
      <c r="Q17" s="4"/>
      <c r="R17" s="20"/>
    </row>
    <row r="18" spans="1:18">
      <c r="A18" s="23"/>
      <c r="B18" s="11" t="s">
        <v>14</v>
      </c>
      <c r="C18" s="4"/>
      <c r="D18" s="4"/>
      <c r="E18" s="4"/>
      <c r="F18" s="4"/>
      <c r="G18" s="18"/>
      <c r="H18" s="36">
        <f>SUM(H16:H17)</f>
        <v>9254.2959234000009</v>
      </c>
      <c r="I18" s="20"/>
      <c r="J18" s="741"/>
      <c r="K18" s="742"/>
      <c r="L18" s="742"/>
      <c r="M18" s="742"/>
      <c r="N18" s="742"/>
      <c r="O18" s="742"/>
      <c r="P18" s="742"/>
      <c r="Q18" s="742"/>
      <c r="R18" s="743"/>
    </row>
    <row r="19" spans="1:18">
      <c r="A19" s="23"/>
      <c r="B19" s="11" t="s">
        <v>24</v>
      </c>
      <c r="C19" s="4"/>
      <c r="D19" s="4"/>
      <c r="E19" s="4"/>
      <c r="F19" s="4"/>
      <c r="G19" s="18"/>
      <c r="H19" s="36">
        <f>H18*15%</f>
        <v>1388.14438851</v>
      </c>
      <c r="I19" s="20"/>
      <c r="J19" s="744"/>
      <c r="K19" s="745"/>
      <c r="L19" s="745"/>
      <c r="M19" s="745"/>
      <c r="N19" s="745"/>
      <c r="O19" s="745"/>
      <c r="P19" s="745"/>
      <c r="Q19" s="745"/>
      <c r="R19" s="746"/>
    </row>
    <row r="20" spans="1:18">
      <c r="A20" s="23"/>
      <c r="B20" s="11" t="s">
        <v>15</v>
      </c>
      <c r="C20" s="4"/>
      <c r="D20" s="4"/>
      <c r="E20" s="4"/>
      <c r="F20" s="4"/>
      <c r="G20" s="21" t="s">
        <v>16</v>
      </c>
      <c r="H20" s="37">
        <f>H19+H18</f>
        <v>10642.440311910001</v>
      </c>
      <c r="I20" s="38" t="str">
        <f>CONCATENATE("per ",C4, C5)</f>
        <v>per 2cum</v>
      </c>
      <c r="J20" s="744"/>
      <c r="K20" s="745"/>
      <c r="L20" s="745"/>
      <c r="M20" s="745"/>
      <c r="N20" s="745"/>
      <c r="O20" s="745"/>
      <c r="P20" s="745"/>
      <c r="Q20" s="745"/>
      <c r="R20" s="746"/>
    </row>
    <row r="21" spans="1:18">
      <c r="A21" s="23"/>
      <c r="B21" s="11"/>
      <c r="C21" s="4"/>
      <c r="D21" s="4"/>
      <c r="E21" s="4"/>
      <c r="F21" s="4"/>
      <c r="G21" s="21" t="s">
        <v>16</v>
      </c>
      <c r="H21" s="37">
        <f>H20/C4</f>
        <v>5321.2201559550003</v>
      </c>
      <c r="I21" s="38" t="str">
        <f>CONCATENATE("per ",C5)</f>
        <v>per cum</v>
      </c>
      <c r="J21" s="744"/>
      <c r="K21" s="745"/>
      <c r="L21" s="745"/>
      <c r="M21" s="745"/>
      <c r="N21" s="745"/>
      <c r="O21" s="745"/>
      <c r="P21" s="745"/>
      <c r="Q21" s="745"/>
      <c r="R21" s="746"/>
    </row>
    <row r="22" spans="1:18">
      <c r="A22" s="23"/>
      <c r="B22" s="11" t="s">
        <v>18</v>
      </c>
      <c r="C22" s="4" t="s">
        <v>19</v>
      </c>
      <c r="D22" s="4"/>
      <c r="E22" s="4"/>
      <c r="F22" s="4"/>
      <c r="G22" s="21" t="s">
        <v>16</v>
      </c>
      <c r="H22" s="37">
        <f>CEILING(H21,0.5)</f>
        <v>5321.5</v>
      </c>
      <c r="I22" s="38" t="str">
        <f>CONCATENATE("per ",C5)</f>
        <v>per cum</v>
      </c>
      <c r="J22" s="744"/>
      <c r="K22" s="745"/>
      <c r="L22" s="745"/>
      <c r="M22" s="745"/>
      <c r="N22" s="745"/>
      <c r="O22" s="745"/>
      <c r="P22" s="745"/>
      <c r="Q22" s="745"/>
      <c r="R22" s="746"/>
    </row>
    <row r="23" spans="1:18">
      <c r="A23" s="23"/>
      <c r="B23" s="11"/>
      <c r="C23" s="4"/>
      <c r="D23" s="4"/>
      <c r="E23" s="4"/>
      <c r="F23" s="4"/>
      <c r="G23" s="24" t="s">
        <v>17</v>
      </c>
      <c r="H23" s="37">
        <f>H22/exr</f>
        <v>40.934615384615384</v>
      </c>
      <c r="I23" s="38" t="str">
        <f>CONCATENATE("per ",C5)</f>
        <v>per cum</v>
      </c>
      <c r="J23" s="747"/>
      <c r="K23" s="748"/>
      <c r="L23" s="748"/>
      <c r="M23" s="748"/>
      <c r="N23" s="748"/>
      <c r="O23" s="748"/>
      <c r="P23" s="748"/>
      <c r="Q23" s="748"/>
      <c r="R23" s="749"/>
    </row>
    <row r="24" spans="1:18">
      <c r="A24" s="39"/>
      <c r="B24" s="40"/>
      <c r="C24" s="41"/>
      <c r="D24" s="41"/>
      <c r="E24" s="41"/>
      <c r="F24" s="41"/>
      <c r="G24" s="149" t="s">
        <v>460</v>
      </c>
      <c r="H24" s="150">
        <f>CEILING(SUM(M5,M6,M8)/H16,0.0025)</f>
        <v>0.35749999999999998</v>
      </c>
      <c r="I24" s="42"/>
      <c r="J24" s="43"/>
      <c r="K24" s="43"/>
      <c r="L24" s="43"/>
      <c r="M24" s="43"/>
      <c r="N24" s="43"/>
      <c r="O24" s="43"/>
      <c r="P24" s="43"/>
      <c r="Q24" s="43"/>
      <c r="R24" s="44"/>
    </row>
    <row r="25" spans="1:18">
      <c r="A25" s="22"/>
      <c r="B25" s="22"/>
      <c r="C25" s="22"/>
      <c r="D25" s="22"/>
      <c r="E25" s="22"/>
      <c r="F25" s="22"/>
      <c r="G25" s="22"/>
      <c r="H25" s="22"/>
      <c r="I25" s="22"/>
      <c r="J25" s="22"/>
      <c r="K25" s="22"/>
      <c r="L25" s="22"/>
      <c r="M25" s="22"/>
      <c r="N25" s="22"/>
      <c r="O25" s="22"/>
      <c r="P25" s="22"/>
      <c r="Q25" s="22"/>
      <c r="R25" s="22"/>
    </row>
    <row r="26" spans="1:18">
      <c r="A26" s="693" t="s">
        <v>0</v>
      </c>
      <c r="B26" s="695" t="s">
        <v>1</v>
      </c>
      <c r="C26" s="695" t="s">
        <v>2</v>
      </c>
      <c r="D26" s="697" t="s">
        <v>3</v>
      </c>
      <c r="E26" s="698"/>
      <c r="F26" s="698"/>
      <c r="G26" s="698"/>
      <c r="H26" s="698"/>
      <c r="I26" s="699" t="s">
        <v>4</v>
      </c>
      <c r="J26" s="700"/>
      <c r="K26" s="700"/>
      <c r="L26" s="700"/>
      <c r="M26" s="700"/>
      <c r="N26" s="698" t="s">
        <v>5</v>
      </c>
      <c r="O26" s="698"/>
      <c r="P26" s="698"/>
      <c r="Q26" s="698"/>
      <c r="R26" s="698"/>
    </row>
    <row r="27" spans="1:18">
      <c r="A27" s="694"/>
      <c r="B27" s="759"/>
      <c r="C27" s="696"/>
      <c r="D27" s="45" t="s">
        <v>6</v>
      </c>
      <c r="E27" s="46" t="s">
        <v>2</v>
      </c>
      <c r="F27" s="46" t="s">
        <v>7</v>
      </c>
      <c r="G27" s="46" t="s">
        <v>8</v>
      </c>
      <c r="H27" s="46" t="s">
        <v>9</v>
      </c>
      <c r="I27" s="46" t="s">
        <v>10</v>
      </c>
      <c r="J27" s="46" t="s">
        <v>2</v>
      </c>
      <c r="K27" s="46" t="s">
        <v>7</v>
      </c>
      <c r="L27" s="46" t="s">
        <v>8</v>
      </c>
      <c r="M27" s="47" t="s">
        <v>9</v>
      </c>
      <c r="N27" s="46" t="s">
        <v>10</v>
      </c>
      <c r="O27" s="46" t="s">
        <v>2</v>
      </c>
      <c r="P27" s="46" t="s">
        <v>7</v>
      </c>
      <c r="Q27" s="46" t="s">
        <v>8</v>
      </c>
      <c r="R27" s="46" t="s">
        <v>9</v>
      </c>
    </row>
    <row r="28" spans="1:18">
      <c r="A28" s="33" t="s">
        <v>23</v>
      </c>
      <c r="B28" s="127" t="s">
        <v>340</v>
      </c>
      <c r="C28" s="31"/>
      <c r="D28" s="31"/>
      <c r="E28" s="31"/>
      <c r="F28" s="31"/>
      <c r="G28" s="31"/>
      <c r="H28" s="31"/>
      <c r="I28" s="31"/>
      <c r="J28" s="31"/>
      <c r="K28" s="31"/>
      <c r="L28" s="31"/>
      <c r="M28" s="31"/>
      <c r="N28" s="31"/>
      <c r="O28" s="31"/>
      <c r="P28" s="31"/>
      <c r="Q28" s="31"/>
      <c r="R28" s="32"/>
    </row>
    <row r="29" spans="1:18">
      <c r="A29" s="34">
        <f>A4+1</f>
        <v>2</v>
      </c>
      <c r="B29" s="713" t="s">
        <v>341</v>
      </c>
      <c r="C29" s="66">
        <v>3</v>
      </c>
      <c r="D29" s="4"/>
      <c r="E29" s="6"/>
      <c r="F29" s="29"/>
      <c r="G29" s="26"/>
      <c r="H29" s="26"/>
      <c r="I29" s="6"/>
      <c r="J29" s="6"/>
      <c r="K29" s="29"/>
      <c r="L29" s="26"/>
      <c r="M29" s="26"/>
      <c r="N29" s="6"/>
      <c r="O29" s="6"/>
      <c r="P29" s="29"/>
      <c r="Q29" s="26"/>
      <c r="R29" s="26"/>
    </row>
    <row r="30" spans="1:18">
      <c r="A30" s="2"/>
      <c r="B30" s="714"/>
      <c r="C30" s="124" t="s">
        <v>11</v>
      </c>
      <c r="D30" s="4" t="s">
        <v>96</v>
      </c>
      <c r="E30" s="6" t="s">
        <v>81</v>
      </c>
      <c r="F30" s="29">
        <v>0.5</v>
      </c>
      <c r="G30" s="26">
        <f>sr</f>
        <v>1100</v>
      </c>
      <c r="H30" s="26">
        <f>F30*G30</f>
        <v>550</v>
      </c>
      <c r="I30" s="7" t="s">
        <v>334</v>
      </c>
      <c r="J30" s="8" t="s">
        <v>335</v>
      </c>
      <c r="K30" s="29">
        <v>35.1</v>
      </c>
      <c r="L30" s="28">
        <f>gabion_10/1000</f>
        <v>114.46419</v>
      </c>
      <c r="M30" s="26">
        <f>K30*L30</f>
        <v>4017.6930690000004</v>
      </c>
      <c r="N30" s="8"/>
      <c r="O30" s="6"/>
      <c r="P30" s="29"/>
      <c r="Q30" s="28"/>
      <c r="R30" s="26"/>
    </row>
    <row r="31" spans="1:18">
      <c r="A31" s="2"/>
      <c r="B31" s="714"/>
      <c r="C31" s="6"/>
      <c r="D31" s="4" t="s">
        <v>97</v>
      </c>
      <c r="E31" s="6" t="s">
        <v>81</v>
      </c>
      <c r="F31" s="29">
        <v>0.22</v>
      </c>
      <c r="G31" s="26">
        <f>ur</f>
        <v>850</v>
      </c>
      <c r="H31" s="26">
        <f>F31*G31</f>
        <v>187</v>
      </c>
      <c r="I31" s="7" t="s">
        <v>336</v>
      </c>
      <c r="J31" s="8" t="s">
        <v>335</v>
      </c>
      <c r="K31" s="29">
        <v>4.51</v>
      </c>
      <c r="L31" s="28">
        <f>gabion_9/1000</f>
        <v>112.30419000000001</v>
      </c>
      <c r="M31" s="26">
        <f>K31*L31</f>
        <v>506.49189690000003</v>
      </c>
      <c r="N31" s="8"/>
      <c r="O31" s="6"/>
      <c r="P31" s="29"/>
      <c r="Q31" s="28"/>
      <c r="R31" s="26"/>
    </row>
    <row r="32" spans="1:18">
      <c r="A32" s="2"/>
      <c r="B32" s="714"/>
      <c r="C32" s="6"/>
      <c r="D32" s="4"/>
      <c r="E32" s="6"/>
      <c r="F32" s="29"/>
      <c r="G32" s="26"/>
      <c r="H32" s="26"/>
      <c r="I32" s="7"/>
      <c r="J32" s="8"/>
      <c r="K32" s="29"/>
      <c r="L32" s="28"/>
      <c r="M32" s="26"/>
      <c r="N32" s="8"/>
      <c r="O32" s="6"/>
      <c r="P32" s="29"/>
      <c r="Q32" s="28"/>
      <c r="R32" s="26"/>
    </row>
    <row r="33" spans="1:18">
      <c r="A33" s="2"/>
      <c r="B33" s="714"/>
      <c r="C33" s="6"/>
      <c r="D33" s="4" t="s">
        <v>97</v>
      </c>
      <c r="E33" s="6" t="s">
        <v>81</v>
      </c>
      <c r="F33" s="29">
        <v>1.04</v>
      </c>
      <c r="G33" s="26">
        <f>ur</f>
        <v>850</v>
      </c>
      <c r="H33" s="26">
        <f>F33*G33</f>
        <v>884</v>
      </c>
      <c r="I33" s="7" t="s">
        <v>337</v>
      </c>
      <c r="J33" s="8" t="s">
        <v>335</v>
      </c>
      <c r="K33" s="29">
        <v>1.81</v>
      </c>
      <c r="L33" s="28">
        <f>gabion_12/1000</f>
        <v>117.71419</v>
      </c>
      <c r="M33" s="26">
        <f>K33*L33</f>
        <v>213.0626839</v>
      </c>
      <c r="N33" s="8"/>
      <c r="O33" s="6"/>
      <c r="P33" s="29"/>
      <c r="Q33" s="28"/>
      <c r="R33" s="26"/>
    </row>
    <row r="34" spans="1:18">
      <c r="A34" s="2"/>
      <c r="B34" s="714"/>
      <c r="C34" s="6"/>
      <c r="D34" s="4"/>
      <c r="E34" s="6"/>
      <c r="F34" s="29"/>
      <c r="G34" s="26"/>
      <c r="H34" s="26"/>
      <c r="I34" s="7"/>
      <c r="J34" s="8"/>
      <c r="K34" s="29"/>
      <c r="L34" s="28"/>
      <c r="M34" s="26"/>
      <c r="N34" s="8"/>
      <c r="O34" s="6"/>
      <c r="P34" s="29"/>
      <c r="Q34" s="28"/>
      <c r="R34" s="26"/>
    </row>
    <row r="35" spans="1:18">
      <c r="A35" s="2"/>
      <c r="B35" s="714"/>
      <c r="C35" s="6"/>
      <c r="D35" s="4" t="s">
        <v>96</v>
      </c>
      <c r="E35" s="6" t="s">
        <v>81</v>
      </c>
      <c r="F35" s="29">
        <v>0.75</v>
      </c>
      <c r="G35" s="26">
        <f>sr</f>
        <v>1100</v>
      </c>
      <c r="H35" s="26">
        <f>F35*G35</f>
        <v>825</v>
      </c>
      <c r="I35" s="7" t="s">
        <v>338</v>
      </c>
      <c r="J35" s="8" t="s">
        <v>11</v>
      </c>
      <c r="K35" s="29">
        <v>3</v>
      </c>
      <c r="L35" s="28">
        <f>Block_Stone</f>
        <v>1350</v>
      </c>
      <c r="M35" s="26">
        <f>K35*L35</f>
        <v>4050</v>
      </c>
      <c r="N35" s="8"/>
      <c r="O35" s="6"/>
      <c r="P35" s="29"/>
      <c r="Q35" s="28"/>
      <c r="R35" s="26"/>
    </row>
    <row r="36" spans="1:18">
      <c r="A36" s="2"/>
      <c r="B36" s="714"/>
      <c r="C36" s="6"/>
      <c r="D36" s="4" t="s">
        <v>97</v>
      </c>
      <c r="E36" s="6" t="s">
        <v>81</v>
      </c>
      <c r="F36" s="29">
        <v>2.25</v>
      </c>
      <c r="G36" s="26">
        <f>ur</f>
        <v>850</v>
      </c>
      <c r="H36" s="26">
        <f>F36*G36</f>
        <v>1912.5</v>
      </c>
      <c r="I36" s="7" t="s">
        <v>339</v>
      </c>
      <c r="J36" s="8" t="s">
        <v>11</v>
      </c>
      <c r="K36" s="29">
        <v>0.3</v>
      </c>
      <c r="L36" s="28">
        <f>Bond_Stone</f>
        <v>1450</v>
      </c>
      <c r="M36" s="26">
        <f>K36*L36</f>
        <v>435</v>
      </c>
      <c r="N36" s="8"/>
      <c r="O36" s="6"/>
      <c r="P36" s="29"/>
      <c r="Q36" s="28"/>
      <c r="R36" s="26"/>
    </row>
    <row r="37" spans="1:18">
      <c r="A37" s="2"/>
      <c r="B37" s="714"/>
      <c r="C37" s="6"/>
      <c r="D37" s="4"/>
      <c r="E37" s="6"/>
      <c r="F37" s="29"/>
      <c r="G37" s="26"/>
      <c r="H37" s="26"/>
      <c r="I37" s="7"/>
      <c r="J37" s="8"/>
      <c r="K37" s="29"/>
      <c r="L37" s="28"/>
      <c r="M37" s="26"/>
      <c r="N37" s="8"/>
      <c r="O37" s="6"/>
      <c r="P37" s="29"/>
      <c r="Q37" s="28"/>
      <c r="R37" s="26"/>
    </row>
    <row r="38" spans="1:18">
      <c r="A38" s="2"/>
      <c r="B38" s="714"/>
      <c r="C38" s="6"/>
      <c r="D38" s="4"/>
      <c r="E38" s="6"/>
      <c r="F38" s="29"/>
      <c r="G38" s="26"/>
      <c r="H38" s="26"/>
      <c r="I38" s="7"/>
      <c r="J38" s="8"/>
      <c r="K38" s="29"/>
      <c r="L38" s="28"/>
      <c r="M38" s="26"/>
      <c r="N38" s="8"/>
      <c r="O38" s="6"/>
      <c r="P38" s="29"/>
      <c r="Q38" s="28"/>
      <c r="R38" s="26"/>
    </row>
    <row r="39" spans="1:18">
      <c r="A39" s="2"/>
      <c r="B39" s="5"/>
      <c r="C39" s="6"/>
      <c r="D39" s="4"/>
      <c r="E39" s="9"/>
      <c r="F39" s="30"/>
      <c r="G39" s="27"/>
      <c r="H39" s="27"/>
      <c r="I39" s="9"/>
      <c r="J39" s="10"/>
      <c r="K39" s="30"/>
      <c r="L39" s="28"/>
      <c r="M39" s="28"/>
      <c r="N39" s="8"/>
      <c r="O39" s="6"/>
      <c r="P39" s="30"/>
      <c r="Q39" s="28"/>
      <c r="R39" s="28"/>
    </row>
    <row r="40" spans="1:18">
      <c r="A40" s="2"/>
      <c r="B40" s="11"/>
      <c r="C40" s="6"/>
      <c r="D40" s="12"/>
      <c r="E40" s="59"/>
      <c r="F40" s="13"/>
      <c r="G40" s="13" t="s">
        <v>20</v>
      </c>
      <c r="H40" s="25">
        <f>SUM(H29:H39)</f>
        <v>4358.5</v>
      </c>
      <c r="I40" s="703"/>
      <c r="J40" s="703"/>
      <c r="K40" s="14"/>
      <c r="L40" s="13" t="s">
        <v>21</v>
      </c>
      <c r="M40" s="25">
        <f>SUM(M29:M39)</f>
        <v>9222.2476497999996</v>
      </c>
      <c r="N40" s="3"/>
      <c r="O40" s="14"/>
      <c r="P40" s="14"/>
      <c r="Q40" s="13" t="s">
        <v>22</v>
      </c>
      <c r="R40" s="25">
        <f>SUM(R29:R39)</f>
        <v>0</v>
      </c>
    </row>
    <row r="41" spans="1:18">
      <c r="A41" s="2"/>
      <c r="B41" s="16" t="s">
        <v>13</v>
      </c>
      <c r="C41" s="14"/>
      <c r="D41" s="14"/>
      <c r="E41" s="14"/>
      <c r="F41" s="14"/>
      <c r="G41" s="13"/>
      <c r="H41" s="35">
        <f>M40+R40+H40</f>
        <v>13580.7476498</v>
      </c>
      <c r="I41" s="17"/>
      <c r="J41" s="14"/>
      <c r="K41" s="14"/>
      <c r="L41" s="13"/>
      <c r="M41" s="15"/>
      <c r="N41" s="14"/>
      <c r="O41" s="14"/>
      <c r="P41" s="14"/>
      <c r="Q41" s="14"/>
      <c r="R41" s="17"/>
    </row>
    <row r="42" spans="1:18">
      <c r="A42" s="2"/>
      <c r="B42" s="11" t="s">
        <v>25</v>
      </c>
      <c r="C42" s="4"/>
      <c r="D42" s="4"/>
      <c r="E42" s="4"/>
      <c r="F42" s="4"/>
      <c r="G42" s="18"/>
      <c r="H42" s="36">
        <v>0</v>
      </c>
      <c r="I42" s="20"/>
      <c r="J42" s="4" t="s">
        <v>26</v>
      </c>
      <c r="K42" s="4"/>
      <c r="L42" s="18"/>
      <c r="M42" s="19"/>
      <c r="N42" s="4"/>
      <c r="O42" s="4"/>
      <c r="P42" s="4"/>
      <c r="Q42" s="4"/>
      <c r="R42" s="20"/>
    </row>
    <row r="43" spans="1:18">
      <c r="A43" s="23"/>
      <c r="B43" s="11" t="s">
        <v>14</v>
      </c>
      <c r="C43" s="4"/>
      <c r="D43" s="4"/>
      <c r="E43" s="4"/>
      <c r="F43" s="4"/>
      <c r="G43" s="18"/>
      <c r="H43" s="36">
        <f>SUM(H41:H42)</f>
        <v>13580.7476498</v>
      </c>
      <c r="I43" s="20"/>
      <c r="J43" s="741"/>
      <c r="K43" s="742"/>
      <c r="L43" s="742"/>
      <c r="M43" s="742"/>
      <c r="N43" s="742"/>
      <c r="O43" s="742"/>
      <c r="P43" s="742"/>
      <c r="Q43" s="742"/>
      <c r="R43" s="743"/>
    </row>
    <row r="44" spans="1:18">
      <c r="A44" s="23"/>
      <c r="B44" s="11" t="s">
        <v>24</v>
      </c>
      <c r="C44" s="4"/>
      <c r="D44" s="4"/>
      <c r="E44" s="4"/>
      <c r="F44" s="4"/>
      <c r="G44" s="18"/>
      <c r="H44" s="36">
        <f>H43*15%</f>
        <v>2037.1121474699999</v>
      </c>
      <c r="I44" s="20"/>
      <c r="J44" s="744"/>
      <c r="K44" s="745"/>
      <c r="L44" s="745"/>
      <c r="M44" s="745"/>
      <c r="N44" s="745"/>
      <c r="O44" s="745"/>
      <c r="P44" s="745"/>
      <c r="Q44" s="745"/>
      <c r="R44" s="746"/>
    </row>
    <row r="45" spans="1:18">
      <c r="A45" s="23"/>
      <c r="B45" s="11" t="s">
        <v>15</v>
      </c>
      <c r="C45" s="4"/>
      <c r="D45" s="4"/>
      <c r="E45" s="4"/>
      <c r="F45" s="4"/>
      <c r="G45" s="21" t="s">
        <v>16</v>
      </c>
      <c r="H45" s="37">
        <f>H44+H43</f>
        <v>15617.859797269999</v>
      </c>
      <c r="I45" s="38" t="str">
        <f>CONCATENATE("per ",C29, C30)</f>
        <v>per 3cum</v>
      </c>
      <c r="J45" s="744"/>
      <c r="K45" s="745"/>
      <c r="L45" s="745"/>
      <c r="M45" s="745"/>
      <c r="N45" s="745"/>
      <c r="O45" s="745"/>
      <c r="P45" s="745"/>
      <c r="Q45" s="745"/>
      <c r="R45" s="746"/>
    </row>
    <row r="46" spans="1:18">
      <c r="A46" s="23"/>
      <c r="B46" s="11"/>
      <c r="C46" s="4"/>
      <c r="D46" s="4"/>
      <c r="E46" s="4"/>
      <c r="F46" s="4"/>
      <c r="G46" s="21" t="s">
        <v>16</v>
      </c>
      <c r="H46" s="37">
        <f>H45/C29</f>
        <v>5205.953265756666</v>
      </c>
      <c r="I46" s="38" t="str">
        <f>CONCATENATE("per ",C30)</f>
        <v>per cum</v>
      </c>
      <c r="J46" s="744"/>
      <c r="K46" s="745"/>
      <c r="L46" s="745"/>
      <c r="M46" s="745"/>
      <c r="N46" s="745"/>
      <c r="O46" s="745"/>
      <c r="P46" s="745"/>
      <c r="Q46" s="745"/>
      <c r="R46" s="746"/>
    </row>
    <row r="47" spans="1:18">
      <c r="A47" s="23"/>
      <c r="B47" s="11" t="s">
        <v>18</v>
      </c>
      <c r="C47" s="4" t="s">
        <v>19</v>
      </c>
      <c r="D47" s="4"/>
      <c r="E47" s="4"/>
      <c r="F47" s="4"/>
      <c r="G47" s="21" t="s">
        <v>16</v>
      </c>
      <c r="H47" s="37">
        <f>CEILING(H46,0.5)</f>
        <v>5206</v>
      </c>
      <c r="I47" s="38" t="str">
        <f>CONCATENATE("per ",C30)</f>
        <v>per cum</v>
      </c>
      <c r="J47" s="744"/>
      <c r="K47" s="745"/>
      <c r="L47" s="745"/>
      <c r="M47" s="745"/>
      <c r="N47" s="745"/>
      <c r="O47" s="745"/>
      <c r="P47" s="745"/>
      <c r="Q47" s="745"/>
      <c r="R47" s="746"/>
    </row>
    <row r="48" spans="1:18">
      <c r="A48" s="23"/>
      <c r="B48" s="11"/>
      <c r="C48" s="4"/>
      <c r="D48" s="4"/>
      <c r="E48" s="4"/>
      <c r="F48" s="4"/>
      <c r="G48" s="24" t="s">
        <v>17</v>
      </c>
      <c r="H48" s="37">
        <f>H47/exr</f>
        <v>40.04615384615385</v>
      </c>
      <c r="I48" s="38" t="str">
        <f>CONCATENATE("per ",C30)</f>
        <v>per cum</v>
      </c>
      <c r="J48" s="747"/>
      <c r="K48" s="748"/>
      <c r="L48" s="748"/>
      <c r="M48" s="748"/>
      <c r="N48" s="748"/>
      <c r="O48" s="748"/>
      <c r="P48" s="748"/>
      <c r="Q48" s="748"/>
      <c r="R48" s="749"/>
    </row>
    <row r="49" spans="1:18">
      <c r="A49" s="39"/>
      <c r="B49" s="40"/>
      <c r="C49" s="41"/>
      <c r="D49" s="41"/>
      <c r="E49" s="41"/>
      <c r="F49" s="41"/>
      <c r="G49" s="149" t="s">
        <v>460</v>
      </c>
      <c r="H49" s="150">
        <f>CEILING(SUM(M30,M31,M33)/H41,0.0025)</f>
        <v>0.35000000000000003</v>
      </c>
      <c r="I49" s="42"/>
      <c r="J49" s="43"/>
      <c r="K49" s="43"/>
      <c r="L49" s="43"/>
      <c r="M49" s="43"/>
      <c r="N49" s="43"/>
      <c r="O49" s="43"/>
      <c r="P49" s="43"/>
      <c r="Q49" s="43"/>
      <c r="R49" s="44"/>
    </row>
    <row r="51" spans="1:18">
      <c r="A51" s="693" t="s">
        <v>0</v>
      </c>
      <c r="B51" s="695" t="s">
        <v>1</v>
      </c>
      <c r="C51" s="695" t="s">
        <v>2</v>
      </c>
      <c r="D51" s="697" t="s">
        <v>3</v>
      </c>
      <c r="E51" s="698"/>
      <c r="F51" s="698"/>
      <c r="G51" s="698"/>
      <c r="H51" s="698"/>
      <c r="I51" s="699" t="s">
        <v>4</v>
      </c>
      <c r="J51" s="700"/>
      <c r="K51" s="700"/>
      <c r="L51" s="700"/>
      <c r="M51" s="700"/>
      <c r="N51" s="698" t="s">
        <v>5</v>
      </c>
      <c r="O51" s="698"/>
      <c r="P51" s="698"/>
      <c r="Q51" s="698"/>
      <c r="R51" s="698"/>
    </row>
    <row r="52" spans="1:18">
      <c r="A52" s="694"/>
      <c r="B52" s="759"/>
      <c r="C52" s="696"/>
      <c r="D52" s="45" t="s">
        <v>6</v>
      </c>
      <c r="E52" s="46" t="s">
        <v>2</v>
      </c>
      <c r="F52" s="46" t="s">
        <v>7</v>
      </c>
      <c r="G52" s="46" t="s">
        <v>8</v>
      </c>
      <c r="H52" s="46" t="s">
        <v>9</v>
      </c>
      <c r="I52" s="46" t="s">
        <v>10</v>
      </c>
      <c r="J52" s="46" t="s">
        <v>2</v>
      </c>
      <c r="K52" s="46" t="s">
        <v>7</v>
      </c>
      <c r="L52" s="46" t="s">
        <v>8</v>
      </c>
      <c r="M52" s="47" t="s">
        <v>9</v>
      </c>
      <c r="N52" s="46" t="s">
        <v>10</v>
      </c>
      <c r="O52" s="46" t="s">
        <v>2</v>
      </c>
      <c r="P52" s="46" t="s">
        <v>7</v>
      </c>
      <c r="Q52" s="46" t="s">
        <v>8</v>
      </c>
      <c r="R52" s="46" t="s">
        <v>9</v>
      </c>
    </row>
    <row r="53" spans="1:18">
      <c r="A53" s="33" t="s">
        <v>23</v>
      </c>
      <c r="B53" s="127" t="s">
        <v>342</v>
      </c>
      <c r="C53" s="31"/>
      <c r="D53" s="31"/>
      <c r="E53" s="31"/>
      <c r="F53" s="31"/>
      <c r="G53" s="31"/>
      <c r="H53" s="31"/>
      <c r="I53" s="31"/>
      <c r="J53" s="31"/>
      <c r="K53" s="31"/>
      <c r="L53" s="31"/>
      <c r="M53" s="31"/>
      <c r="N53" s="31"/>
      <c r="O53" s="31"/>
      <c r="P53" s="31"/>
      <c r="Q53" s="31"/>
      <c r="R53" s="32"/>
    </row>
    <row r="54" spans="1:18">
      <c r="A54" s="34">
        <f>A29+1</f>
        <v>3</v>
      </c>
      <c r="B54" s="713" t="s">
        <v>343</v>
      </c>
      <c r="C54" s="66">
        <v>1</v>
      </c>
      <c r="D54" s="4"/>
      <c r="E54" s="6"/>
      <c r="F54" s="29"/>
      <c r="G54" s="26"/>
      <c r="H54" s="26"/>
      <c r="I54" s="6"/>
      <c r="J54" s="6"/>
      <c r="K54" s="29"/>
      <c r="L54" s="26"/>
      <c r="M54" s="26"/>
      <c r="N54" s="6"/>
      <c r="O54" s="6"/>
      <c r="P54" s="29"/>
      <c r="Q54" s="26"/>
      <c r="R54" s="26"/>
    </row>
    <row r="55" spans="1:18">
      <c r="A55" s="2"/>
      <c r="B55" s="714"/>
      <c r="C55" s="124" t="s">
        <v>11</v>
      </c>
      <c r="D55" s="4" t="s">
        <v>96</v>
      </c>
      <c r="E55" s="6" t="s">
        <v>81</v>
      </c>
      <c r="F55" s="29">
        <v>0.23</v>
      </c>
      <c r="G55" s="26">
        <f>sr</f>
        <v>1100</v>
      </c>
      <c r="H55" s="26">
        <f>F55*G55</f>
        <v>253</v>
      </c>
      <c r="I55" s="7" t="s">
        <v>334</v>
      </c>
      <c r="J55" s="8" t="s">
        <v>335</v>
      </c>
      <c r="K55" s="29">
        <v>16.45</v>
      </c>
      <c r="L55" s="28">
        <f>gabion_10/1000</f>
        <v>114.46419</v>
      </c>
      <c r="M55" s="26">
        <f>K55*L55</f>
        <v>1882.9359254999999</v>
      </c>
      <c r="N55" s="8"/>
      <c r="O55" s="6"/>
      <c r="P55" s="29"/>
      <c r="Q55" s="28"/>
      <c r="R55" s="26"/>
    </row>
    <row r="56" spans="1:18">
      <c r="A56" s="2"/>
      <c r="B56" s="714"/>
      <c r="C56" s="6"/>
      <c r="D56" s="4" t="s">
        <v>97</v>
      </c>
      <c r="E56" s="6" t="s">
        <v>81</v>
      </c>
      <c r="F56" s="29">
        <v>0.1</v>
      </c>
      <c r="G56" s="26">
        <f>ur</f>
        <v>850</v>
      </c>
      <c r="H56" s="26">
        <f>F56*G56</f>
        <v>85</v>
      </c>
      <c r="I56" s="7" t="s">
        <v>336</v>
      </c>
      <c r="J56" s="8" t="s">
        <v>335</v>
      </c>
      <c r="K56" s="29">
        <v>2.8</v>
      </c>
      <c r="L56" s="28">
        <f>gabion_9/1000</f>
        <v>112.30419000000001</v>
      </c>
      <c r="M56" s="26">
        <f>K56*L56</f>
        <v>314.45173199999999</v>
      </c>
      <c r="N56" s="8"/>
      <c r="O56" s="6"/>
      <c r="P56" s="29"/>
      <c r="Q56" s="28"/>
      <c r="R56" s="26"/>
    </row>
    <row r="57" spans="1:18">
      <c r="A57" s="2"/>
      <c r="B57" s="714"/>
      <c r="C57" s="6"/>
      <c r="D57" s="4"/>
      <c r="E57" s="6"/>
      <c r="F57" s="29"/>
      <c r="G57" s="26"/>
      <c r="H57" s="26"/>
      <c r="I57" s="7"/>
      <c r="J57" s="8"/>
      <c r="K57" s="29"/>
      <c r="L57" s="28"/>
      <c r="M57" s="26"/>
      <c r="N57" s="8"/>
      <c r="O57" s="6"/>
      <c r="P57" s="29"/>
      <c r="Q57" s="28"/>
      <c r="R57" s="26"/>
    </row>
    <row r="58" spans="1:18">
      <c r="A58" s="2"/>
      <c r="B58" s="714"/>
      <c r="C58" s="6"/>
      <c r="D58" s="4" t="s">
        <v>97</v>
      </c>
      <c r="E58" s="6" t="s">
        <v>81</v>
      </c>
      <c r="F58" s="29">
        <v>0.54</v>
      </c>
      <c r="G58" s="26">
        <f>ur</f>
        <v>850</v>
      </c>
      <c r="H58" s="26"/>
      <c r="I58" s="7" t="s">
        <v>337</v>
      </c>
      <c r="J58" s="8" t="s">
        <v>335</v>
      </c>
      <c r="K58" s="29">
        <v>0.85</v>
      </c>
      <c r="L58" s="28">
        <f>gabion_12/1000</f>
        <v>117.71419</v>
      </c>
      <c r="M58" s="26">
        <f>K58*L58</f>
        <v>100.0570615</v>
      </c>
      <c r="N58" s="8"/>
      <c r="O58" s="6"/>
      <c r="P58" s="29"/>
      <c r="Q58" s="28"/>
      <c r="R58" s="26"/>
    </row>
    <row r="59" spans="1:18">
      <c r="A59" s="2"/>
      <c r="B59" s="714"/>
      <c r="C59" s="6"/>
      <c r="D59" s="4"/>
      <c r="E59" s="6"/>
      <c r="F59" s="29"/>
      <c r="G59" s="26"/>
      <c r="H59" s="26"/>
      <c r="I59" s="7"/>
      <c r="J59" s="8"/>
      <c r="K59" s="29"/>
      <c r="L59" s="28"/>
      <c r="M59" s="26"/>
      <c r="N59" s="8"/>
      <c r="O59" s="6"/>
      <c r="P59" s="29"/>
      <c r="Q59" s="28"/>
      <c r="R59" s="26"/>
    </row>
    <row r="60" spans="1:18">
      <c r="A60" s="2"/>
      <c r="B60" s="714"/>
      <c r="C60" s="6"/>
      <c r="D60" s="4" t="s">
        <v>96</v>
      </c>
      <c r="E60" s="6" t="s">
        <v>81</v>
      </c>
      <c r="F60" s="29">
        <v>0.25</v>
      </c>
      <c r="G60" s="26">
        <f>sr</f>
        <v>1100</v>
      </c>
      <c r="H60" s="26">
        <f>F60*G60</f>
        <v>275</v>
      </c>
      <c r="I60" s="7" t="s">
        <v>338</v>
      </c>
      <c r="J60" s="8" t="s">
        <v>11</v>
      </c>
      <c r="K60" s="29">
        <v>1</v>
      </c>
      <c r="L60" s="28">
        <f>Block_Stone</f>
        <v>1350</v>
      </c>
      <c r="M60" s="26">
        <f>K60*L60</f>
        <v>1350</v>
      </c>
      <c r="N60" s="8"/>
      <c r="O60" s="6"/>
      <c r="P60" s="29"/>
      <c r="Q60" s="28"/>
      <c r="R60" s="26"/>
    </row>
    <row r="61" spans="1:18">
      <c r="A61" s="2"/>
      <c r="B61" s="714"/>
      <c r="C61" s="6"/>
      <c r="D61" s="4" t="s">
        <v>97</v>
      </c>
      <c r="E61" s="6" t="s">
        <v>81</v>
      </c>
      <c r="F61" s="29">
        <v>0.75</v>
      </c>
      <c r="G61" s="26">
        <f>ur</f>
        <v>850</v>
      </c>
      <c r="H61" s="26">
        <f>F61*G61</f>
        <v>637.5</v>
      </c>
      <c r="I61" s="7" t="s">
        <v>339</v>
      </c>
      <c r="J61" s="8" t="s">
        <v>11</v>
      </c>
      <c r="K61" s="29">
        <v>0.1</v>
      </c>
      <c r="L61" s="28">
        <f>Bond_Stone</f>
        <v>1450</v>
      </c>
      <c r="M61" s="26">
        <f>K61*L61</f>
        <v>145</v>
      </c>
      <c r="N61" s="8"/>
      <c r="O61" s="6"/>
      <c r="P61" s="29"/>
      <c r="Q61" s="28"/>
      <c r="R61" s="26"/>
    </row>
    <row r="62" spans="1:18">
      <c r="A62" s="2"/>
      <c r="B62" s="714"/>
      <c r="C62" s="6"/>
      <c r="D62" s="4"/>
      <c r="E62" s="6"/>
      <c r="F62" s="29"/>
      <c r="G62" s="26"/>
      <c r="H62" s="26"/>
      <c r="I62" s="7"/>
      <c r="J62" s="8"/>
      <c r="K62" s="29"/>
      <c r="L62" s="28"/>
      <c r="M62" s="26"/>
      <c r="N62" s="8"/>
      <c r="O62" s="6"/>
      <c r="P62" s="29"/>
      <c r="Q62" s="28"/>
      <c r="R62" s="26"/>
    </row>
    <row r="63" spans="1:18">
      <c r="A63" s="2"/>
      <c r="B63" s="714"/>
      <c r="C63" s="6"/>
      <c r="D63" s="4"/>
      <c r="E63" s="6"/>
      <c r="F63" s="29"/>
      <c r="G63" s="26"/>
      <c r="H63" s="26"/>
      <c r="I63" s="7"/>
      <c r="J63" s="8"/>
      <c r="K63" s="29"/>
      <c r="L63" s="28"/>
      <c r="M63" s="26"/>
      <c r="N63" s="8"/>
      <c r="O63" s="6"/>
      <c r="P63" s="29"/>
      <c r="Q63" s="28"/>
      <c r="R63" s="26"/>
    </row>
    <row r="64" spans="1:18">
      <c r="A64" s="2"/>
      <c r="B64" s="5"/>
      <c r="C64" s="6"/>
      <c r="D64" s="4"/>
      <c r="E64" s="9"/>
      <c r="F64" s="30"/>
      <c r="G64" s="27"/>
      <c r="H64" s="27"/>
      <c r="I64" s="9"/>
      <c r="J64" s="10"/>
      <c r="K64" s="30"/>
      <c r="L64" s="28"/>
      <c r="M64" s="28"/>
      <c r="N64" s="8"/>
      <c r="O64" s="6"/>
      <c r="P64" s="30"/>
      <c r="Q64" s="28"/>
      <c r="R64" s="28"/>
    </row>
    <row r="65" spans="1:18">
      <c r="A65" s="2"/>
      <c r="B65" s="11"/>
      <c r="C65" s="6"/>
      <c r="D65" s="12"/>
      <c r="E65" s="59"/>
      <c r="F65" s="13"/>
      <c r="G65" s="13" t="s">
        <v>20</v>
      </c>
      <c r="H65" s="25">
        <f>SUM(H54:H64)</f>
        <v>1250.5</v>
      </c>
      <c r="I65" s="703"/>
      <c r="J65" s="703"/>
      <c r="K65" s="14"/>
      <c r="L65" s="13" t="s">
        <v>21</v>
      </c>
      <c r="M65" s="25">
        <f>SUM(M54:M64)</f>
        <v>3792.4447190000001</v>
      </c>
      <c r="N65" s="3"/>
      <c r="O65" s="14"/>
      <c r="P65" s="14"/>
      <c r="Q65" s="13" t="s">
        <v>22</v>
      </c>
      <c r="R65" s="25">
        <f>SUM(R54:R64)</f>
        <v>0</v>
      </c>
    </row>
    <row r="66" spans="1:18">
      <c r="A66" s="2"/>
      <c r="B66" s="16" t="s">
        <v>13</v>
      </c>
      <c r="C66" s="14"/>
      <c r="D66" s="14"/>
      <c r="E66" s="14"/>
      <c r="F66" s="14"/>
      <c r="G66" s="13"/>
      <c r="H66" s="35">
        <f>M65+R65+H65</f>
        <v>5042.9447190000001</v>
      </c>
      <c r="I66" s="17"/>
      <c r="J66" s="14"/>
      <c r="K66" s="14"/>
      <c r="L66" s="13"/>
      <c r="M66" s="15"/>
      <c r="N66" s="14"/>
      <c r="O66" s="14"/>
      <c r="P66" s="14"/>
      <c r="Q66" s="14"/>
      <c r="R66" s="17"/>
    </row>
    <row r="67" spans="1:18">
      <c r="A67" s="2"/>
      <c r="B67" s="11" t="s">
        <v>25</v>
      </c>
      <c r="C67" s="4"/>
      <c r="D67" s="4"/>
      <c r="E67" s="4"/>
      <c r="F67" s="4"/>
      <c r="G67" s="18"/>
      <c r="H67" s="36">
        <v>0</v>
      </c>
      <c r="I67" s="20"/>
      <c r="J67" s="4" t="s">
        <v>26</v>
      </c>
      <c r="K67" s="4"/>
      <c r="L67" s="18"/>
      <c r="M67" s="19"/>
      <c r="N67" s="4"/>
      <c r="O67" s="4"/>
      <c r="P67" s="4"/>
      <c r="Q67" s="4"/>
      <c r="R67" s="20"/>
    </row>
    <row r="68" spans="1:18">
      <c r="A68" s="23"/>
      <c r="B68" s="11" t="s">
        <v>14</v>
      </c>
      <c r="C68" s="4"/>
      <c r="D68" s="4"/>
      <c r="E68" s="4"/>
      <c r="F68" s="4"/>
      <c r="G68" s="18"/>
      <c r="H68" s="36">
        <f>SUM(H66:H67)</f>
        <v>5042.9447190000001</v>
      </c>
      <c r="I68" s="20"/>
      <c r="J68" s="741"/>
      <c r="K68" s="742"/>
      <c r="L68" s="742"/>
      <c r="M68" s="742"/>
      <c r="N68" s="742"/>
      <c r="O68" s="742"/>
      <c r="P68" s="742"/>
      <c r="Q68" s="742"/>
      <c r="R68" s="743"/>
    </row>
    <row r="69" spans="1:18">
      <c r="A69" s="23"/>
      <c r="B69" s="11" t="s">
        <v>24</v>
      </c>
      <c r="C69" s="4"/>
      <c r="D69" s="4"/>
      <c r="E69" s="4"/>
      <c r="F69" s="4"/>
      <c r="G69" s="18"/>
      <c r="H69" s="36">
        <f>H68*15%</f>
        <v>756.44170784999994</v>
      </c>
      <c r="I69" s="20"/>
      <c r="J69" s="744"/>
      <c r="K69" s="745"/>
      <c r="L69" s="745"/>
      <c r="M69" s="745"/>
      <c r="N69" s="745"/>
      <c r="O69" s="745"/>
      <c r="P69" s="745"/>
      <c r="Q69" s="745"/>
      <c r="R69" s="746"/>
    </row>
    <row r="70" spans="1:18">
      <c r="A70" s="23"/>
      <c r="B70" s="11" t="s">
        <v>15</v>
      </c>
      <c r="C70" s="4"/>
      <c r="D70" s="4"/>
      <c r="E70" s="4"/>
      <c r="F70" s="4"/>
      <c r="G70" s="21" t="s">
        <v>16</v>
      </c>
      <c r="H70" s="37">
        <f>H69+H68</f>
        <v>5799.3864268500001</v>
      </c>
      <c r="I70" s="38" t="str">
        <f>CONCATENATE("per ",C54, C55)</f>
        <v>per 1cum</v>
      </c>
      <c r="J70" s="744"/>
      <c r="K70" s="745"/>
      <c r="L70" s="745"/>
      <c r="M70" s="745"/>
      <c r="N70" s="745"/>
      <c r="O70" s="745"/>
      <c r="P70" s="745"/>
      <c r="Q70" s="745"/>
      <c r="R70" s="746"/>
    </row>
    <row r="71" spans="1:18">
      <c r="A71" s="23"/>
      <c r="B71" s="11"/>
      <c r="C71" s="4"/>
      <c r="D71" s="4"/>
      <c r="E71" s="4"/>
      <c r="F71" s="4"/>
      <c r="G71" s="21" t="s">
        <v>16</v>
      </c>
      <c r="H71" s="37">
        <f>H70/C54</f>
        <v>5799.3864268500001</v>
      </c>
      <c r="I71" s="38" t="str">
        <f>CONCATENATE("per ",C55)</f>
        <v>per cum</v>
      </c>
      <c r="J71" s="744"/>
      <c r="K71" s="745"/>
      <c r="L71" s="745"/>
      <c r="M71" s="745"/>
      <c r="N71" s="745"/>
      <c r="O71" s="745"/>
      <c r="P71" s="745"/>
      <c r="Q71" s="745"/>
      <c r="R71" s="746"/>
    </row>
    <row r="72" spans="1:18">
      <c r="A72" s="23"/>
      <c r="B72" s="11" t="s">
        <v>18</v>
      </c>
      <c r="C72" s="4" t="s">
        <v>19</v>
      </c>
      <c r="D72" s="4"/>
      <c r="E72" s="4"/>
      <c r="F72" s="4"/>
      <c r="G72" s="21" t="s">
        <v>16</v>
      </c>
      <c r="H72" s="37">
        <f>CEILING(H71,0.5)</f>
        <v>5799.5</v>
      </c>
      <c r="I72" s="38" t="str">
        <f>CONCATENATE("per ",C55)</f>
        <v>per cum</v>
      </c>
      <c r="J72" s="744"/>
      <c r="K72" s="745"/>
      <c r="L72" s="745"/>
      <c r="M72" s="745"/>
      <c r="N72" s="745"/>
      <c r="O72" s="745"/>
      <c r="P72" s="745"/>
      <c r="Q72" s="745"/>
      <c r="R72" s="746"/>
    </row>
    <row r="73" spans="1:18">
      <c r="A73" s="23"/>
      <c r="B73" s="11"/>
      <c r="C73" s="4"/>
      <c r="D73" s="4"/>
      <c r="E73" s="4"/>
      <c r="F73" s="4"/>
      <c r="G73" s="24" t="s">
        <v>17</v>
      </c>
      <c r="H73" s="37">
        <f>H72/exr</f>
        <v>44.611538461538458</v>
      </c>
      <c r="I73" s="38" t="str">
        <f>CONCATENATE("per ",C55)</f>
        <v>per cum</v>
      </c>
      <c r="J73" s="747"/>
      <c r="K73" s="748"/>
      <c r="L73" s="748"/>
      <c r="M73" s="748"/>
      <c r="N73" s="748"/>
      <c r="O73" s="748"/>
      <c r="P73" s="748"/>
      <c r="Q73" s="748"/>
      <c r="R73" s="749"/>
    </row>
    <row r="74" spans="1:18">
      <c r="A74" s="39"/>
      <c r="B74" s="40"/>
      <c r="C74" s="41"/>
      <c r="D74" s="41"/>
      <c r="E74" s="41"/>
      <c r="F74" s="41"/>
      <c r="G74" s="149" t="s">
        <v>460</v>
      </c>
      <c r="H74" s="150">
        <f>CEILING(SUM(M55,M56,M58)/H66,0.0025)</f>
        <v>0.45750000000000002</v>
      </c>
      <c r="I74" s="42"/>
      <c r="J74" s="43"/>
      <c r="K74" s="43"/>
      <c r="L74" s="43"/>
      <c r="M74" s="43"/>
      <c r="N74" s="43"/>
      <c r="O74" s="43"/>
      <c r="P74" s="43"/>
      <c r="Q74" s="43"/>
      <c r="R74" s="44"/>
    </row>
    <row r="76" spans="1:18">
      <c r="A76" s="693" t="s">
        <v>0</v>
      </c>
      <c r="B76" s="695" t="s">
        <v>1</v>
      </c>
      <c r="C76" s="695" t="s">
        <v>2</v>
      </c>
      <c r="D76" s="697" t="s">
        <v>3</v>
      </c>
      <c r="E76" s="698"/>
      <c r="F76" s="698"/>
      <c r="G76" s="698"/>
      <c r="H76" s="698"/>
      <c r="I76" s="699" t="s">
        <v>4</v>
      </c>
      <c r="J76" s="700"/>
      <c r="K76" s="700"/>
      <c r="L76" s="700"/>
      <c r="M76" s="700"/>
      <c r="N76" s="698" t="s">
        <v>5</v>
      </c>
      <c r="O76" s="698"/>
      <c r="P76" s="698"/>
      <c r="Q76" s="698"/>
      <c r="R76" s="698"/>
    </row>
    <row r="77" spans="1:18">
      <c r="A77" s="694"/>
      <c r="B77" s="759"/>
      <c r="C77" s="696"/>
      <c r="D77" s="45" t="s">
        <v>6</v>
      </c>
      <c r="E77" s="46" t="s">
        <v>2</v>
      </c>
      <c r="F77" s="46" t="s">
        <v>7</v>
      </c>
      <c r="G77" s="46" t="s">
        <v>8</v>
      </c>
      <c r="H77" s="46" t="s">
        <v>9</v>
      </c>
      <c r="I77" s="46" t="s">
        <v>10</v>
      </c>
      <c r="J77" s="46" t="s">
        <v>2</v>
      </c>
      <c r="K77" s="46" t="s">
        <v>7</v>
      </c>
      <c r="L77" s="46" t="s">
        <v>8</v>
      </c>
      <c r="M77" s="47" t="s">
        <v>9</v>
      </c>
      <c r="N77" s="46" t="s">
        <v>10</v>
      </c>
      <c r="O77" s="46" t="s">
        <v>2</v>
      </c>
      <c r="P77" s="46" t="s">
        <v>7</v>
      </c>
      <c r="Q77" s="46" t="s">
        <v>8</v>
      </c>
      <c r="R77" s="46" t="s">
        <v>9</v>
      </c>
    </row>
    <row r="78" spans="1:18">
      <c r="A78" s="33" t="s">
        <v>23</v>
      </c>
      <c r="B78" s="127" t="s">
        <v>344</v>
      </c>
      <c r="C78" s="31"/>
      <c r="D78" s="31"/>
      <c r="E78" s="31"/>
      <c r="F78" s="31"/>
      <c r="G78" s="31"/>
      <c r="H78" s="31"/>
      <c r="I78" s="31"/>
      <c r="J78" s="31"/>
      <c r="K78" s="31"/>
      <c r="L78" s="31"/>
      <c r="M78" s="31"/>
      <c r="N78" s="31"/>
      <c r="O78" s="31"/>
      <c r="P78" s="31"/>
      <c r="Q78" s="31"/>
      <c r="R78" s="32"/>
    </row>
    <row r="79" spans="1:18">
      <c r="A79" s="34">
        <f>A54+1</f>
        <v>4</v>
      </c>
      <c r="B79" s="713" t="s">
        <v>345</v>
      </c>
      <c r="C79" s="66">
        <v>1.5</v>
      </c>
      <c r="D79" s="4"/>
      <c r="E79" s="6"/>
      <c r="F79" s="29"/>
      <c r="G79" s="26"/>
      <c r="H79" s="26"/>
      <c r="I79" s="6"/>
      <c r="J79" s="6"/>
      <c r="K79" s="29"/>
      <c r="L79" s="26"/>
      <c r="M79" s="26"/>
      <c r="N79" s="6"/>
      <c r="O79" s="6"/>
      <c r="P79" s="29"/>
      <c r="Q79" s="26"/>
      <c r="R79" s="26"/>
    </row>
    <row r="80" spans="1:18">
      <c r="A80" s="2"/>
      <c r="B80" s="714"/>
      <c r="C80" s="124" t="s">
        <v>11</v>
      </c>
      <c r="D80" s="4" t="s">
        <v>96</v>
      </c>
      <c r="E80" s="6" t="s">
        <v>81</v>
      </c>
      <c r="F80" s="29">
        <v>0.34</v>
      </c>
      <c r="G80" s="26">
        <f>sr</f>
        <v>1100</v>
      </c>
      <c r="H80" s="26">
        <f>F80*G80</f>
        <v>374</v>
      </c>
      <c r="I80" s="7" t="s">
        <v>334</v>
      </c>
      <c r="J80" s="8" t="s">
        <v>335</v>
      </c>
      <c r="K80" s="29">
        <v>24.15</v>
      </c>
      <c r="L80" s="28">
        <f>gabion_10/1000</f>
        <v>114.46419</v>
      </c>
      <c r="M80" s="26">
        <f>K80*L80</f>
        <v>2764.3101885000001</v>
      </c>
      <c r="N80" s="8"/>
      <c r="O80" s="6"/>
      <c r="P80" s="29"/>
      <c r="Q80" s="28"/>
      <c r="R80" s="26"/>
    </row>
    <row r="81" spans="1:18">
      <c r="A81" s="2"/>
      <c r="B81" s="714"/>
      <c r="C81" s="6"/>
      <c r="D81" s="4" t="s">
        <v>97</v>
      </c>
      <c r="E81" s="6" t="s">
        <v>81</v>
      </c>
      <c r="F81" s="29">
        <v>0.15</v>
      </c>
      <c r="G81" s="26">
        <f>ur</f>
        <v>850</v>
      </c>
      <c r="H81" s="26">
        <f>F81*G81</f>
        <v>127.5</v>
      </c>
      <c r="I81" s="7" t="s">
        <v>336</v>
      </c>
      <c r="J81" s="8" t="s">
        <v>335</v>
      </c>
      <c r="K81" s="29">
        <v>3.78</v>
      </c>
      <c r="L81" s="28">
        <f>gabion_9/1000</f>
        <v>112.30419000000001</v>
      </c>
      <c r="M81" s="26">
        <f>K81*L81</f>
        <v>424.50983819999999</v>
      </c>
      <c r="N81" s="8"/>
      <c r="O81" s="6"/>
      <c r="P81" s="29"/>
      <c r="Q81" s="28"/>
      <c r="R81" s="26"/>
    </row>
    <row r="82" spans="1:18">
      <c r="A82" s="2"/>
      <c r="B82" s="714"/>
      <c r="C82" s="6"/>
      <c r="D82" s="4"/>
      <c r="E82" s="6"/>
      <c r="F82" s="29"/>
      <c r="G82" s="26"/>
      <c r="H82" s="26"/>
      <c r="I82" s="7"/>
      <c r="J82" s="8"/>
      <c r="K82" s="29"/>
      <c r="L82" s="28"/>
      <c r="M82" s="26"/>
      <c r="N82" s="8"/>
      <c r="O82" s="6"/>
      <c r="P82" s="29"/>
      <c r="Q82" s="28"/>
      <c r="R82" s="26"/>
    </row>
    <row r="83" spans="1:18">
      <c r="A83" s="2"/>
      <c r="B83" s="714"/>
      <c r="C83" s="6"/>
      <c r="D83" s="4" t="s">
        <v>97</v>
      </c>
      <c r="E83" s="6" t="s">
        <v>81</v>
      </c>
      <c r="F83" s="29">
        <v>0.76</v>
      </c>
      <c r="G83" s="26">
        <f>ur</f>
        <v>850</v>
      </c>
      <c r="H83" s="26">
        <f>F83*G83</f>
        <v>646</v>
      </c>
      <c r="I83" s="7" t="s">
        <v>337</v>
      </c>
      <c r="J83" s="8" t="s">
        <v>335</v>
      </c>
      <c r="K83" s="29">
        <v>1.19</v>
      </c>
      <c r="L83" s="28">
        <f>gabion_12/1000</f>
        <v>117.71419</v>
      </c>
      <c r="M83" s="26">
        <f>K83*L83</f>
        <v>140.07988610000001</v>
      </c>
      <c r="N83" s="8"/>
      <c r="O83" s="6"/>
      <c r="P83" s="29"/>
      <c r="Q83" s="28"/>
      <c r="R83" s="26"/>
    </row>
    <row r="84" spans="1:18">
      <c r="A84" s="2"/>
      <c r="B84" s="714"/>
      <c r="C84" s="6"/>
      <c r="D84" s="4"/>
      <c r="E84" s="6"/>
      <c r="F84" s="29"/>
      <c r="G84" s="26"/>
      <c r="H84" s="26"/>
      <c r="I84" s="7"/>
      <c r="J84" s="8"/>
      <c r="K84" s="29"/>
      <c r="L84" s="28"/>
      <c r="M84" s="26"/>
      <c r="N84" s="8"/>
      <c r="O84" s="6"/>
      <c r="P84" s="29"/>
      <c r="Q84" s="28"/>
      <c r="R84" s="26"/>
    </row>
    <row r="85" spans="1:18">
      <c r="A85" s="2"/>
      <c r="B85" s="714"/>
      <c r="C85" s="6"/>
      <c r="D85" s="4" t="s">
        <v>96</v>
      </c>
      <c r="E85" s="6" t="s">
        <v>81</v>
      </c>
      <c r="F85" s="29">
        <v>0.375</v>
      </c>
      <c r="G85" s="26">
        <f>sr</f>
        <v>1100</v>
      </c>
      <c r="H85" s="26">
        <f>F85*G85</f>
        <v>412.5</v>
      </c>
      <c r="I85" s="7" t="s">
        <v>338</v>
      </c>
      <c r="J85" s="8" t="s">
        <v>11</v>
      </c>
      <c r="K85" s="29">
        <v>1.5</v>
      </c>
      <c r="L85" s="28">
        <f>Block_Stone</f>
        <v>1350</v>
      </c>
      <c r="M85" s="26">
        <f>K85*L85</f>
        <v>2025</v>
      </c>
      <c r="N85" s="8"/>
      <c r="O85" s="6"/>
      <c r="P85" s="29"/>
      <c r="Q85" s="28"/>
      <c r="R85" s="26"/>
    </row>
    <row r="86" spans="1:18">
      <c r="A86" s="2"/>
      <c r="B86" s="714"/>
      <c r="C86" s="6"/>
      <c r="D86" s="4" t="s">
        <v>97</v>
      </c>
      <c r="E86" s="6" t="s">
        <v>81</v>
      </c>
      <c r="F86" s="29">
        <v>1.125</v>
      </c>
      <c r="G86" s="26">
        <f>ur</f>
        <v>850</v>
      </c>
      <c r="H86" s="26">
        <f>F86*G86</f>
        <v>956.25</v>
      </c>
      <c r="I86" s="7" t="s">
        <v>339</v>
      </c>
      <c r="J86" s="8" t="s">
        <v>11</v>
      </c>
      <c r="K86" s="29">
        <v>0.15</v>
      </c>
      <c r="L86" s="28">
        <f>Bond_Stone</f>
        <v>1450</v>
      </c>
      <c r="M86" s="26">
        <f>K86*L86</f>
        <v>217.5</v>
      </c>
      <c r="N86" s="8"/>
      <c r="O86" s="6"/>
      <c r="P86" s="29"/>
      <c r="Q86" s="28"/>
      <c r="R86" s="26"/>
    </row>
    <row r="87" spans="1:18">
      <c r="A87" s="2"/>
      <c r="B87" s="714"/>
      <c r="C87" s="6"/>
      <c r="D87" s="4"/>
      <c r="E87" s="6"/>
      <c r="F87" s="29"/>
      <c r="G87" s="26"/>
      <c r="H87" s="26"/>
      <c r="I87" s="7"/>
      <c r="J87" s="8"/>
      <c r="K87" s="29"/>
      <c r="L87" s="28"/>
      <c r="M87" s="26"/>
      <c r="N87" s="8"/>
      <c r="O87" s="6"/>
      <c r="P87" s="29"/>
      <c r="Q87" s="28"/>
      <c r="R87" s="26"/>
    </row>
    <row r="88" spans="1:18">
      <c r="A88" s="2"/>
      <c r="B88" s="714"/>
      <c r="C88" s="6"/>
      <c r="D88" s="4"/>
      <c r="E88" s="6"/>
      <c r="F88" s="29"/>
      <c r="G88" s="26"/>
      <c r="H88" s="26"/>
      <c r="I88" s="7"/>
      <c r="J88" s="8"/>
      <c r="K88" s="29"/>
      <c r="L88" s="28"/>
      <c r="M88" s="26"/>
      <c r="N88" s="8"/>
      <c r="O88" s="6"/>
      <c r="P88" s="29"/>
      <c r="Q88" s="28"/>
      <c r="R88" s="26"/>
    </row>
    <row r="89" spans="1:18">
      <c r="A89" s="2"/>
      <c r="B89" s="5"/>
      <c r="C89" s="6"/>
      <c r="D89" s="4"/>
      <c r="E89" s="9"/>
      <c r="F89" s="30"/>
      <c r="G89" s="27"/>
      <c r="H89" s="27"/>
      <c r="I89" s="9"/>
      <c r="J89" s="10"/>
      <c r="K89" s="30"/>
      <c r="L89" s="28"/>
      <c r="M89" s="28"/>
      <c r="N89" s="8"/>
      <c r="O89" s="6"/>
      <c r="P89" s="30"/>
      <c r="Q89" s="28"/>
      <c r="R89" s="28"/>
    </row>
    <row r="90" spans="1:18">
      <c r="A90" s="2"/>
      <c r="B90" s="11"/>
      <c r="C90" s="6"/>
      <c r="D90" s="12"/>
      <c r="E90" s="59"/>
      <c r="F90" s="13"/>
      <c r="G90" s="13" t="s">
        <v>20</v>
      </c>
      <c r="H90" s="25">
        <f>SUM(H79:H89)</f>
        <v>2516.25</v>
      </c>
      <c r="I90" s="703"/>
      <c r="J90" s="703"/>
      <c r="K90" s="14"/>
      <c r="L90" s="13" t="s">
        <v>21</v>
      </c>
      <c r="M90" s="25">
        <f>SUM(M79:M89)</f>
        <v>5571.3999127999996</v>
      </c>
      <c r="N90" s="3"/>
      <c r="O90" s="14"/>
      <c r="P90" s="14"/>
      <c r="Q90" s="13" t="s">
        <v>22</v>
      </c>
      <c r="R90" s="25">
        <f>SUM(R79:R89)</f>
        <v>0</v>
      </c>
    </row>
    <row r="91" spans="1:18">
      <c r="A91" s="2"/>
      <c r="B91" s="16" t="s">
        <v>13</v>
      </c>
      <c r="C91" s="14"/>
      <c r="D91" s="14"/>
      <c r="E91" s="14"/>
      <c r="F91" s="14"/>
      <c r="G91" s="13"/>
      <c r="H91" s="35">
        <f>M90+R90+H90</f>
        <v>8087.6499127999996</v>
      </c>
      <c r="I91" s="17"/>
      <c r="J91" s="14"/>
      <c r="K91" s="14"/>
      <c r="L91" s="13"/>
      <c r="M91" s="15"/>
      <c r="N91" s="14"/>
      <c r="O91" s="14"/>
      <c r="P91" s="14"/>
      <c r="Q91" s="14"/>
      <c r="R91" s="17"/>
    </row>
    <row r="92" spans="1:18">
      <c r="A92" s="2"/>
      <c r="B92" s="11" t="s">
        <v>25</v>
      </c>
      <c r="C92" s="4"/>
      <c r="D92" s="4"/>
      <c r="E92" s="4"/>
      <c r="F92" s="4"/>
      <c r="G92" s="18"/>
      <c r="H92" s="36">
        <v>0</v>
      </c>
      <c r="I92" s="20"/>
      <c r="J92" s="4" t="s">
        <v>26</v>
      </c>
      <c r="K92" s="4"/>
      <c r="L92" s="18"/>
      <c r="M92" s="19"/>
      <c r="N92" s="4"/>
      <c r="O92" s="4"/>
      <c r="P92" s="4"/>
      <c r="Q92" s="4"/>
      <c r="R92" s="20"/>
    </row>
    <row r="93" spans="1:18">
      <c r="A93" s="23"/>
      <c r="B93" s="11" t="s">
        <v>14</v>
      </c>
      <c r="C93" s="4"/>
      <c r="D93" s="4"/>
      <c r="E93" s="4"/>
      <c r="F93" s="4"/>
      <c r="G93" s="18"/>
      <c r="H93" s="36">
        <f>SUM(H91:H92)</f>
        <v>8087.6499127999996</v>
      </c>
      <c r="I93" s="20"/>
      <c r="J93" s="741"/>
      <c r="K93" s="742"/>
      <c r="L93" s="742"/>
      <c r="M93" s="742"/>
      <c r="N93" s="742"/>
      <c r="O93" s="742"/>
      <c r="P93" s="742"/>
      <c r="Q93" s="742"/>
      <c r="R93" s="743"/>
    </row>
    <row r="94" spans="1:18">
      <c r="A94" s="23"/>
      <c r="B94" s="11" t="s">
        <v>24</v>
      </c>
      <c r="C94" s="4"/>
      <c r="D94" s="4"/>
      <c r="E94" s="4"/>
      <c r="F94" s="4"/>
      <c r="G94" s="18"/>
      <c r="H94" s="36">
        <f>H93*15%</f>
        <v>1213.1474869199999</v>
      </c>
      <c r="I94" s="20"/>
      <c r="J94" s="744"/>
      <c r="K94" s="745"/>
      <c r="L94" s="745"/>
      <c r="M94" s="745"/>
      <c r="N94" s="745"/>
      <c r="O94" s="745"/>
      <c r="P94" s="745"/>
      <c r="Q94" s="745"/>
      <c r="R94" s="746"/>
    </row>
    <row r="95" spans="1:18">
      <c r="A95" s="23"/>
      <c r="B95" s="11" t="s">
        <v>15</v>
      </c>
      <c r="C95" s="4"/>
      <c r="D95" s="4"/>
      <c r="E95" s="4"/>
      <c r="F95" s="4"/>
      <c r="G95" s="21" t="s">
        <v>16</v>
      </c>
      <c r="H95" s="37">
        <f>H94+H93</f>
        <v>9300.7973997199988</v>
      </c>
      <c r="I95" s="38" t="str">
        <f>CONCATENATE("per ",C79, C80)</f>
        <v>per 1.5cum</v>
      </c>
      <c r="J95" s="744"/>
      <c r="K95" s="745"/>
      <c r="L95" s="745"/>
      <c r="M95" s="745"/>
      <c r="N95" s="745"/>
      <c r="O95" s="745"/>
      <c r="P95" s="745"/>
      <c r="Q95" s="745"/>
      <c r="R95" s="746"/>
    </row>
    <row r="96" spans="1:18">
      <c r="A96" s="23"/>
      <c r="B96" s="11"/>
      <c r="C96" s="4"/>
      <c r="D96" s="4"/>
      <c r="E96" s="4"/>
      <c r="F96" s="4"/>
      <c r="G96" s="21" t="s">
        <v>16</v>
      </c>
      <c r="H96" s="37">
        <f>H95/C79</f>
        <v>6200.5315998133328</v>
      </c>
      <c r="I96" s="38" t="str">
        <f>CONCATENATE("per ",C80)</f>
        <v>per cum</v>
      </c>
      <c r="J96" s="744"/>
      <c r="K96" s="745"/>
      <c r="L96" s="745"/>
      <c r="M96" s="745"/>
      <c r="N96" s="745"/>
      <c r="O96" s="745"/>
      <c r="P96" s="745"/>
      <c r="Q96" s="745"/>
      <c r="R96" s="746"/>
    </row>
    <row r="97" spans="1:18">
      <c r="A97" s="23"/>
      <c r="B97" s="11" t="s">
        <v>18</v>
      </c>
      <c r="C97" s="4" t="s">
        <v>19</v>
      </c>
      <c r="D97" s="4"/>
      <c r="E97" s="4"/>
      <c r="F97" s="4"/>
      <c r="G97" s="21" t="s">
        <v>16</v>
      </c>
      <c r="H97" s="37">
        <f>CEILING(H96,0.5)</f>
        <v>6201</v>
      </c>
      <c r="I97" s="38" t="str">
        <f>CONCATENATE("per ",C80)</f>
        <v>per cum</v>
      </c>
      <c r="J97" s="744"/>
      <c r="K97" s="745"/>
      <c r="L97" s="745"/>
      <c r="M97" s="745"/>
      <c r="N97" s="745"/>
      <c r="O97" s="745"/>
      <c r="P97" s="745"/>
      <c r="Q97" s="745"/>
      <c r="R97" s="746"/>
    </row>
    <row r="98" spans="1:18">
      <c r="A98" s="23"/>
      <c r="B98" s="11"/>
      <c r="C98" s="4"/>
      <c r="D98" s="4"/>
      <c r="E98" s="4"/>
      <c r="F98" s="4"/>
      <c r="G98" s="24" t="s">
        <v>17</v>
      </c>
      <c r="H98" s="37">
        <f>H97/exr</f>
        <v>47.7</v>
      </c>
      <c r="I98" s="38" t="str">
        <f>CONCATENATE("per ",C80)</f>
        <v>per cum</v>
      </c>
      <c r="J98" s="747"/>
      <c r="K98" s="748"/>
      <c r="L98" s="748"/>
      <c r="M98" s="748"/>
      <c r="N98" s="748"/>
      <c r="O98" s="748"/>
      <c r="P98" s="748"/>
      <c r="Q98" s="748"/>
      <c r="R98" s="749"/>
    </row>
    <row r="99" spans="1:18">
      <c r="A99" s="39"/>
      <c r="B99" s="40"/>
      <c r="C99" s="41"/>
      <c r="D99" s="41"/>
      <c r="E99" s="41"/>
      <c r="F99" s="41"/>
      <c r="G99" s="149" t="s">
        <v>460</v>
      </c>
      <c r="H99" s="150">
        <f>CEILING(SUM(M80,M81,M83)/H91,0.0025)</f>
        <v>0.41250000000000003</v>
      </c>
      <c r="I99" s="42"/>
      <c r="J99" s="43"/>
      <c r="K99" s="43"/>
      <c r="L99" s="43"/>
      <c r="M99" s="43"/>
      <c r="N99" s="43"/>
      <c r="O99" s="43"/>
      <c r="P99" s="43"/>
      <c r="Q99" s="43"/>
      <c r="R99" s="44"/>
    </row>
    <row r="101" spans="1:18">
      <c r="A101" s="693" t="s">
        <v>0</v>
      </c>
      <c r="B101" s="695" t="s">
        <v>1</v>
      </c>
      <c r="C101" s="695" t="s">
        <v>2</v>
      </c>
      <c r="D101" s="697" t="s">
        <v>3</v>
      </c>
      <c r="E101" s="698"/>
      <c r="F101" s="698"/>
      <c r="G101" s="698"/>
      <c r="H101" s="698"/>
      <c r="I101" s="699" t="s">
        <v>4</v>
      </c>
      <c r="J101" s="700"/>
      <c r="K101" s="700"/>
      <c r="L101" s="700"/>
      <c r="M101" s="700"/>
      <c r="N101" s="698" t="s">
        <v>5</v>
      </c>
      <c r="O101" s="698"/>
      <c r="P101" s="698"/>
      <c r="Q101" s="698"/>
      <c r="R101" s="698"/>
    </row>
    <row r="102" spans="1:18">
      <c r="A102" s="694"/>
      <c r="B102" s="759"/>
      <c r="C102" s="696"/>
      <c r="D102" s="45" t="s">
        <v>6</v>
      </c>
      <c r="E102" s="46" t="s">
        <v>2</v>
      </c>
      <c r="F102" s="46" t="s">
        <v>7</v>
      </c>
      <c r="G102" s="46" t="s">
        <v>8</v>
      </c>
      <c r="H102" s="46" t="s">
        <v>9</v>
      </c>
      <c r="I102" s="46" t="s">
        <v>10</v>
      </c>
      <c r="J102" s="46" t="s">
        <v>2</v>
      </c>
      <c r="K102" s="46" t="s">
        <v>7</v>
      </c>
      <c r="L102" s="46" t="s">
        <v>8</v>
      </c>
      <c r="M102" s="47" t="s">
        <v>9</v>
      </c>
      <c r="N102" s="46" t="s">
        <v>10</v>
      </c>
      <c r="O102" s="46" t="s">
        <v>2</v>
      </c>
      <c r="P102" s="46" t="s">
        <v>7</v>
      </c>
      <c r="Q102" s="46" t="s">
        <v>8</v>
      </c>
      <c r="R102" s="46" t="s">
        <v>9</v>
      </c>
    </row>
    <row r="103" spans="1:18">
      <c r="A103" s="33" t="s">
        <v>23</v>
      </c>
      <c r="B103" s="127" t="s">
        <v>347</v>
      </c>
      <c r="C103" s="31"/>
      <c r="D103" s="31"/>
      <c r="E103" s="31"/>
      <c r="F103" s="31"/>
      <c r="G103" s="31"/>
      <c r="H103" s="31"/>
      <c r="I103" s="31"/>
      <c r="J103" s="31"/>
      <c r="K103" s="31"/>
      <c r="L103" s="31"/>
      <c r="M103" s="31"/>
      <c r="N103" s="31"/>
      <c r="O103" s="31"/>
      <c r="P103" s="31"/>
      <c r="Q103" s="31"/>
      <c r="R103" s="32"/>
    </row>
    <row r="104" spans="1:18">
      <c r="A104" s="34">
        <f>A79+1</f>
        <v>5</v>
      </c>
      <c r="B104" s="713" t="s">
        <v>346</v>
      </c>
      <c r="C104" s="66">
        <v>0.9</v>
      </c>
      <c r="D104" s="4"/>
      <c r="E104" s="6"/>
      <c r="F104" s="29"/>
      <c r="G104" s="26"/>
      <c r="H104" s="26"/>
      <c r="I104" s="6"/>
      <c r="J104" s="6"/>
      <c r="K104" s="29"/>
      <c r="L104" s="26"/>
      <c r="M104" s="26"/>
      <c r="N104" s="6"/>
      <c r="O104" s="6"/>
      <c r="P104" s="29"/>
      <c r="Q104" s="26"/>
      <c r="R104" s="26"/>
    </row>
    <row r="105" spans="1:18">
      <c r="A105" s="2"/>
      <c r="B105" s="714"/>
      <c r="C105" s="124" t="s">
        <v>11</v>
      </c>
      <c r="D105" s="4" t="s">
        <v>96</v>
      </c>
      <c r="E105" s="6" t="s">
        <v>81</v>
      </c>
      <c r="F105" s="29">
        <v>0.28000000000000003</v>
      </c>
      <c r="G105" s="26">
        <f>sr</f>
        <v>1100</v>
      </c>
      <c r="H105" s="26">
        <f>F105*G105</f>
        <v>308.00000000000006</v>
      </c>
      <c r="I105" s="7" t="s">
        <v>334</v>
      </c>
      <c r="J105" s="8" t="s">
        <v>335</v>
      </c>
      <c r="K105" s="29">
        <v>19.75</v>
      </c>
      <c r="L105" s="28">
        <f>gabion_10/1000</f>
        <v>114.46419</v>
      </c>
      <c r="M105" s="26">
        <f>K105*L105</f>
        <v>2260.6677525</v>
      </c>
      <c r="N105" s="8"/>
      <c r="O105" s="6"/>
      <c r="P105" s="29"/>
      <c r="Q105" s="28"/>
      <c r="R105" s="26"/>
    </row>
    <row r="106" spans="1:18">
      <c r="A106" s="2"/>
      <c r="B106" s="714"/>
      <c r="C106" s="6"/>
      <c r="D106" s="4" t="s">
        <v>97</v>
      </c>
      <c r="E106" s="6" t="s">
        <v>81</v>
      </c>
      <c r="F106" s="29">
        <v>0.12</v>
      </c>
      <c r="G106" s="26">
        <f>ur</f>
        <v>850</v>
      </c>
      <c r="H106" s="26">
        <f>F106*G106</f>
        <v>102</v>
      </c>
      <c r="I106" s="7" t="s">
        <v>336</v>
      </c>
      <c r="J106" s="8" t="s">
        <v>335</v>
      </c>
      <c r="K106" s="29">
        <v>3.49</v>
      </c>
      <c r="L106" s="28">
        <f>gabion_9/1000</f>
        <v>112.30419000000001</v>
      </c>
      <c r="M106" s="26">
        <f>K106*L106</f>
        <v>391.94162310000002</v>
      </c>
      <c r="N106" s="8"/>
      <c r="O106" s="6"/>
      <c r="P106" s="29"/>
      <c r="Q106" s="28"/>
      <c r="R106" s="26"/>
    </row>
    <row r="107" spans="1:18">
      <c r="A107" s="2"/>
      <c r="B107" s="714"/>
      <c r="C107" s="6"/>
      <c r="D107" s="4"/>
      <c r="E107" s="6"/>
      <c r="F107" s="29"/>
      <c r="G107" s="26"/>
      <c r="H107" s="26"/>
      <c r="I107" s="7"/>
      <c r="J107" s="8"/>
      <c r="K107" s="29"/>
      <c r="L107" s="28"/>
      <c r="M107" s="26"/>
      <c r="N107" s="8"/>
      <c r="O107" s="6"/>
      <c r="P107" s="29"/>
      <c r="Q107" s="28"/>
      <c r="R107" s="26"/>
    </row>
    <row r="108" spans="1:18">
      <c r="A108" s="2"/>
      <c r="B108" s="714"/>
      <c r="C108" s="6"/>
      <c r="D108" s="4" t="s">
        <v>97</v>
      </c>
      <c r="E108" s="6" t="s">
        <v>81</v>
      </c>
      <c r="F108" s="29">
        <v>0.67</v>
      </c>
      <c r="G108" s="26">
        <f>ur</f>
        <v>850</v>
      </c>
      <c r="H108" s="26">
        <f>F108*G108</f>
        <v>569.5</v>
      </c>
      <c r="I108" s="7" t="s">
        <v>337</v>
      </c>
      <c r="J108" s="8" t="s">
        <v>335</v>
      </c>
      <c r="K108" s="29">
        <v>0.79</v>
      </c>
      <c r="L108" s="28">
        <f>gabion_12/1000</f>
        <v>117.71419</v>
      </c>
      <c r="M108" s="26">
        <f>K108*L108</f>
        <v>92.994210100000004</v>
      </c>
      <c r="N108" s="8"/>
      <c r="O108" s="6"/>
      <c r="P108" s="29"/>
      <c r="Q108" s="28"/>
      <c r="R108" s="26"/>
    </row>
    <row r="109" spans="1:18">
      <c r="A109" s="2"/>
      <c r="B109" s="714"/>
      <c r="C109" s="6"/>
      <c r="D109" s="4"/>
      <c r="E109" s="6"/>
      <c r="F109" s="29"/>
      <c r="G109" s="26"/>
      <c r="H109" s="26"/>
      <c r="I109" s="7"/>
      <c r="J109" s="8"/>
      <c r="K109" s="29"/>
      <c r="L109" s="28"/>
      <c r="M109" s="26"/>
      <c r="N109" s="8"/>
      <c r="O109" s="6"/>
      <c r="P109" s="29"/>
      <c r="Q109" s="28"/>
      <c r="R109" s="26"/>
    </row>
    <row r="110" spans="1:18">
      <c r="A110" s="2"/>
      <c r="B110" s="714"/>
      <c r="C110" s="6"/>
      <c r="D110" s="4" t="s">
        <v>96</v>
      </c>
      <c r="E110" s="6" t="s">
        <v>81</v>
      </c>
      <c r="F110" s="29">
        <v>0.22500000000000001</v>
      </c>
      <c r="G110" s="26">
        <f>sr</f>
        <v>1100</v>
      </c>
      <c r="H110" s="26">
        <f>F110*G110</f>
        <v>247.5</v>
      </c>
      <c r="I110" s="7" t="s">
        <v>338</v>
      </c>
      <c r="J110" s="8" t="s">
        <v>11</v>
      </c>
      <c r="K110" s="29">
        <v>0.9</v>
      </c>
      <c r="L110" s="28">
        <f>Block_Stone</f>
        <v>1350</v>
      </c>
      <c r="M110" s="26">
        <f>K110*L110</f>
        <v>1215</v>
      </c>
      <c r="N110" s="8"/>
      <c r="O110" s="6"/>
      <c r="P110" s="29"/>
      <c r="Q110" s="28"/>
      <c r="R110" s="26"/>
    </row>
    <row r="111" spans="1:18">
      <c r="A111" s="2"/>
      <c r="B111" s="714"/>
      <c r="C111" s="6"/>
      <c r="D111" s="4" t="s">
        <v>97</v>
      </c>
      <c r="E111" s="6" t="s">
        <v>81</v>
      </c>
      <c r="F111" s="29">
        <v>0.67500000000000004</v>
      </c>
      <c r="G111" s="26">
        <f>ur</f>
        <v>850</v>
      </c>
      <c r="H111" s="26">
        <f>F111*G111</f>
        <v>573.75</v>
      </c>
      <c r="I111" s="7" t="s">
        <v>339</v>
      </c>
      <c r="J111" s="8" t="s">
        <v>11</v>
      </c>
      <c r="K111" s="29">
        <v>0.09</v>
      </c>
      <c r="L111" s="28">
        <f>Bond_Stone</f>
        <v>1450</v>
      </c>
      <c r="M111" s="26">
        <f>K111*L111</f>
        <v>130.5</v>
      </c>
      <c r="N111" s="8"/>
      <c r="O111" s="6"/>
      <c r="P111" s="29"/>
      <c r="Q111" s="28"/>
      <c r="R111" s="26"/>
    </row>
    <row r="112" spans="1:18">
      <c r="A112" s="2"/>
      <c r="B112" s="714"/>
      <c r="C112" s="6"/>
      <c r="D112" s="4"/>
      <c r="E112" s="6"/>
      <c r="F112" s="29"/>
      <c r="G112" s="26"/>
      <c r="H112" s="26"/>
      <c r="I112" s="7"/>
      <c r="J112" s="8"/>
      <c r="K112" s="29"/>
      <c r="L112" s="28"/>
      <c r="M112" s="26"/>
      <c r="N112" s="8"/>
      <c r="O112" s="6"/>
      <c r="P112" s="29"/>
      <c r="Q112" s="28"/>
      <c r="R112" s="26"/>
    </row>
    <row r="113" spans="1:18">
      <c r="A113" s="2"/>
      <c r="B113" s="714"/>
      <c r="C113" s="6"/>
      <c r="D113" s="4"/>
      <c r="E113" s="6"/>
      <c r="F113" s="29"/>
      <c r="G113" s="26"/>
      <c r="H113" s="26"/>
      <c r="I113" s="7"/>
      <c r="J113" s="8"/>
      <c r="K113" s="29"/>
      <c r="L113" s="28"/>
      <c r="M113" s="26"/>
      <c r="N113" s="8"/>
      <c r="O113" s="6"/>
      <c r="P113" s="29"/>
      <c r="Q113" s="28"/>
      <c r="R113" s="26"/>
    </row>
    <row r="114" spans="1:18">
      <c r="A114" s="2"/>
      <c r="B114" s="5"/>
      <c r="C114" s="6"/>
      <c r="D114" s="4"/>
      <c r="E114" s="9"/>
      <c r="F114" s="30"/>
      <c r="G114" s="27"/>
      <c r="H114" s="27"/>
      <c r="I114" s="9"/>
      <c r="J114" s="10"/>
      <c r="K114" s="30"/>
      <c r="L114" s="28"/>
      <c r="M114" s="28"/>
      <c r="N114" s="8"/>
      <c r="O114" s="6"/>
      <c r="P114" s="30"/>
      <c r="Q114" s="28"/>
      <c r="R114" s="28"/>
    </row>
    <row r="115" spans="1:18">
      <c r="A115" s="2"/>
      <c r="B115" s="11"/>
      <c r="C115" s="6"/>
      <c r="D115" s="12"/>
      <c r="E115" s="59"/>
      <c r="F115" s="13"/>
      <c r="G115" s="13" t="s">
        <v>20</v>
      </c>
      <c r="H115" s="25">
        <f>SUM(H104:H114)</f>
        <v>1800.75</v>
      </c>
      <c r="I115" s="703"/>
      <c r="J115" s="703"/>
      <c r="K115" s="14"/>
      <c r="L115" s="13" t="s">
        <v>21</v>
      </c>
      <c r="M115" s="25">
        <f>SUM(M104:M114)</f>
        <v>4091.1035857000002</v>
      </c>
      <c r="N115" s="3"/>
      <c r="O115" s="14"/>
      <c r="P115" s="14"/>
      <c r="Q115" s="13" t="s">
        <v>22</v>
      </c>
      <c r="R115" s="25">
        <f>SUM(R104:R114)</f>
        <v>0</v>
      </c>
    </row>
    <row r="116" spans="1:18">
      <c r="A116" s="2"/>
      <c r="B116" s="16" t="s">
        <v>13</v>
      </c>
      <c r="C116" s="14"/>
      <c r="D116" s="14"/>
      <c r="E116" s="14"/>
      <c r="F116" s="14"/>
      <c r="G116" s="13"/>
      <c r="H116" s="35">
        <f>M115+R115+H115</f>
        <v>5891.8535857000006</v>
      </c>
      <c r="I116" s="17"/>
      <c r="J116" s="14"/>
      <c r="K116" s="14"/>
      <c r="L116" s="13"/>
      <c r="M116" s="15"/>
      <c r="N116" s="14"/>
      <c r="O116" s="14"/>
      <c r="P116" s="14"/>
      <c r="Q116" s="14"/>
      <c r="R116" s="17"/>
    </row>
    <row r="117" spans="1:18">
      <c r="A117" s="2"/>
      <c r="B117" s="11" t="s">
        <v>25</v>
      </c>
      <c r="C117" s="4"/>
      <c r="D117" s="4"/>
      <c r="E117" s="4"/>
      <c r="F117" s="4"/>
      <c r="G117" s="18"/>
      <c r="H117" s="36">
        <v>0</v>
      </c>
      <c r="I117" s="20"/>
      <c r="J117" s="4" t="s">
        <v>26</v>
      </c>
      <c r="K117" s="4"/>
      <c r="L117" s="18"/>
      <c r="M117" s="19"/>
      <c r="N117" s="4"/>
      <c r="O117" s="4"/>
      <c r="P117" s="4"/>
      <c r="Q117" s="4"/>
      <c r="R117" s="20"/>
    </row>
    <row r="118" spans="1:18">
      <c r="A118" s="23"/>
      <c r="B118" s="11" t="s">
        <v>14</v>
      </c>
      <c r="C118" s="4"/>
      <c r="D118" s="4"/>
      <c r="E118" s="4"/>
      <c r="F118" s="4"/>
      <c r="G118" s="18"/>
      <c r="H118" s="36">
        <f>SUM(H116:H117)</f>
        <v>5891.8535857000006</v>
      </c>
      <c r="I118" s="20"/>
      <c r="J118" s="741"/>
      <c r="K118" s="742"/>
      <c r="L118" s="742"/>
      <c r="M118" s="742"/>
      <c r="N118" s="742"/>
      <c r="O118" s="742"/>
      <c r="P118" s="742"/>
      <c r="Q118" s="742"/>
      <c r="R118" s="743"/>
    </row>
    <row r="119" spans="1:18">
      <c r="A119" s="23"/>
      <c r="B119" s="11" t="s">
        <v>24</v>
      </c>
      <c r="C119" s="4"/>
      <c r="D119" s="4"/>
      <c r="E119" s="4"/>
      <c r="F119" s="4"/>
      <c r="G119" s="18"/>
      <c r="H119" s="36">
        <f>H118*15%</f>
        <v>883.77803785500009</v>
      </c>
      <c r="I119" s="20"/>
      <c r="J119" s="744"/>
      <c r="K119" s="745"/>
      <c r="L119" s="745"/>
      <c r="M119" s="745"/>
      <c r="N119" s="745"/>
      <c r="O119" s="745"/>
      <c r="P119" s="745"/>
      <c r="Q119" s="745"/>
      <c r="R119" s="746"/>
    </row>
    <row r="120" spans="1:18">
      <c r="A120" s="23"/>
      <c r="B120" s="11" t="s">
        <v>15</v>
      </c>
      <c r="C120" s="4"/>
      <c r="D120" s="4"/>
      <c r="E120" s="4"/>
      <c r="F120" s="4"/>
      <c r="G120" s="21" t="s">
        <v>16</v>
      </c>
      <c r="H120" s="37">
        <f>H119+H118</f>
        <v>6775.6316235550003</v>
      </c>
      <c r="I120" s="38" t="str">
        <f>CONCATENATE("per ",C104, C105)</f>
        <v>per 0.9cum</v>
      </c>
      <c r="J120" s="744"/>
      <c r="K120" s="745"/>
      <c r="L120" s="745"/>
      <c r="M120" s="745"/>
      <c r="N120" s="745"/>
      <c r="O120" s="745"/>
      <c r="P120" s="745"/>
      <c r="Q120" s="745"/>
      <c r="R120" s="746"/>
    </row>
    <row r="121" spans="1:18">
      <c r="A121" s="23"/>
      <c r="B121" s="11"/>
      <c r="C121" s="4"/>
      <c r="D121" s="4"/>
      <c r="E121" s="4"/>
      <c r="F121" s="4"/>
      <c r="G121" s="21" t="s">
        <v>16</v>
      </c>
      <c r="H121" s="37">
        <f>H120/C104</f>
        <v>7528.4795817277782</v>
      </c>
      <c r="I121" s="38" t="str">
        <f>CONCATENATE("per ",C105)</f>
        <v>per cum</v>
      </c>
      <c r="J121" s="744"/>
      <c r="K121" s="745"/>
      <c r="L121" s="745"/>
      <c r="M121" s="745"/>
      <c r="N121" s="745"/>
      <c r="O121" s="745"/>
      <c r="P121" s="745"/>
      <c r="Q121" s="745"/>
      <c r="R121" s="746"/>
    </row>
    <row r="122" spans="1:18">
      <c r="A122" s="23"/>
      <c r="B122" s="11" t="s">
        <v>18</v>
      </c>
      <c r="C122" s="4" t="s">
        <v>19</v>
      </c>
      <c r="D122" s="4"/>
      <c r="E122" s="4"/>
      <c r="F122" s="4"/>
      <c r="G122" s="21" t="s">
        <v>16</v>
      </c>
      <c r="H122" s="37">
        <f>CEILING(H121,0.5)</f>
        <v>7528.5</v>
      </c>
      <c r="I122" s="38" t="str">
        <f>CONCATENATE("per ",C105)</f>
        <v>per cum</v>
      </c>
      <c r="J122" s="744"/>
      <c r="K122" s="745"/>
      <c r="L122" s="745"/>
      <c r="M122" s="745"/>
      <c r="N122" s="745"/>
      <c r="O122" s="745"/>
      <c r="P122" s="745"/>
      <c r="Q122" s="745"/>
      <c r="R122" s="746"/>
    </row>
    <row r="123" spans="1:18">
      <c r="A123" s="23"/>
      <c r="B123" s="11"/>
      <c r="C123" s="4"/>
      <c r="D123" s="4"/>
      <c r="E123" s="4"/>
      <c r="F123" s="4"/>
      <c r="G123" s="24" t="s">
        <v>17</v>
      </c>
      <c r="H123" s="37">
        <f>H122/exr</f>
        <v>57.911538461538463</v>
      </c>
      <c r="I123" s="38" t="str">
        <f>CONCATENATE("per ",C105)</f>
        <v>per cum</v>
      </c>
      <c r="J123" s="747"/>
      <c r="K123" s="748"/>
      <c r="L123" s="748"/>
      <c r="M123" s="748"/>
      <c r="N123" s="748"/>
      <c r="O123" s="748"/>
      <c r="P123" s="748"/>
      <c r="Q123" s="748"/>
      <c r="R123" s="749"/>
    </row>
    <row r="124" spans="1:18">
      <c r="A124" s="39"/>
      <c r="B124" s="40"/>
      <c r="C124" s="41"/>
      <c r="D124" s="41"/>
      <c r="E124" s="41"/>
      <c r="F124" s="41"/>
      <c r="G124" s="149" t="s">
        <v>460</v>
      </c>
      <c r="H124" s="150">
        <f>CEILING(SUM(M105,M106,M108)/H116,0.0025)</f>
        <v>0.46750000000000003</v>
      </c>
      <c r="I124" s="42"/>
      <c r="J124" s="43"/>
      <c r="K124" s="43"/>
      <c r="L124" s="43"/>
      <c r="M124" s="43"/>
      <c r="N124" s="43"/>
      <c r="O124" s="43"/>
      <c r="P124" s="43"/>
      <c r="Q124" s="43"/>
      <c r="R124" s="44"/>
    </row>
  </sheetData>
  <mergeCells count="45">
    <mergeCell ref="N101:R101"/>
    <mergeCell ref="B79:B88"/>
    <mergeCell ref="I76:M76"/>
    <mergeCell ref="I115:J115"/>
    <mergeCell ref="J118:R123"/>
    <mergeCell ref="N76:R76"/>
    <mergeCell ref="B104:B113"/>
    <mergeCell ref="N26:R26"/>
    <mergeCell ref="I90:J90"/>
    <mergeCell ref="J93:R98"/>
    <mergeCell ref="B29:B38"/>
    <mergeCell ref="J43:R48"/>
    <mergeCell ref="I40:J40"/>
    <mergeCell ref="B51:B52"/>
    <mergeCell ref="C51:C52"/>
    <mergeCell ref="D51:H51"/>
    <mergeCell ref="I51:M51"/>
    <mergeCell ref="B54:B63"/>
    <mergeCell ref="I65:J65"/>
    <mergeCell ref="J68:R73"/>
    <mergeCell ref="N51:R51"/>
    <mergeCell ref="A26:A27"/>
    <mergeCell ref="B26:B27"/>
    <mergeCell ref="C26:C27"/>
    <mergeCell ref="D26:H26"/>
    <mergeCell ref="I26:M26"/>
    <mergeCell ref="A76:A77"/>
    <mergeCell ref="B76:B77"/>
    <mergeCell ref="C76:C77"/>
    <mergeCell ref="D76:H76"/>
    <mergeCell ref="A51:A52"/>
    <mergeCell ref="A101:A102"/>
    <mergeCell ref="B101:B102"/>
    <mergeCell ref="C101:C102"/>
    <mergeCell ref="D101:H101"/>
    <mergeCell ref="I101:M101"/>
    <mergeCell ref="B4:B13"/>
    <mergeCell ref="I15:J15"/>
    <mergeCell ref="J18:R23"/>
    <mergeCell ref="A1:A2"/>
    <mergeCell ref="B1:B2"/>
    <mergeCell ref="C1:C2"/>
    <mergeCell ref="D1:H1"/>
    <mergeCell ref="I1:M1"/>
    <mergeCell ref="N1:R1"/>
  </mergeCells>
  <printOptions horizontalCentered="1"/>
  <pageMargins left="0.7" right="0.7" top="0.75" bottom="0.75" header="0.3" footer="0.3"/>
  <pageSetup paperSize="9" scale="64"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1" manualBreakCount="1">
    <brk id="4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20"/>
  <sheetViews>
    <sheetView workbookViewId="0">
      <selection sqref="A1:A2"/>
    </sheetView>
  </sheetViews>
  <sheetFormatPr defaultColWidth="9.140625" defaultRowHeight="15.75"/>
  <cols>
    <col min="1" max="1" width="10.7109375" style="1" customWidth="1"/>
    <col min="2" max="2" width="33" style="1" customWidth="1"/>
    <col min="3" max="3" width="5.28515625" style="1" customWidth="1"/>
    <col min="4" max="4" width="9.140625" style="1"/>
    <col min="5" max="5" width="5.28515625" style="1" customWidth="1"/>
    <col min="6" max="7" width="9.140625" style="1"/>
    <col min="8" max="8" width="10.7109375" style="1" customWidth="1"/>
    <col min="9" max="9" width="20.140625" style="1" customWidth="1"/>
    <col min="10" max="10" width="5.28515625" style="1" customWidth="1"/>
    <col min="11" max="12" width="9.140625" style="1"/>
    <col min="13" max="13" width="10.7109375" style="1" customWidth="1"/>
    <col min="14" max="14" width="17.5703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759"/>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127">
        <v>27.04</v>
      </c>
      <c r="C3" s="31"/>
      <c r="D3" s="31"/>
      <c r="E3" s="31"/>
      <c r="F3" s="31"/>
      <c r="G3" s="31"/>
      <c r="H3" s="31"/>
      <c r="I3" s="31"/>
      <c r="J3" s="31"/>
      <c r="K3" s="31"/>
      <c r="L3" s="31"/>
      <c r="M3" s="31"/>
      <c r="N3" s="31"/>
      <c r="O3" s="31"/>
      <c r="P3" s="31"/>
      <c r="Q3" s="31"/>
      <c r="R3" s="32"/>
    </row>
    <row r="4" spans="1:18" ht="15.75" customHeight="1">
      <c r="A4" s="34">
        <v>1</v>
      </c>
      <c r="B4" s="713" t="s">
        <v>350</v>
      </c>
      <c r="C4" s="66">
        <v>100</v>
      </c>
      <c r="D4" s="4"/>
      <c r="E4" s="6"/>
      <c r="F4" s="29"/>
      <c r="G4" s="26"/>
      <c r="H4" s="26"/>
      <c r="I4" s="6"/>
      <c r="J4" s="6"/>
      <c r="K4" s="29"/>
      <c r="L4" s="26"/>
      <c r="M4" s="26"/>
      <c r="N4" s="6"/>
      <c r="O4" s="6"/>
      <c r="P4" s="29"/>
      <c r="Q4" s="26"/>
      <c r="R4" s="26"/>
    </row>
    <row r="5" spans="1:18">
      <c r="A5" s="2"/>
      <c r="B5" s="714"/>
      <c r="C5" s="124" t="s">
        <v>28</v>
      </c>
      <c r="D5" s="4" t="s">
        <v>97</v>
      </c>
      <c r="E5" s="6" t="s">
        <v>81</v>
      </c>
      <c r="F5" s="29">
        <v>0.13</v>
      </c>
      <c r="G5" s="26">
        <f>ur</f>
        <v>850</v>
      </c>
      <c r="H5" s="26">
        <f>F5*G5</f>
        <v>110.5</v>
      </c>
      <c r="I5" s="7" t="s">
        <v>67</v>
      </c>
      <c r="J5" s="8" t="s">
        <v>250</v>
      </c>
      <c r="K5" s="29">
        <v>8</v>
      </c>
      <c r="L5" s="28">
        <f>diesel</f>
        <v>177.6</v>
      </c>
      <c r="M5" s="26">
        <f>K5*L5</f>
        <v>1420.8</v>
      </c>
      <c r="N5" s="8" t="s">
        <v>351</v>
      </c>
      <c r="O5" s="6" t="s">
        <v>101</v>
      </c>
      <c r="P5" s="29">
        <v>0.8</v>
      </c>
      <c r="Q5" s="28">
        <f>mixer</f>
        <v>216.32</v>
      </c>
      <c r="R5" s="26">
        <f>P5*Q5</f>
        <v>173.05600000000001</v>
      </c>
    </row>
    <row r="6" spans="1:18">
      <c r="A6" s="2"/>
      <c r="B6" s="714"/>
      <c r="C6" s="6"/>
      <c r="D6" s="4" t="s">
        <v>77</v>
      </c>
      <c r="E6" s="6" t="s">
        <v>81</v>
      </c>
      <c r="F6" s="29">
        <v>0.26</v>
      </c>
      <c r="G6" s="26">
        <f>or</f>
        <v>1840</v>
      </c>
      <c r="H6" s="26">
        <f>F6*G6</f>
        <v>478.40000000000003</v>
      </c>
      <c r="I6" s="7" t="s">
        <v>31</v>
      </c>
      <c r="J6" s="8" t="s">
        <v>335</v>
      </c>
      <c r="K6" s="29">
        <v>100</v>
      </c>
      <c r="L6" s="28">
        <f>cement/1000</f>
        <v>24.049689999999998</v>
      </c>
      <c r="M6" s="26">
        <f>K6*L6</f>
        <v>2404.9690000000001</v>
      </c>
      <c r="N6" s="8" t="s">
        <v>352</v>
      </c>
      <c r="O6" s="6" t="s">
        <v>101</v>
      </c>
      <c r="P6" s="29">
        <v>0.6</v>
      </c>
      <c r="Q6" s="28">
        <f>grout_pump</f>
        <v>540.79999999999995</v>
      </c>
      <c r="R6" s="26">
        <f>P6*Q6</f>
        <v>324.47999999999996</v>
      </c>
    </row>
    <row r="7" spans="1:18">
      <c r="A7" s="2"/>
      <c r="B7" s="126"/>
      <c r="C7" s="6"/>
      <c r="D7" s="4"/>
      <c r="E7" s="6"/>
      <c r="F7" s="29"/>
      <c r="G7" s="26"/>
      <c r="H7" s="26"/>
      <c r="I7" s="7"/>
      <c r="J7" s="8"/>
      <c r="K7" s="29"/>
      <c r="L7" s="28"/>
      <c r="M7" s="26"/>
      <c r="N7" s="8" t="s">
        <v>353</v>
      </c>
      <c r="O7" s="6"/>
      <c r="P7" s="29"/>
      <c r="Q7" s="28"/>
      <c r="R7" s="26"/>
    </row>
    <row r="8" spans="1:18">
      <c r="A8" s="2"/>
      <c r="B8" s="126"/>
      <c r="C8" s="6"/>
      <c r="D8" s="4"/>
      <c r="E8" s="6"/>
      <c r="F8" s="29"/>
      <c r="G8" s="26"/>
      <c r="H8" s="26"/>
      <c r="I8" s="7"/>
      <c r="J8" s="8"/>
      <c r="K8" s="29"/>
      <c r="L8" s="28"/>
      <c r="M8" s="26"/>
      <c r="N8" s="8"/>
      <c r="O8" s="6"/>
      <c r="P8" s="29"/>
      <c r="Q8" s="28"/>
      <c r="R8" s="26"/>
    </row>
    <row r="9" spans="1:18">
      <c r="A9" s="2"/>
      <c r="B9" s="5"/>
      <c r="C9" s="6"/>
      <c r="D9" s="4"/>
      <c r="E9" s="9"/>
      <c r="F9" s="30"/>
      <c r="G9" s="27"/>
      <c r="H9" s="27"/>
      <c r="I9" s="9"/>
      <c r="J9" s="10"/>
      <c r="K9" s="30"/>
      <c r="L9" s="28"/>
      <c r="M9" s="28"/>
      <c r="N9" s="8"/>
      <c r="O9" s="6"/>
      <c r="P9" s="30"/>
      <c r="Q9" s="28"/>
      <c r="R9" s="28"/>
    </row>
    <row r="10" spans="1:18">
      <c r="A10" s="2"/>
      <c r="B10" s="11"/>
      <c r="C10" s="6"/>
      <c r="D10" s="12"/>
      <c r="E10" s="59"/>
      <c r="F10" s="13"/>
      <c r="G10" s="13" t="s">
        <v>20</v>
      </c>
      <c r="H10" s="25">
        <f>SUM(H4:H9)</f>
        <v>588.90000000000009</v>
      </c>
      <c r="I10" s="703"/>
      <c r="J10" s="703"/>
      <c r="K10" s="14"/>
      <c r="L10" s="13" t="s">
        <v>21</v>
      </c>
      <c r="M10" s="25">
        <f>SUM(M4:M9)</f>
        <v>3825.7690000000002</v>
      </c>
      <c r="N10" s="3"/>
      <c r="O10" s="14"/>
      <c r="P10" s="14"/>
      <c r="Q10" s="13" t="s">
        <v>22</v>
      </c>
      <c r="R10" s="25">
        <f>SUM(R4:R9)</f>
        <v>497.53599999999994</v>
      </c>
    </row>
    <row r="11" spans="1:18">
      <c r="A11" s="2"/>
      <c r="B11" s="16" t="s">
        <v>13</v>
      </c>
      <c r="C11" s="14"/>
      <c r="D11" s="14"/>
      <c r="E11" s="14"/>
      <c r="F11" s="14"/>
      <c r="G11" s="13"/>
      <c r="H11" s="35">
        <f>M10+R10+H10</f>
        <v>4912.2049999999999</v>
      </c>
      <c r="I11" s="17"/>
      <c r="J11" s="14"/>
      <c r="K11" s="14"/>
      <c r="L11" s="13"/>
      <c r="M11" s="15"/>
      <c r="N11" s="14"/>
      <c r="O11" s="14"/>
      <c r="P11" s="14"/>
      <c r="Q11" s="14"/>
      <c r="R11" s="17"/>
    </row>
    <row r="12" spans="1:18">
      <c r="A12" s="2"/>
      <c r="B12" s="11" t="s">
        <v>25</v>
      </c>
      <c r="C12" s="4"/>
      <c r="D12" s="4"/>
      <c r="E12" s="4"/>
      <c r="F12" s="4"/>
      <c r="G12" s="18"/>
      <c r="H12" s="36">
        <v>0</v>
      </c>
      <c r="I12" s="20"/>
      <c r="J12" s="4" t="s">
        <v>26</v>
      </c>
      <c r="K12" s="4"/>
      <c r="L12" s="18"/>
      <c r="M12" s="19"/>
      <c r="N12" s="4"/>
      <c r="O12" s="4"/>
      <c r="P12" s="4"/>
      <c r="Q12" s="4"/>
      <c r="R12" s="20"/>
    </row>
    <row r="13" spans="1:18">
      <c r="A13" s="23"/>
      <c r="B13" s="11" t="s">
        <v>14</v>
      </c>
      <c r="C13" s="4"/>
      <c r="D13" s="4"/>
      <c r="E13" s="4"/>
      <c r="F13" s="4"/>
      <c r="G13" s="18"/>
      <c r="H13" s="36">
        <f>SUM(H11:H12)</f>
        <v>4912.2049999999999</v>
      </c>
      <c r="I13" s="20"/>
      <c r="J13" s="741"/>
      <c r="K13" s="742"/>
      <c r="L13" s="742"/>
      <c r="M13" s="742"/>
      <c r="N13" s="742"/>
      <c r="O13" s="742"/>
      <c r="P13" s="742"/>
      <c r="Q13" s="742"/>
      <c r="R13" s="743"/>
    </row>
    <row r="14" spans="1:18">
      <c r="A14" s="23"/>
      <c r="B14" s="11" t="s">
        <v>24</v>
      </c>
      <c r="C14" s="4"/>
      <c r="D14" s="4"/>
      <c r="E14" s="4"/>
      <c r="F14" s="4"/>
      <c r="G14" s="18"/>
      <c r="H14" s="36">
        <f>H13*15%</f>
        <v>736.83074999999997</v>
      </c>
      <c r="I14" s="20"/>
      <c r="J14" s="744"/>
      <c r="K14" s="745"/>
      <c r="L14" s="745"/>
      <c r="M14" s="745"/>
      <c r="N14" s="745"/>
      <c r="O14" s="745"/>
      <c r="P14" s="745"/>
      <c r="Q14" s="745"/>
      <c r="R14" s="746"/>
    </row>
    <row r="15" spans="1:18">
      <c r="A15" s="23"/>
      <c r="B15" s="11" t="s">
        <v>15</v>
      </c>
      <c r="C15" s="4"/>
      <c r="D15" s="4"/>
      <c r="E15" s="4"/>
      <c r="F15" s="4"/>
      <c r="G15" s="21" t="s">
        <v>16</v>
      </c>
      <c r="H15" s="37">
        <f>H14+H13</f>
        <v>5649.03575</v>
      </c>
      <c r="I15" s="38" t="str">
        <f>CONCATENATE("per ",C4, C5)</f>
        <v>per 100kg</v>
      </c>
      <c r="J15" s="744"/>
      <c r="K15" s="745"/>
      <c r="L15" s="745"/>
      <c r="M15" s="745"/>
      <c r="N15" s="745"/>
      <c r="O15" s="745"/>
      <c r="P15" s="745"/>
      <c r="Q15" s="745"/>
      <c r="R15" s="746"/>
    </row>
    <row r="16" spans="1:18">
      <c r="A16" s="23"/>
      <c r="B16" s="11"/>
      <c r="C16" s="4"/>
      <c r="D16" s="4"/>
      <c r="E16" s="4"/>
      <c r="F16" s="4"/>
      <c r="G16" s="21" t="s">
        <v>16</v>
      </c>
      <c r="H16" s="37">
        <f>H15/C4</f>
        <v>56.490357500000002</v>
      </c>
      <c r="I16" s="38" t="str">
        <f>CONCATENATE("per ",C5)</f>
        <v>per kg</v>
      </c>
      <c r="J16" s="744"/>
      <c r="K16" s="745"/>
      <c r="L16" s="745"/>
      <c r="M16" s="745"/>
      <c r="N16" s="745"/>
      <c r="O16" s="745"/>
      <c r="P16" s="745"/>
      <c r="Q16" s="745"/>
      <c r="R16" s="746"/>
    </row>
    <row r="17" spans="1:18">
      <c r="A17" s="23"/>
      <c r="B17" s="11" t="s">
        <v>18</v>
      </c>
      <c r="C17" s="4" t="s">
        <v>19</v>
      </c>
      <c r="D17" s="4"/>
      <c r="E17" s="4"/>
      <c r="F17" s="4"/>
      <c r="G17" s="21" t="s">
        <v>16</v>
      </c>
      <c r="H17" s="37">
        <f>CEILING(H16,0.5)</f>
        <v>56.5</v>
      </c>
      <c r="I17" s="38" t="str">
        <f>CONCATENATE("per ",C5)</f>
        <v>per kg</v>
      </c>
      <c r="J17" s="744"/>
      <c r="K17" s="745"/>
      <c r="L17" s="745"/>
      <c r="M17" s="745"/>
      <c r="N17" s="745"/>
      <c r="O17" s="745"/>
      <c r="P17" s="745"/>
      <c r="Q17" s="745"/>
      <c r="R17" s="746"/>
    </row>
    <row r="18" spans="1:18">
      <c r="A18" s="23"/>
      <c r="B18" s="11"/>
      <c r="C18" s="4"/>
      <c r="D18" s="4"/>
      <c r="E18" s="4"/>
      <c r="F18" s="4"/>
      <c r="G18" s="24" t="s">
        <v>17</v>
      </c>
      <c r="H18" s="37">
        <f>H17/exr</f>
        <v>0.43461538461538463</v>
      </c>
      <c r="I18" s="38" t="str">
        <f>CONCATENATE("per ",C5)</f>
        <v>per kg</v>
      </c>
      <c r="J18" s="747"/>
      <c r="K18" s="748"/>
      <c r="L18" s="748"/>
      <c r="M18" s="748"/>
      <c r="N18" s="748"/>
      <c r="O18" s="748"/>
      <c r="P18" s="748"/>
      <c r="Q18" s="748"/>
      <c r="R18" s="749"/>
    </row>
    <row r="19" spans="1:18">
      <c r="A19" s="39"/>
      <c r="B19" s="40"/>
      <c r="C19" s="41"/>
      <c r="D19" s="41"/>
      <c r="E19" s="41"/>
      <c r="F19" s="41"/>
      <c r="G19" s="149" t="s">
        <v>460</v>
      </c>
      <c r="H19" s="150">
        <f>CEILING(SUM(M5,M6,R5,R6)/H11,0.0025)</f>
        <v>0.88250000000000006</v>
      </c>
      <c r="I19" s="42"/>
      <c r="J19" s="43"/>
      <c r="K19" s="43"/>
      <c r="L19" s="43"/>
      <c r="M19" s="43"/>
      <c r="N19" s="43"/>
      <c r="O19" s="43"/>
      <c r="P19" s="43"/>
      <c r="Q19" s="43"/>
      <c r="R19" s="44"/>
    </row>
    <row r="20" spans="1:18">
      <c r="A20" s="22"/>
      <c r="B20" s="22"/>
      <c r="C20" s="22"/>
      <c r="D20" s="22"/>
      <c r="E20" s="22"/>
      <c r="F20" s="22"/>
      <c r="G20" s="22"/>
      <c r="H20" s="22"/>
      <c r="I20" s="22"/>
      <c r="J20" s="22"/>
      <c r="K20" s="22"/>
      <c r="L20" s="22"/>
      <c r="M20" s="22"/>
      <c r="N20" s="22"/>
      <c r="O20" s="22"/>
      <c r="P20" s="22"/>
      <c r="Q20" s="22"/>
      <c r="R20" s="22"/>
    </row>
  </sheetData>
  <mergeCells count="9">
    <mergeCell ref="B4:B6"/>
    <mergeCell ref="I10:J10"/>
    <mergeCell ref="J13:R18"/>
    <mergeCell ref="A1:A2"/>
    <mergeCell ref="B1:B2"/>
    <mergeCell ref="C1:C2"/>
    <mergeCell ref="D1:H1"/>
    <mergeCell ref="I1:M1"/>
    <mergeCell ref="N1:R1"/>
  </mergeCells>
  <printOptions horizontalCentered="1"/>
  <pageMargins left="0.7" right="0.7" top="0.75" bottom="0.75" header="0.3" footer="0.3"/>
  <pageSetup paperSize="9" scale="65" orientation="landscape" r:id="rId1"/>
  <headerFooter>
    <oddHeader>&amp;L&amp;"Gill Sans MT,Italic"&amp;9Hydro Consult
Nyadi Hydropower Project&amp;C&amp;"Gill Sans MT,Regular"RATE ANALYSIS&amp;R&amp;"Gill Sans MT,Italic"&amp;9&amp;A</oddHeader>
    <oddFooter>&amp;R&amp;"Gill Sans MT,Italic"&amp;9Page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04"/>
  <sheetViews>
    <sheetView workbookViewId="0">
      <selection sqref="A1:A2"/>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140625" style="1"/>
    <col min="8" max="8" width="10.7109375" style="1" customWidth="1"/>
    <col min="9" max="9" width="18.42578125" style="1" customWidth="1"/>
    <col min="10" max="10" width="5.28515625" style="1" customWidth="1"/>
    <col min="11" max="12" width="9.140625" style="1"/>
    <col min="13" max="13" width="10.7109375" style="1" customWidth="1"/>
    <col min="14" max="14" width="16.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356</v>
      </c>
      <c r="C3" s="65"/>
      <c r="D3" s="31"/>
      <c r="E3" s="31"/>
      <c r="F3" s="31"/>
      <c r="G3" s="31"/>
      <c r="H3" s="31"/>
      <c r="I3" s="31"/>
      <c r="J3" s="31"/>
      <c r="K3" s="31"/>
      <c r="L3" s="31"/>
      <c r="M3" s="31"/>
      <c r="N3" s="31"/>
      <c r="O3" s="31"/>
      <c r="P3" s="31"/>
      <c r="Q3" s="31"/>
      <c r="R3" s="32"/>
    </row>
    <row r="4" spans="1:18" ht="15.75" customHeight="1">
      <c r="A4" s="34">
        <v>1</v>
      </c>
      <c r="B4" s="713" t="s">
        <v>358</v>
      </c>
      <c r="C4" s="66" t="s">
        <v>11</v>
      </c>
      <c r="D4" s="4"/>
      <c r="E4" s="6"/>
      <c r="F4" s="29"/>
      <c r="G4" s="26"/>
      <c r="H4" s="26"/>
      <c r="I4" s="6"/>
      <c r="J4" s="6"/>
      <c r="K4" s="29"/>
      <c r="L4" s="26"/>
      <c r="M4" s="26"/>
      <c r="N4" s="6"/>
      <c r="O4" s="6"/>
      <c r="P4" s="29"/>
      <c r="Q4" s="26"/>
      <c r="R4" s="26"/>
    </row>
    <row r="5" spans="1:18">
      <c r="A5" s="2"/>
      <c r="B5" s="714"/>
      <c r="C5" s="66"/>
      <c r="D5" s="4" t="s">
        <v>251</v>
      </c>
      <c r="E5" s="6" t="s">
        <v>81</v>
      </c>
      <c r="F5" s="29">
        <v>0.6</v>
      </c>
      <c r="G5" s="26">
        <f>sr</f>
        <v>1100</v>
      </c>
      <c r="H5" s="26">
        <f>F5*G5</f>
        <v>660</v>
      </c>
      <c r="I5" s="7" t="s">
        <v>41</v>
      </c>
      <c r="J5" s="8" t="s">
        <v>11</v>
      </c>
      <c r="K5" s="88">
        <v>1.1000000000000001</v>
      </c>
      <c r="L5" s="28">
        <f>stone</f>
        <v>1000</v>
      </c>
      <c r="M5" s="26">
        <f>K5*L5</f>
        <v>1100</v>
      </c>
      <c r="N5" s="8"/>
      <c r="O5" s="6"/>
      <c r="P5" s="29"/>
      <c r="Q5" s="28"/>
      <c r="R5" s="26"/>
    </row>
    <row r="6" spans="1:18">
      <c r="A6" s="2"/>
      <c r="B6" s="714"/>
      <c r="C6" s="66"/>
      <c r="D6" s="4" t="s">
        <v>97</v>
      </c>
      <c r="E6" s="6" t="s">
        <v>81</v>
      </c>
      <c r="F6" s="29">
        <v>2</v>
      </c>
      <c r="G6" s="26">
        <f>ur</f>
        <v>850</v>
      </c>
      <c r="H6" s="26">
        <f>F6*G6</f>
        <v>1700</v>
      </c>
      <c r="I6" s="7"/>
      <c r="J6" s="8"/>
      <c r="K6" s="88"/>
      <c r="L6" s="28"/>
      <c r="M6" s="26"/>
      <c r="N6" s="8"/>
      <c r="O6" s="6"/>
      <c r="P6" s="29"/>
      <c r="Q6" s="28"/>
      <c r="R6" s="26"/>
    </row>
    <row r="7" spans="1:18">
      <c r="A7" s="2"/>
      <c r="B7" s="714"/>
      <c r="C7" s="66"/>
      <c r="D7" s="4"/>
      <c r="E7" s="6"/>
      <c r="F7" s="29"/>
      <c r="G7" s="26"/>
      <c r="H7" s="26"/>
      <c r="I7" s="7"/>
      <c r="J7" s="8"/>
      <c r="K7" s="88"/>
      <c r="L7" s="28"/>
      <c r="M7" s="26"/>
      <c r="N7" s="8"/>
      <c r="O7" s="6"/>
      <c r="P7" s="29"/>
      <c r="Q7" s="28"/>
      <c r="R7" s="28"/>
    </row>
    <row r="8" spans="1:18">
      <c r="A8" s="2"/>
      <c r="B8" s="714"/>
      <c r="C8" s="66"/>
      <c r="D8" s="4"/>
      <c r="E8" s="6"/>
      <c r="F8" s="29"/>
      <c r="G8" s="26"/>
      <c r="H8" s="26"/>
      <c r="I8" s="7"/>
      <c r="J8" s="8"/>
      <c r="K8" s="88"/>
      <c r="L8" s="28"/>
      <c r="M8" s="26"/>
      <c r="N8" s="8"/>
      <c r="O8" s="6"/>
      <c r="P8" s="29"/>
      <c r="Q8" s="28"/>
      <c r="R8" s="28"/>
    </row>
    <row r="9" spans="1:18">
      <c r="A9" s="2"/>
      <c r="B9" s="126"/>
      <c r="C9" s="66"/>
      <c r="D9" s="4"/>
      <c r="E9" s="6"/>
      <c r="F9" s="29"/>
      <c r="G9" s="26"/>
      <c r="H9" s="26"/>
      <c r="I9" s="7"/>
      <c r="J9" s="8"/>
      <c r="K9" s="88"/>
      <c r="L9" s="28"/>
      <c r="M9" s="26"/>
      <c r="N9" s="8"/>
      <c r="O9" s="6"/>
      <c r="P9" s="29"/>
      <c r="Q9" s="28"/>
      <c r="R9" s="28"/>
    </row>
    <row r="10" spans="1:18">
      <c r="A10" s="2"/>
      <c r="B10" s="126"/>
      <c r="C10" s="66"/>
      <c r="D10" s="4"/>
      <c r="E10" s="6"/>
      <c r="F10" s="29"/>
      <c r="G10" s="26"/>
      <c r="H10" s="26"/>
      <c r="I10" s="7"/>
      <c r="J10" s="8"/>
      <c r="K10" s="29"/>
      <c r="L10" s="28"/>
      <c r="M10" s="26"/>
      <c r="N10" s="8"/>
      <c r="O10" s="6"/>
      <c r="P10" s="29"/>
      <c r="Q10" s="28"/>
      <c r="R10" s="28"/>
    </row>
    <row r="11" spans="1:18">
      <c r="A11" s="2"/>
      <c r="B11" s="5"/>
      <c r="C11" s="66"/>
      <c r="D11" s="4"/>
      <c r="E11" s="9"/>
      <c r="F11" s="30"/>
      <c r="G11" s="27"/>
      <c r="H11" s="27"/>
      <c r="I11" s="9"/>
      <c r="J11" s="10"/>
      <c r="K11" s="30"/>
      <c r="L11" s="28"/>
      <c r="M11" s="28"/>
      <c r="N11" s="8"/>
      <c r="O11" s="6"/>
      <c r="P11" s="30"/>
      <c r="Q11" s="28"/>
      <c r="R11" s="28"/>
    </row>
    <row r="12" spans="1:18">
      <c r="A12" s="2"/>
      <c r="B12" s="11"/>
      <c r="C12" s="66"/>
      <c r="D12" s="12"/>
      <c r="E12" s="59"/>
      <c r="F12" s="13"/>
      <c r="G12" s="13" t="s">
        <v>20</v>
      </c>
      <c r="H12" s="25">
        <f>SUM(H4:H11)</f>
        <v>2360</v>
      </c>
      <c r="I12" s="703"/>
      <c r="J12" s="703"/>
      <c r="K12" s="14"/>
      <c r="L12" s="13" t="s">
        <v>21</v>
      </c>
      <c r="M12" s="25">
        <f>SUM(M4:M11)</f>
        <v>1100</v>
      </c>
      <c r="N12" s="3"/>
      <c r="O12" s="14"/>
      <c r="P12" s="14"/>
      <c r="Q12" s="13" t="s">
        <v>22</v>
      </c>
      <c r="R12" s="25">
        <f>SUM(R4:R11)</f>
        <v>0</v>
      </c>
    </row>
    <row r="13" spans="1:18">
      <c r="A13" s="2"/>
      <c r="B13" s="16" t="s">
        <v>13</v>
      </c>
      <c r="C13" s="67"/>
      <c r="D13" s="14"/>
      <c r="E13" s="14"/>
      <c r="F13" s="14"/>
      <c r="G13" s="13"/>
      <c r="H13" s="35">
        <f>M12+R12+H12</f>
        <v>3460</v>
      </c>
      <c r="I13" s="17"/>
      <c r="J13" s="14"/>
      <c r="K13" s="14"/>
      <c r="L13" s="13"/>
      <c r="M13" s="15"/>
      <c r="N13" s="14"/>
      <c r="O13" s="14"/>
      <c r="P13" s="14"/>
      <c r="Q13" s="14"/>
      <c r="R13" s="17"/>
    </row>
    <row r="14" spans="1:18">
      <c r="A14" s="2"/>
      <c r="B14" s="11" t="s">
        <v>25</v>
      </c>
      <c r="C14" s="68"/>
      <c r="D14" s="4"/>
      <c r="E14" s="4"/>
      <c r="F14" s="4"/>
      <c r="G14" s="18"/>
      <c r="H14" s="36">
        <v>0</v>
      </c>
      <c r="I14" s="20"/>
      <c r="J14" s="4" t="s">
        <v>26</v>
      </c>
      <c r="K14" s="4"/>
      <c r="L14" s="18"/>
      <c r="M14" s="19"/>
      <c r="N14" s="4"/>
      <c r="O14" s="4"/>
      <c r="P14" s="4"/>
      <c r="Q14" s="4"/>
      <c r="R14" s="20"/>
    </row>
    <row r="15" spans="1:18">
      <c r="A15" s="23"/>
      <c r="B15" s="11" t="s">
        <v>14</v>
      </c>
      <c r="C15" s="68"/>
      <c r="D15" s="4"/>
      <c r="E15" s="4"/>
      <c r="F15" s="4"/>
      <c r="G15" s="18"/>
      <c r="H15" s="36">
        <f>SUM(H13:H14)</f>
        <v>3460</v>
      </c>
      <c r="I15" s="20"/>
      <c r="J15" s="704"/>
      <c r="K15" s="705"/>
      <c r="L15" s="705"/>
      <c r="M15" s="705"/>
      <c r="N15" s="705"/>
      <c r="O15" s="705"/>
      <c r="P15" s="705"/>
      <c r="Q15" s="705"/>
      <c r="R15" s="706"/>
    </row>
    <row r="16" spans="1:18">
      <c r="A16" s="23"/>
      <c r="B16" s="11" t="s">
        <v>24</v>
      </c>
      <c r="C16" s="68"/>
      <c r="D16" s="4"/>
      <c r="E16" s="4"/>
      <c r="F16" s="4"/>
      <c r="G16" s="18"/>
      <c r="H16" s="36">
        <f>H15*15%</f>
        <v>519</v>
      </c>
      <c r="I16" s="20"/>
      <c r="J16" s="707"/>
      <c r="K16" s="708"/>
      <c r="L16" s="708"/>
      <c r="M16" s="708"/>
      <c r="N16" s="708"/>
      <c r="O16" s="708"/>
      <c r="P16" s="708"/>
      <c r="Q16" s="708"/>
      <c r="R16" s="709"/>
    </row>
    <row r="17" spans="1:18">
      <c r="A17" s="23"/>
      <c r="B17" s="11" t="s">
        <v>15</v>
      </c>
      <c r="C17" s="68"/>
      <c r="D17" s="4"/>
      <c r="E17" s="4"/>
      <c r="F17" s="4"/>
      <c r="G17" s="21" t="s">
        <v>16</v>
      </c>
      <c r="H17" s="37">
        <f>H16+H15</f>
        <v>3979</v>
      </c>
      <c r="I17" s="38" t="str">
        <f>CONCATENATE("per ",C4)</f>
        <v>per cum</v>
      </c>
      <c r="J17" s="707"/>
      <c r="K17" s="708"/>
      <c r="L17" s="708"/>
      <c r="M17" s="708"/>
      <c r="N17" s="708"/>
      <c r="O17" s="708"/>
      <c r="P17" s="708"/>
      <c r="Q17" s="708"/>
      <c r="R17" s="709"/>
    </row>
    <row r="18" spans="1:18">
      <c r="A18" s="23"/>
      <c r="B18" s="11" t="s">
        <v>18</v>
      </c>
      <c r="C18" s="125" t="s">
        <v>19</v>
      </c>
      <c r="D18" s="4"/>
      <c r="E18" s="4"/>
      <c r="F18" s="4"/>
      <c r="G18" s="21" t="s">
        <v>16</v>
      </c>
      <c r="H18" s="37">
        <f>CEILING(H17,0.5)</f>
        <v>3979</v>
      </c>
      <c r="I18" s="38" t="str">
        <f>CONCATENATE("per ",C4)</f>
        <v>per cum</v>
      </c>
      <c r="J18" s="707"/>
      <c r="K18" s="708"/>
      <c r="L18" s="708"/>
      <c r="M18" s="708"/>
      <c r="N18" s="708"/>
      <c r="O18" s="708"/>
      <c r="P18" s="708"/>
      <c r="Q18" s="708"/>
      <c r="R18" s="709"/>
    </row>
    <row r="19" spans="1:18">
      <c r="A19" s="23"/>
      <c r="B19" s="11"/>
      <c r="C19" s="68"/>
      <c r="D19" s="4"/>
      <c r="E19" s="4"/>
      <c r="F19" s="4"/>
      <c r="G19" s="24" t="s">
        <v>17</v>
      </c>
      <c r="H19" s="37">
        <f>H18/exr</f>
        <v>30.607692307692307</v>
      </c>
      <c r="I19" s="38" t="str">
        <f>CONCATENATE("per ",C4)</f>
        <v>per cum</v>
      </c>
      <c r="J19" s="710"/>
      <c r="K19" s="711"/>
      <c r="L19" s="711"/>
      <c r="M19" s="711"/>
      <c r="N19" s="711"/>
      <c r="O19" s="711"/>
      <c r="P19" s="711"/>
      <c r="Q19" s="711"/>
      <c r="R19" s="712"/>
    </row>
    <row r="20" spans="1:18">
      <c r="A20" s="39"/>
      <c r="B20" s="40"/>
      <c r="C20" s="69"/>
      <c r="D20" s="41"/>
      <c r="E20" s="41"/>
      <c r="F20" s="41"/>
      <c r="G20" s="149" t="s">
        <v>460</v>
      </c>
      <c r="H20" s="150">
        <f>CEILING(0,0.0025)</f>
        <v>0</v>
      </c>
      <c r="I20" s="42"/>
      <c r="J20" s="43"/>
      <c r="K20" s="43"/>
      <c r="L20" s="43"/>
      <c r="M20" s="43"/>
      <c r="N20" s="43"/>
      <c r="O20" s="43"/>
      <c r="P20" s="43"/>
      <c r="Q20" s="43"/>
      <c r="R20" s="44"/>
    </row>
    <row r="21" spans="1:18">
      <c r="A21" s="22"/>
      <c r="B21" s="22"/>
      <c r="C21" s="70"/>
      <c r="D21" s="22"/>
      <c r="E21" s="22"/>
      <c r="F21" s="22"/>
      <c r="G21" s="22"/>
      <c r="H21" s="22"/>
      <c r="I21" s="22"/>
      <c r="J21" s="22"/>
      <c r="K21" s="22"/>
      <c r="L21" s="22"/>
      <c r="M21" s="22"/>
      <c r="N21" s="22"/>
      <c r="O21" s="22"/>
      <c r="P21" s="22"/>
      <c r="Q21" s="22"/>
      <c r="R21" s="22"/>
    </row>
    <row r="22" spans="1:18">
      <c r="A22" s="693" t="s">
        <v>0</v>
      </c>
      <c r="B22" s="695" t="s">
        <v>1</v>
      </c>
      <c r="C22" s="695" t="s">
        <v>2</v>
      </c>
      <c r="D22" s="697" t="s">
        <v>3</v>
      </c>
      <c r="E22" s="698"/>
      <c r="F22" s="698"/>
      <c r="G22" s="698"/>
      <c r="H22" s="698"/>
      <c r="I22" s="699" t="s">
        <v>4</v>
      </c>
      <c r="J22" s="700"/>
      <c r="K22" s="700"/>
      <c r="L22" s="700"/>
      <c r="M22" s="700"/>
      <c r="N22" s="698" t="s">
        <v>5</v>
      </c>
      <c r="O22" s="698"/>
      <c r="P22" s="698"/>
      <c r="Q22" s="698"/>
      <c r="R22" s="698"/>
    </row>
    <row r="23" spans="1:18">
      <c r="A23" s="694"/>
      <c r="B23" s="696"/>
      <c r="C23" s="696"/>
      <c r="D23" s="45" t="s">
        <v>6</v>
      </c>
      <c r="E23" s="46" t="s">
        <v>2</v>
      </c>
      <c r="F23" s="46" t="s">
        <v>7</v>
      </c>
      <c r="G23" s="46" t="s">
        <v>8</v>
      </c>
      <c r="H23" s="46" t="s">
        <v>9</v>
      </c>
      <c r="I23" s="46" t="s">
        <v>10</v>
      </c>
      <c r="J23" s="46" t="s">
        <v>2</v>
      </c>
      <c r="K23" s="46" t="s">
        <v>7</v>
      </c>
      <c r="L23" s="46" t="s">
        <v>8</v>
      </c>
      <c r="M23" s="47" t="s">
        <v>9</v>
      </c>
      <c r="N23" s="46" t="s">
        <v>10</v>
      </c>
      <c r="O23" s="46" t="s">
        <v>2</v>
      </c>
      <c r="P23" s="46" t="s">
        <v>7</v>
      </c>
      <c r="Q23" s="46" t="s">
        <v>8</v>
      </c>
      <c r="R23" s="46" t="s">
        <v>9</v>
      </c>
    </row>
    <row r="24" spans="1:18">
      <c r="A24" s="33" t="s">
        <v>23</v>
      </c>
      <c r="B24" s="73" t="s">
        <v>357</v>
      </c>
      <c r="C24" s="65"/>
      <c r="D24" s="31"/>
      <c r="E24" s="31"/>
      <c r="F24" s="31"/>
      <c r="G24" s="31"/>
      <c r="H24" s="31"/>
      <c r="I24" s="31"/>
      <c r="J24" s="31"/>
      <c r="K24" s="31"/>
      <c r="L24" s="31"/>
      <c r="M24" s="31"/>
      <c r="N24" s="31"/>
      <c r="O24" s="31"/>
      <c r="P24" s="31"/>
      <c r="Q24" s="31"/>
      <c r="R24" s="32"/>
    </row>
    <row r="25" spans="1:18">
      <c r="A25" s="34">
        <f>A4+1</f>
        <v>2</v>
      </c>
      <c r="B25" s="713" t="s">
        <v>359</v>
      </c>
      <c r="C25" s="66" t="s">
        <v>11</v>
      </c>
      <c r="D25" s="4"/>
      <c r="E25" s="6"/>
      <c r="F25" s="29"/>
      <c r="G25" s="26"/>
      <c r="H25" s="26"/>
      <c r="I25" s="6"/>
      <c r="J25" s="6"/>
      <c r="K25" s="29"/>
      <c r="L25" s="26"/>
      <c r="M25" s="26"/>
      <c r="N25" s="6"/>
      <c r="O25" s="6"/>
      <c r="P25" s="29"/>
      <c r="Q25" s="26"/>
      <c r="R25" s="26"/>
    </row>
    <row r="26" spans="1:18">
      <c r="A26" s="2"/>
      <c r="B26" s="714"/>
      <c r="C26" s="66"/>
      <c r="D26" s="4" t="s">
        <v>251</v>
      </c>
      <c r="E26" s="6" t="s">
        <v>81</v>
      </c>
      <c r="F26" s="29">
        <v>0.6</v>
      </c>
      <c r="G26" s="26">
        <f>sr</f>
        <v>1100</v>
      </c>
      <c r="H26" s="26">
        <f>F26*G26</f>
        <v>660</v>
      </c>
      <c r="I26" s="7" t="s">
        <v>41</v>
      </c>
      <c r="J26" s="8" t="s">
        <v>11</v>
      </c>
      <c r="K26" s="88">
        <v>1.1000000000000001</v>
      </c>
      <c r="L26" s="28">
        <f>stone</f>
        <v>1000</v>
      </c>
      <c r="M26" s="26">
        <f>K26*L26</f>
        <v>1100</v>
      </c>
      <c r="N26" s="8"/>
      <c r="O26" s="6"/>
      <c r="P26" s="29"/>
      <c r="Q26" s="28"/>
      <c r="R26" s="26"/>
    </row>
    <row r="27" spans="1:18">
      <c r="A27" s="2"/>
      <c r="B27" s="714"/>
      <c r="C27" s="66"/>
      <c r="D27" s="4" t="s">
        <v>97</v>
      </c>
      <c r="E27" s="6" t="s">
        <v>81</v>
      </c>
      <c r="F27" s="29">
        <v>3</v>
      </c>
      <c r="G27" s="26">
        <f>ur</f>
        <v>850</v>
      </c>
      <c r="H27" s="26">
        <f>F27*G27</f>
        <v>2550</v>
      </c>
      <c r="I27" s="7"/>
      <c r="J27" s="8"/>
      <c r="K27" s="88"/>
      <c r="L27" s="28"/>
      <c r="M27" s="26"/>
      <c r="N27" s="8"/>
      <c r="O27" s="6"/>
      <c r="P27" s="29"/>
      <c r="Q27" s="28"/>
      <c r="R27" s="26"/>
    </row>
    <row r="28" spans="1:18">
      <c r="A28" s="2"/>
      <c r="B28" s="714"/>
      <c r="C28" s="66"/>
      <c r="D28" s="4"/>
      <c r="E28" s="6"/>
      <c r="F28" s="29"/>
      <c r="G28" s="26"/>
      <c r="H28" s="26"/>
      <c r="I28" s="7"/>
      <c r="J28" s="8"/>
      <c r="K28" s="88"/>
      <c r="L28" s="28"/>
      <c r="M28" s="26"/>
      <c r="N28" s="8"/>
      <c r="O28" s="6"/>
      <c r="P28" s="29"/>
      <c r="Q28" s="28"/>
      <c r="R28" s="28"/>
    </row>
    <row r="29" spans="1:18">
      <c r="A29" s="2"/>
      <c r="B29" s="714"/>
      <c r="C29" s="66"/>
      <c r="D29" s="4"/>
      <c r="E29" s="6"/>
      <c r="F29" s="29"/>
      <c r="G29" s="26"/>
      <c r="H29" s="26"/>
      <c r="I29" s="7"/>
      <c r="J29" s="8"/>
      <c r="K29" s="88"/>
      <c r="L29" s="28"/>
      <c r="M29" s="26"/>
      <c r="N29" s="8"/>
      <c r="O29" s="6"/>
      <c r="P29" s="29"/>
      <c r="Q29" s="28"/>
      <c r="R29" s="28"/>
    </row>
    <row r="30" spans="1:18">
      <c r="A30" s="2"/>
      <c r="B30" s="126"/>
      <c r="C30" s="66"/>
      <c r="D30" s="4"/>
      <c r="E30" s="6"/>
      <c r="F30" s="29"/>
      <c r="G30" s="26"/>
      <c r="H30" s="26"/>
      <c r="I30" s="7"/>
      <c r="J30" s="8"/>
      <c r="K30" s="88"/>
      <c r="L30" s="28"/>
      <c r="M30" s="26"/>
      <c r="N30" s="8"/>
      <c r="O30" s="6"/>
      <c r="P30" s="29"/>
      <c r="Q30" s="28"/>
      <c r="R30" s="28"/>
    </row>
    <row r="31" spans="1:18">
      <c r="A31" s="2"/>
      <c r="B31" s="126"/>
      <c r="C31" s="66"/>
      <c r="D31" s="4"/>
      <c r="E31" s="6"/>
      <c r="F31" s="29"/>
      <c r="G31" s="26"/>
      <c r="H31" s="26"/>
      <c r="I31" s="7"/>
      <c r="J31" s="8"/>
      <c r="K31" s="29"/>
      <c r="L31" s="28"/>
      <c r="M31" s="26"/>
      <c r="N31" s="8"/>
      <c r="O31" s="6"/>
      <c r="P31" s="29"/>
      <c r="Q31" s="28"/>
      <c r="R31" s="28"/>
    </row>
    <row r="32" spans="1:18">
      <c r="A32" s="2"/>
      <c r="B32" s="5"/>
      <c r="C32" s="66"/>
      <c r="D32" s="4"/>
      <c r="E32" s="9"/>
      <c r="F32" s="30"/>
      <c r="G32" s="27"/>
      <c r="H32" s="27"/>
      <c r="I32" s="9"/>
      <c r="J32" s="10"/>
      <c r="K32" s="30"/>
      <c r="L32" s="28"/>
      <c r="M32" s="28"/>
      <c r="N32" s="8"/>
      <c r="O32" s="6"/>
      <c r="P32" s="30"/>
      <c r="Q32" s="28"/>
      <c r="R32" s="28"/>
    </row>
    <row r="33" spans="1:18">
      <c r="A33" s="2"/>
      <c r="B33" s="11"/>
      <c r="C33" s="66"/>
      <c r="D33" s="12"/>
      <c r="E33" s="59"/>
      <c r="F33" s="13"/>
      <c r="G33" s="13" t="s">
        <v>20</v>
      </c>
      <c r="H33" s="25">
        <f>SUM(H25:H32)</f>
        <v>3210</v>
      </c>
      <c r="I33" s="703"/>
      <c r="J33" s="703"/>
      <c r="K33" s="14"/>
      <c r="L33" s="13" t="s">
        <v>21</v>
      </c>
      <c r="M33" s="25">
        <f>SUM(M25:M32)</f>
        <v>1100</v>
      </c>
      <c r="N33" s="3"/>
      <c r="O33" s="14"/>
      <c r="P33" s="14"/>
      <c r="Q33" s="13" t="s">
        <v>22</v>
      </c>
      <c r="R33" s="25">
        <f>SUM(R25:R32)</f>
        <v>0</v>
      </c>
    </row>
    <row r="34" spans="1:18">
      <c r="A34" s="2"/>
      <c r="B34" s="16" t="s">
        <v>13</v>
      </c>
      <c r="C34" s="67"/>
      <c r="D34" s="14"/>
      <c r="E34" s="14"/>
      <c r="F34" s="14"/>
      <c r="G34" s="13"/>
      <c r="H34" s="35">
        <f>M33+R33+H33</f>
        <v>4310</v>
      </c>
      <c r="I34" s="17"/>
      <c r="J34" s="14"/>
      <c r="K34" s="14"/>
      <c r="L34" s="13"/>
      <c r="M34" s="15"/>
      <c r="N34" s="14"/>
      <c r="O34" s="14"/>
      <c r="P34" s="14"/>
      <c r="Q34" s="14"/>
      <c r="R34" s="17"/>
    </row>
    <row r="35" spans="1:18">
      <c r="A35" s="2"/>
      <c r="B35" s="11" t="s">
        <v>25</v>
      </c>
      <c r="C35" s="68"/>
      <c r="D35" s="4"/>
      <c r="E35" s="4"/>
      <c r="F35" s="4"/>
      <c r="G35" s="18"/>
      <c r="H35" s="36">
        <v>0</v>
      </c>
      <c r="I35" s="20"/>
      <c r="J35" s="4" t="s">
        <v>26</v>
      </c>
      <c r="K35" s="4"/>
      <c r="L35" s="18"/>
      <c r="M35" s="19"/>
      <c r="N35" s="4"/>
      <c r="O35" s="4"/>
      <c r="P35" s="4"/>
      <c r="Q35" s="4"/>
      <c r="R35" s="20"/>
    </row>
    <row r="36" spans="1:18">
      <c r="A36" s="23"/>
      <c r="B36" s="11" t="s">
        <v>14</v>
      </c>
      <c r="C36" s="68"/>
      <c r="D36" s="4"/>
      <c r="E36" s="4"/>
      <c r="F36" s="4"/>
      <c r="G36" s="18"/>
      <c r="H36" s="36">
        <f>SUM(H34:H35)</f>
        <v>4310</v>
      </c>
      <c r="I36" s="20"/>
      <c r="J36" s="704"/>
      <c r="K36" s="705"/>
      <c r="L36" s="705"/>
      <c r="M36" s="705"/>
      <c r="N36" s="705"/>
      <c r="O36" s="705"/>
      <c r="P36" s="705"/>
      <c r="Q36" s="705"/>
      <c r="R36" s="706"/>
    </row>
    <row r="37" spans="1:18">
      <c r="A37" s="23"/>
      <c r="B37" s="11" t="s">
        <v>24</v>
      </c>
      <c r="C37" s="68"/>
      <c r="D37" s="4"/>
      <c r="E37" s="4"/>
      <c r="F37" s="4"/>
      <c r="G37" s="18"/>
      <c r="H37" s="36">
        <f>H36*15%</f>
        <v>646.5</v>
      </c>
      <c r="I37" s="20"/>
      <c r="J37" s="707"/>
      <c r="K37" s="708"/>
      <c r="L37" s="708"/>
      <c r="M37" s="708"/>
      <c r="N37" s="708"/>
      <c r="O37" s="708"/>
      <c r="P37" s="708"/>
      <c r="Q37" s="708"/>
      <c r="R37" s="709"/>
    </row>
    <row r="38" spans="1:18">
      <c r="A38" s="23"/>
      <c r="B38" s="11" t="s">
        <v>15</v>
      </c>
      <c r="C38" s="68"/>
      <c r="D38" s="4"/>
      <c r="E38" s="4"/>
      <c r="F38" s="4"/>
      <c r="G38" s="21" t="s">
        <v>16</v>
      </c>
      <c r="H38" s="37">
        <f>H37+H36</f>
        <v>4956.5</v>
      </c>
      <c r="I38" s="38" t="str">
        <f>CONCATENATE("per ",C25)</f>
        <v>per cum</v>
      </c>
      <c r="J38" s="707"/>
      <c r="K38" s="708"/>
      <c r="L38" s="708"/>
      <c r="M38" s="708"/>
      <c r="N38" s="708"/>
      <c r="O38" s="708"/>
      <c r="P38" s="708"/>
      <c r="Q38" s="708"/>
      <c r="R38" s="709"/>
    </row>
    <row r="39" spans="1:18">
      <c r="A39" s="23"/>
      <c r="B39" s="11" t="s">
        <v>18</v>
      </c>
      <c r="C39" s="125" t="s">
        <v>19</v>
      </c>
      <c r="D39" s="4"/>
      <c r="E39" s="4"/>
      <c r="F39" s="4"/>
      <c r="G39" s="21" t="s">
        <v>16</v>
      </c>
      <c r="H39" s="37">
        <f>CEILING(H38,0.5)</f>
        <v>4956.5</v>
      </c>
      <c r="I39" s="38" t="str">
        <f>CONCATENATE("per ",C25)</f>
        <v>per cum</v>
      </c>
      <c r="J39" s="707"/>
      <c r="K39" s="708"/>
      <c r="L39" s="708"/>
      <c r="M39" s="708"/>
      <c r="N39" s="708"/>
      <c r="O39" s="708"/>
      <c r="P39" s="708"/>
      <c r="Q39" s="708"/>
      <c r="R39" s="709"/>
    </row>
    <row r="40" spans="1:18">
      <c r="A40" s="23"/>
      <c r="B40" s="11"/>
      <c r="C40" s="68"/>
      <c r="D40" s="4"/>
      <c r="E40" s="4"/>
      <c r="F40" s="4"/>
      <c r="G40" s="24" t="s">
        <v>17</v>
      </c>
      <c r="H40" s="37">
        <f>H39/exr</f>
        <v>38.126923076923077</v>
      </c>
      <c r="I40" s="38" t="str">
        <f>CONCATENATE("per ",C25)</f>
        <v>per cum</v>
      </c>
      <c r="J40" s="710"/>
      <c r="K40" s="711"/>
      <c r="L40" s="711"/>
      <c r="M40" s="711"/>
      <c r="N40" s="711"/>
      <c r="O40" s="711"/>
      <c r="P40" s="711"/>
      <c r="Q40" s="711"/>
      <c r="R40" s="712"/>
    </row>
    <row r="41" spans="1:18">
      <c r="A41" s="39"/>
      <c r="B41" s="40"/>
      <c r="C41" s="69"/>
      <c r="D41" s="41"/>
      <c r="E41" s="41"/>
      <c r="F41" s="41"/>
      <c r="G41" s="149" t="s">
        <v>460</v>
      </c>
      <c r="H41" s="150">
        <f>CEILING(0,0.0025)</f>
        <v>0</v>
      </c>
      <c r="I41" s="42"/>
      <c r="J41" s="43"/>
      <c r="K41" s="43"/>
      <c r="L41" s="43"/>
      <c r="M41" s="43"/>
      <c r="N41" s="43"/>
      <c r="O41" s="43"/>
      <c r="P41" s="43"/>
      <c r="Q41" s="43"/>
      <c r="R41" s="44"/>
    </row>
    <row r="43" spans="1:18">
      <c r="A43" s="693" t="s">
        <v>0</v>
      </c>
      <c r="B43" s="695" t="s">
        <v>1</v>
      </c>
      <c r="C43" s="695" t="s">
        <v>2</v>
      </c>
      <c r="D43" s="697" t="s">
        <v>3</v>
      </c>
      <c r="E43" s="698"/>
      <c r="F43" s="698"/>
      <c r="G43" s="698"/>
      <c r="H43" s="698"/>
      <c r="I43" s="699" t="s">
        <v>4</v>
      </c>
      <c r="J43" s="700"/>
      <c r="K43" s="700"/>
      <c r="L43" s="700"/>
      <c r="M43" s="700"/>
      <c r="N43" s="698" t="s">
        <v>5</v>
      </c>
      <c r="O43" s="698"/>
      <c r="P43" s="698"/>
      <c r="Q43" s="698"/>
      <c r="R43" s="698"/>
    </row>
    <row r="44" spans="1:18">
      <c r="A44" s="694"/>
      <c r="B44" s="696"/>
      <c r="C44" s="696"/>
      <c r="D44" s="45" t="s">
        <v>6</v>
      </c>
      <c r="E44" s="46" t="s">
        <v>2</v>
      </c>
      <c r="F44" s="46" t="s">
        <v>7</v>
      </c>
      <c r="G44" s="46" t="s">
        <v>8</v>
      </c>
      <c r="H44" s="46" t="s">
        <v>9</v>
      </c>
      <c r="I44" s="46" t="s">
        <v>10</v>
      </c>
      <c r="J44" s="46" t="s">
        <v>2</v>
      </c>
      <c r="K44" s="46" t="s">
        <v>7</v>
      </c>
      <c r="L44" s="46" t="s">
        <v>8</v>
      </c>
      <c r="M44" s="47" t="s">
        <v>9</v>
      </c>
      <c r="N44" s="46" t="s">
        <v>10</v>
      </c>
      <c r="O44" s="46" t="s">
        <v>2</v>
      </c>
      <c r="P44" s="46" t="s">
        <v>7</v>
      </c>
      <c r="Q44" s="46" t="s">
        <v>8</v>
      </c>
      <c r="R44" s="46" t="s">
        <v>9</v>
      </c>
    </row>
    <row r="45" spans="1:18">
      <c r="A45" s="33" t="s">
        <v>23</v>
      </c>
      <c r="B45" s="73" t="s">
        <v>360</v>
      </c>
      <c r="C45" s="65"/>
      <c r="D45" s="31"/>
      <c r="E45" s="31"/>
      <c r="F45" s="31"/>
      <c r="G45" s="31"/>
      <c r="H45" s="31"/>
      <c r="I45" s="31"/>
      <c r="J45" s="31"/>
      <c r="K45" s="31"/>
      <c r="L45" s="31"/>
      <c r="M45" s="31"/>
      <c r="N45" s="31"/>
      <c r="O45" s="31"/>
      <c r="P45" s="31"/>
      <c r="Q45" s="31"/>
      <c r="R45" s="32"/>
    </row>
    <row r="46" spans="1:18">
      <c r="A46" s="34">
        <f>A25+1</f>
        <v>3</v>
      </c>
      <c r="B46" s="713" t="s">
        <v>361</v>
      </c>
      <c r="C46" s="66" t="s">
        <v>11</v>
      </c>
      <c r="D46" s="4"/>
      <c r="E46" s="6"/>
      <c r="F46" s="29"/>
      <c r="G46" s="26"/>
      <c r="H46" s="26"/>
      <c r="I46" s="6"/>
      <c r="J46" s="6"/>
      <c r="K46" s="29"/>
      <c r="L46" s="26"/>
      <c r="M46" s="26"/>
      <c r="N46" s="6"/>
      <c r="O46" s="6"/>
      <c r="P46" s="29"/>
      <c r="Q46" s="26"/>
      <c r="R46" s="26"/>
    </row>
    <row r="47" spans="1:18">
      <c r="A47" s="2"/>
      <c r="B47" s="714"/>
      <c r="C47" s="66"/>
      <c r="D47" s="4" t="s">
        <v>251</v>
      </c>
      <c r="E47" s="6" t="s">
        <v>81</v>
      </c>
      <c r="F47" s="29">
        <v>0.7</v>
      </c>
      <c r="G47" s="26">
        <f>sr</f>
        <v>1100</v>
      </c>
      <c r="H47" s="26">
        <f>F47*G47</f>
        <v>770</v>
      </c>
      <c r="I47" s="7" t="s">
        <v>362</v>
      </c>
      <c r="J47" s="8" t="s">
        <v>11</v>
      </c>
      <c r="K47" s="88">
        <v>1.1000000000000001</v>
      </c>
      <c r="L47" s="28">
        <f>stone</f>
        <v>1000</v>
      </c>
      <c r="M47" s="26">
        <f>K47*L47</f>
        <v>1100</v>
      </c>
      <c r="N47" s="8" t="s">
        <v>363</v>
      </c>
      <c r="O47" s="6" t="s">
        <v>101</v>
      </c>
      <c r="P47" s="29">
        <v>0.45</v>
      </c>
      <c r="Q47" s="28">
        <f>hydraulic_jack</f>
        <v>346.11</v>
      </c>
      <c r="R47" s="26">
        <f>P47*Q47</f>
        <v>155.74950000000001</v>
      </c>
    </row>
    <row r="48" spans="1:18">
      <c r="A48" s="2"/>
      <c r="B48" s="714"/>
      <c r="C48" s="66"/>
      <c r="D48" s="4" t="s">
        <v>97</v>
      </c>
      <c r="E48" s="6" t="s">
        <v>81</v>
      </c>
      <c r="F48" s="29">
        <v>2.1</v>
      </c>
      <c r="G48" s="26">
        <f>ur</f>
        <v>850</v>
      </c>
      <c r="H48" s="26">
        <f>F48*G48</f>
        <v>1785</v>
      </c>
      <c r="I48" s="7" t="s">
        <v>70</v>
      </c>
      <c r="J48" s="8" t="s">
        <v>250</v>
      </c>
      <c r="K48" s="88">
        <v>0.01</v>
      </c>
      <c r="L48" s="28">
        <f>petrol</f>
        <v>188.6</v>
      </c>
      <c r="M48" s="26">
        <f>K48*L48</f>
        <v>1.8859999999999999</v>
      </c>
      <c r="N48" s="8" t="s">
        <v>364</v>
      </c>
      <c r="O48" s="6" t="s">
        <v>101</v>
      </c>
      <c r="P48" s="29">
        <v>0.45</v>
      </c>
      <c r="Q48" s="28">
        <f>power_winch</f>
        <v>194.69</v>
      </c>
      <c r="R48" s="26">
        <f>P48*Q48</f>
        <v>87.610500000000002</v>
      </c>
    </row>
    <row r="49" spans="1:18">
      <c r="A49" s="2"/>
      <c r="B49" s="714"/>
      <c r="C49" s="66"/>
      <c r="D49" s="4"/>
      <c r="E49" s="6"/>
      <c r="F49" s="29"/>
      <c r="G49" s="26"/>
      <c r="H49" s="26"/>
      <c r="I49" s="7"/>
      <c r="J49" s="8"/>
      <c r="K49" s="88"/>
      <c r="L49" s="28"/>
      <c r="M49" s="26"/>
      <c r="N49" s="8"/>
      <c r="O49" s="6"/>
      <c r="P49" s="29"/>
      <c r="Q49" s="28"/>
      <c r="R49" s="28"/>
    </row>
    <row r="50" spans="1:18">
      <c r="A50" s="2"/>
      <c r="B50" s="714"/>
      <c r="C50" s="66"/>
      <c r="D50" s="4"/>
      <c r="E50" s="6"/>
      <c r="F50" s="29"/>
      <c r="G50" s="26"/>
      <c r="H50" s="26"/>
      <c r="I50" s="7"/>
      <c r="J50" s="8"/>
      <c r="K50" s="88"/>
      <c r="L50" s="28"/>
      <c r="M50" s="26"/>
      <c r="N50" s="8"/>
      <c r="O50" s="6"/>
      <c r="P50" s="29"/>
      <c r="Q50" s="28"/>
      <c r="R50" s="28"/>
    </row>
    <row r="51" spans="1:18">
      <c r="A51" s="2"/>
      <c r="B51" s="126"/>
      <c r="C51" s="66"/>
      <c r="D51" s="4"/>
      <c r="E51" s="6"/>
      <c r="F51" s="29"/>
      <c r="G51" s="26"/>
      <c r="H51" s="26"/>
      <c r="I51" s="7"/>
      <c r="J51" s="8"/>
      <c r="K51" s="88"/>
      <c r="L51" s="28"/>
      <c r="M51" s="26"/>
      <c r="N51" s="8"/>
      <c r="O51" s="6"/>
      <c r="P51" s="29"/>
      <c r="Q51" s="28"/>
      <c r="R51" s="28"/>
    </row>
    <row r="52" spans="1:18">
      <c r="A52" s="2"/>
      <c r="B52" s="126"/>
      <c r="C52" s="66"/>
      <c r="D52" s="4"/>
      <c r="E52" s="6"/>
      <c r="F52" s="29"/>
      <c r="G52" s="26"/>
      <c r="H52" s="26"/>
      <c r="I52" s="7"/>
      <c r="J52" s="8"/>
      <c r="K52" s="29"/>
      <c r="L52" s="28"/>
      <c r="M52" s="26"/>
      <c r="N52" s="8"/>
      <c r="O52" s="6"/>
      <c r="P52" s="29"/>
      <c r="Q52" s="28"/>
      <c r="R52" s="28"/>
    </row>
    <row r="53" spans="1:18">
      <c r="A53" s="2"/>
      <c r="B53" s="5"/>
      <c r="C53" s="66"/>
      <c r="D53" s="4"/>
      <c r="E53" s="9"/>
      <c r="F53" s="30"/>
      <c r="G53" s="27"/>
      <c r="H53" s="27"/>
      <c r="I53" s="9"/>
      <c r="J53" s="10"/>
      <c r="K53" s="30"/>
      <c r="L53" s="28"/>
      <c r="M53" s="28"/>
      <c r="N53" s="8"/>
      <c r="O53" s="6"/>
      <c r="P53" s="30"/>
      <c r="Q53" s="28"/>
      <c r="R53" s="28"/>
    </row>
    <row r="54" spans="1:18">
      <c r="A54" s="2"/>
      <c r="B54" s="11"/>
      <c r="C54" s="66"/>
      <c r="D54" s="12"/>
      <c r="E54" s="59"/>
      <c r="F54" s="13"/>
      <c r="G54" s="13" t="s">
        <v>20</v>
      </c>
      <c r="H54" s="25">
        <f>SUM(H46:H53)</f>
        <v>2555</v>
      </c>
      <c r="I54" s="703"/>
      <c r="J54" s="703"/>
      <c r="K54" s="14"/>
      <c r="L54" s="13" t="s">
        <v>21</v>
      </c>
      <c r="M54" s="25">
        <f>SUM(M46:M53)</f>
        <v>1101.886</v>
      </c>
      <c r="N54" s="3"/>
      <c r="O54" s="14"/>
      <c r="P54" s="14"/>
      <c r="Q54" s="13" t="s">
        <v>22</v>
      </c>
      <c r="R54" s="25">
        <f>SUM(R46:R53)</f>
        <v>243.36</v>
      </c>
    </row>
    <row r="55" spans="1:18">
      <c r="A55" s="2"/>
      <c r="B55" s="16" t="s">
        <v>13</v>
      </c>
      <c r="C55" s="67"/>
      <c r="D55" s="14"/>
      <c r="E55" s="14"/>
      <c r="F55" s="14"/>
      <c r="G55" s="13"/>
      <c r="H55" s="35">
        <f>M54+R54+H54</f>
        <v>3900.2460000000001</v>
      </c>
      <c r="I55" s="17"/>
      <c r="J55" s="14"/>
      <c r="K55" s="14"/>
      <c r="L55" s="13"/>
      <c r="M55" s="15"/>
      <c r="N55" s="14"/>
      <c r="O55" s="14"/>
      <c r="P55" s="14"/>
      <c r="Q55" s="14"/>
      <c r="R55" s="17"/>
    </row>
    <row r="56" spans="1:18">
      <c r="A56" s="2"/>
      <c r="B56" s="11" t="s">
        <v>25</v>
      </c>
      <c r="C56" s="68"/>
      <c r="D56" s="4"/>
      <c r="E56" s="4"/>
      <c r="F56" s="4"/>
      <c r="G56" s="18"/>
      <c r="H56" s="36">
        <v>0</v>
      </c>
      <c r="I56" s="20"/>
      <c r="J56" s="4" t="s">
        <v>26</v>
      </c>
      <c r="K56" s="4"/>
      <c r="L56" s="18"/>
      <c r="M56" s="19"/>
      <c r="N56" s="4"/>
      <c r="O56" s="4"/>
      <c r="P56" s="4"/>
      <c r="Q56" s="4"/>
      <c r="R56" s="20"/>
    </row>
    <row r="57" spans="1:18">
      <c r="A57" s="23"/>
      <c r="B57" s="11" t="s">
        <v>14</v>
      </c>
      <c r="C57" s="68"/>
      <c r="D57" s="4"/>
      <c r="E57" s="4"/>
      <c r="F57" s="4"/>
      <c r="G57" s="18"/>
      <c r="H57" s="36">
        <f>SUM(H55:H56)</f>
        <v>3900.2460000000001</v>
      </c>
      <c r="I57" s="20"/>
      <c r="J57" s="704"/>
      <c r="K57" s="705"/>
      <c r="L57" s="705"/>
      <c r="M57" s="705"/>
      <c r="N57" s="705"/>
      <c r="O57" s="705"/>
      <c r="P57" s="705"/>
      <c r="Q57" s="705"/>
      <c r="R57" s="706"/>
    </row>
    <row r="58" spans="1:18">
      <c r="A58" s="23"/>
      <c r="B58" s="11" t="s">
        <v>24</v>
      </c>
      <c r="C58" s="68"/>
      <c r="D58" s="4"/>
      <c r="E58" s="4"/>
      <c r="F58" s="4"/>
      <c r="G58" s="18"/>
      <c r="H58" s="36"/>
      <c r="I58" s="20"/>
      <c r="J58" s="707"/>
      <c r="K58" s="708"/>
      <c r="L58" s="708"/>
      <c r="M58" s="708"/>
      <c r="N58" s="708"/>
      <c r="O58" s="708"/>
      <c r="P58" s="708"/>
      <c r="Q58" s="708"/>
      <c r="R58" s="709"/>
    </row>
    <row r="59" spans="1:18">
      <c r="A59" s="23"/>
      <c r="B59" s="11" t="s">
        <v>15</v>
      </c>
      <c r="C59" s="68"/>
      <c r="D59" s="4"/>
      <c r="E59" s="4"/>
      <c r="F59" s="4"/>
      <c r="G59" s="21" t="s">
        <v>16</v>
      </c>
      <c r="H59" s="37">
        <f>H58+H57</f>
        <v>3900.2460000000001</v>
      </c>
      <c r="I59" s="38" t="str">
        <f>CONCATENATE("per ",C46)</f>
        <v>per cum</v>
      </c>
      <c r="J59" s="707"/>
      <c r="K59" s="708"/>
      <c r="L59" s="708"/>
      <c r="M59" s="708"/>
      <c r="N59" s="708"/>
      <c r="O59" s="708"/>
      <c r="P59" s="708"/>
      <c r="Q59" s="708"/>
      <c r="R59" s="709"/>
    </row>
    <row r="60" spans="1:18">
      <c r="A60" s="23"/>
      <c r="B60" s="11" t="s">
        <v>18</v>
      </c>
      <c r="C60" s="125" t="s">
        <v>19</v>
      </c>
      <c r="D60" s="4"/>
      <c r="E60" s="4"/>
      <c r="F60" s="4"/>
      <c r="G60" s="21" t="s">
        <v>16</v>
      </c>
      <c r="H60" s="37">
        <f>CEILING(H59,0.5)</f>
        <v>3900.5</v>
      </c>
      <c r="I60" s="38" t="str">
        <f>CONCATENATE("per ",C46)</f>
        <v>per cum</v>
      </c>
      <c r="J60" s="707"/>
      <c r="K60" s="708"/>
      <c r="L60" s="708"/>
      <c r="M60" s="708"/>
      <c r="N60" s="708"/>
      <c r="O60" s="708"/>
      <c r="P60" s="708"/>
      <c r="Q60" s="708"/>
      <c r="R60" s="709"/>
    </row>
    <row r="61" spans="1:18">
      <c r="A61" s="23"/>
      <c r="B61" s="11"/>
      <c r="C61" s="68"/>
      <c r="D61" s="4"/>
      <c r="E61" s="4"/>
      <c r="F61" s="4"/>
      <c r="G61" s="24" t="s">
        <v>17</v>
      </c>
      <c r="H61" s="37">
        <f>H60/exr</f>
        <v>30.003846153846155</v>
      </c>
      <c r="I61" s="38" t="str">
        <f>CONCATENATE("per ",C46)</f>
        <v>per cum</v>
      </c>
      <c r="J61" s="710"/>
      <c r="K61" s="711"/>
      <c r="L61" s="711"/>
      <c r="M61" s="711"/>
      <c r="N61" s="711"/>
      <c r="O61" s="711"/>
      <c r="P61" s="711"/>
      <c r="Q61" s="711"/>
      <c r="R61" s="712"/>
    </row>
    <row r="62" spans="1:18">
      <c r="A62" s="39"/>
      <c r="B62" s="40"/>
      <c r="C62" s="69"/>
      <c r="D62" s="41"/>
      <c r="E62" s="41"/>
      <c r="F62" s="41"/>
      <c r="G62" s="149" t="s">
        <v>460</v>
      </c>
      <c r="H62" s="150">
        <f>CEILING(SUM(M48,R47,R48)/H55,0.0025)</f>
        <v>6.5000000000000002E-2</v>
      </c>
      <c r="I62" s="42"/>
      <c r="J62" s="43"/>
      <c r="K62" s="43"/>
      <c r="L62" s="43"/>
      <c r="M62" s="43"/>
      <c r="N62" s="43"/>
      <c r="O62" s="43"/>
      <c r="P62" s="43"/>
      <c r="Q62" s="43"/>
      <c r="R62" s="44"/>
    </row>
    <row r="64" spans="1:18">
      <c r="A64" s="693" t="s">
        <v>0</v>
      </c>
      <c r="B64" s="695" t="s">
        <v>1</v>
      </c>
      <c r="C64" s="695" t="s">
        <v>2</v>
      </c>
      <c r="D64" s="697" t="s">
        <v>3</v>
      </c>
      <c r="E64" s="698"/>
      <c r="F64" s="698"/>
      <c r="G64" s="698"/>
      <c r="H64" s="698"/>
      <c r="I64" s="699" t="s">
        <v>4</v>
      </c>
      <c r="J64" s="700"/>
      <c r="K64" s="700"/>
      <c r="L64" s="700"/>
      <c r="M64" s="700"/>
      <c r="N64" s="698" t="s">
        <v>5</v>
      </c>
      <c r="O64" s="698"/>
      <c r="P64" s="698"/>
      <c r="Q64" s="698"/>
      <c r="R64" s="698"/>
    </row>
    <row r="65" spans="1:18">
      <c r="A65" s="694"/>
      <c r="B65" s="696"/>
      <c r="C65" s="696"/>
      <c r="D65" s="45" t="s">
        <v>6</v>
      </c>
      <c r="E65" s="46" t="s">
        <v>2</v>
      </c>
      <c r="F65" s="46" t="s">
        <v>7</v>
      </c>
      <c r="G65" s="46" t="s">
        <v>8</v>
      </c>
      <c r="H65" s="46" t="s">
        <v>9</v>
      </c>
      <c r="I65" s="46" t="s">
        <v>10</v>
      </c>
      <c r="J65" s="46" t="s">
        <v>2</v>
      </c>
      <c r="K65" s="46" t="s">
        <v>7</v>
      </c>
      <c r="L65" s="46" t="s">
        <v>8</v>
      </c>
      <c r="M65" s="47" t="s">
        <v>9</v>
      </c>
      <c r="N65" s="46" t="s">
        <v>10</v>
      </c>
      <c r="O65" s="46" t="s">
        <v>2</v>
      </c>
      <c r="P65" s="46" t="s">
        <v>7</v>
      </c>
      <c r="Q65" s="46" t="s">
        <v>8</v>
      </c>
      <c r="R65" s="46" t="s">
        <v>9</v>
      </c>
    </row>
    <row r="66" spans="1:18">
      <c r="A66" s="33" t="s">
        <v>23</v>
      </c>
      <c r="B66" s="73" t="s">
        <v>365</v>
      </c>
      <c r="C66" s="65"/>
      <c r="D66" s="31"/>
      <c r="E66" s="31"/>
      <c r="F66" s="31"/>
      <c r="G66" s="31"/>
      <c r="H66" s="31"/>
      <c r="I66" s="31"/>
      <c r="J66" s="31"/>
      <c r="K66" s="31"/>
      <c r="L66" s="31"/>
      <c r="M66" s="31"/>
      <c r="N66" s="31"/>
      <c r="O66" s="31"/>
      <c r="P66" s="31"/>
      <c r="Q66" s="31"/>
      <c r="R66" s="32"/>
    </row>
    <row r="67" spans="1:18">
      <c r="A67" s="34">
        <f>A46+1</f>
        <v>4</v>
      </c>
      <c r="B67" s="713" t="s">
        <v>366</v>
      </c>
      <c r="C67" s="66" t="s">
        <v>11</v>
      </c>
      <c r="D67" s="4"/>
      <c r="E67" s="6"/>
      <c r="F67" s="29"/>
      <c r="G67" s="26"/>
      <c r="H67" s="26"/>
      <c r="I67" s="6"/>
      <c r="J67" s="6"/>
      <c r="K67" s="29"/>
      <c r="L67" s="26"/>
      <c r="M67" s="26"/>
      <c r="N67" s="6"/>
      <c r="O67" s="6"/>
      <c r="P67" s="29"/>
      <c r="Q67" s="26"/>
      <c r="R67" s="26"/>
    </row>
    <row r="68" spans="1:18">
      <c r="A68" s="2"/>
      <c r="B68" s="714"/>
      <c r="C68" s="66"/>
      <c r="D68" s="4" t="s">
        <v>251</v>
      </c>
      <c r="E68" s="6" t="s">
        <v>81</v>
      </c>
      <c r="F68" s="29">
        <v>0.7</v>
      </c>
      <c r="G68" s="26">
        <f>sr</f>
        <v>1100</v>
      </c>
      <c r="H68" s="26">
        <f>F68*G68</f>
        <v>770</v>
      </c>
      <c r="I68" s="7" t="s">
        <v>362</v>
      </c>
      <c r="J68" s="8" t="s">
        <v>11</v>
      </c>
      <c r="K68" s="88">
        <v>1.1000000000000001</v>
      </c>
      <c r="L68" s="28">
        <f>stone</f>
        <v>1000</v>
      </c>
      <c r="M68" s="26">
        <f>K68*L68</f>
        <v>1100</v>
      </c>
      <c r="N68" s="8"/>
      <c r="O68" s="6"/>
      <c r="P68" s="29"/>
      <c r="Q68" s="28"/>
      <c r="R68" s="26"/>
    </row>
    <row r="69" spans="1:18">
      <c r="A69" s="2"/>
      <c r="B69" s="714"/>
      <c r="C69" s="66"/>
      <c r="D69" s="4" t="s">
        <v>97</v>
      </c>
      <c r="E69" s="6" t="s">
        <v>81</v>
      </c>
      <c r="F69" s="29">
        <v>5</v>
      </c>
      <c r="G69" s="26">
        <f>ur</f>
        <v>850</v>
      </c>
      <c r="H69" s="26">
        <f>F69*G69</f>
        <v>4250</v>
      </c>
      <c r="I69" s="7"/>
      <c r="J69" s="8"/>
      <c r="K69" s="88"/>
      <c r="L69" s="28"/>
      <c r="M69" s="26"/>
      <c r="N69" s="8"/>
      <c r="O69" s="6"/>
      <c r="P69" s="29"/>
      <c r="Q69" s="28"/>
      <c r="R69" s="26"/>
    </row>
    <row r="70" spans="1:18">
      <c r="A70" s="2"/>
      <c r="B70" s="714"/>
      <c r="C70" s="66"/>
      <c r="D70" s="4"/>
      <c r="E70" s="6"/>
      <c r="F70" s="29"/>
      <c r="G70" s="26"/>
      <c r="H70" s="26"/>
      <c r="I70" s="7"/>
      <c r="J70" s="8"/>
      <c r="K70" s="88"/>
      <c r="L70" s="28"/>
      <c r="M70" s="26"/>
      <c r="N70" s="8"/>
      <c r="O70" s="6"/>
      <c r="P70" s="29"/>
      <c r="Q70" s="28"/>
      <c r="R70" s="28"/>
    </row>
    <row r="71" spans="1:18">
      <c r="A71" s="2"/>
      <c r="B71" s="714"/>
      <c r="C71" s="66"/>
      <c r="D71" s="4"/>
      <c r="E71" s="6"/>
      <c r="F71" s="29"/>
      <c r="G71" s="26"/>
      <c r="H71" s="26"/>
      <c r="I71" s="7"/>
      <c r="J71" s="8"/>
      <c r="K71" s="88"/>
      <c r="L71" s="28"/>
      <c r="M71" s="26"/>
      <c r="N71" s="8"/>
      <c r="O71" s="6"/>
      <c r="P71" s="29"/>
      <c r="Q71" s="28"/>
      <c r="R71" s="28"/>
    </row>
    <row r="72" spans="1:18">
      <c r="A72" s="2"/>
      <c r="B72" s="126"/>
      <c r="C72" s="66"/>
      <c r="D72" s="4"/>
      <c r="E72" s="6"/>
      <c r="F72" s="29"/>
      <c r="G72" s="26"/>
      <c r="H72" s="26"/>
      <c r="I72" s="7"/>
      <c r="J72" s="8"/>
      <c r="K72" s="88"/>
      <c r="L72" s="28"/>
      <c r="M72" s="26"/>
      <c r="N72" s="8"/>
      <c r="O72" s="6"/>
      <c r="P72" s="29"/>
      <c r="Q72" s="28"/>
      <c r="R72" s="28"/>
    </row>
    <row r="73" spans="1:18">
      <c r="A73" s="2"/>
      <c r="B73" s="126"/>
      <c r="C73" s="66"/>
      <c r="D73" s="4"/>
      <c r="E73" s="6"/>
      <c r="F73" s="29"/>
      <c r="G73" s="26"/>
      <c r="H73" s="26"/>
      <c r="I73" s="7"/>
      <c r="J73" s="8"/>
      <c r="K73" s="29"/>
      <c r="L73" s="28"/>
      <c r="M73" s="26"/>
      <c r="N73" s="8"/>
      <c r="O73" s="6"/>
      <c r="P73" s="29"/>
      <c r="Q73" s="28"/>
      <c r="R73" s="28"/>
    </row>
    <row r="74" spans="1:18">
      <c r="A74" s="2"/>
      <c r="B74" s="5"/>
      <c r="C74" s="66"/>
      <c r="D74" s="4"/>
      <c r="E74" s="9"/>
      <c r="F74" s="30"/>
      <c r="G74" s="27"/>
      <c r="H74" s="27"/>
      <c r="I74" s="9"/>
      <c r="J74" s="10"/>
      <c r="K74" s="30"/>
      <c r="L74" s="28"/>
      <c r="M74" s="28"/>
      <c r="N74" s="8"/>
      <c r="O74" s="6"/>
      <c r="P74" s="30"/>
      <c r="Q74" s="28"/>
      <c r="R74" s="28"/>
    </row>
    <row r="75" spans="1:18">
      <c r="A75" s="2"/>
      <c r="B75" s="11"/>
      <c r="C75" s="66"/>
      <c r="D75" s="12"/>
      <c r="E75" s="59"/>
      <c r="F75" s="13"/>
      <c r="G75" s="13" t="s">
        <v>20</v>
      </c>
      <c r="H75" s="25">
        <f>SUM(H67:H74)</f>
        <v>5020</v>
      </c>
      <c r="I75" s="703"/>
      <c r="J75" s="703"/>
      <c r="K75" s="14"/>
      <c r="L75" s="13" t="s">
        <v>21</v>
      </c>
      <c r="M75" s="25">
        <f>SUM(M67:M74)</f>
        <v>1100</v>
      </c>
      <c r="N75" s="3"/>
      <c r="O75" s="14"/>
      <c r="P75" s="14"/>
      <c r="Q75" s="13" t="s">
        <v>22</v>
      </c>
      <c r="R75" s="25">
        <f>SUM(R67:R74)</f>
        <v>0</v>
      </c>
    </row>
    <row r="76" spans="1:18">
      <c r="A76" s="2"/>
      <c r="B76" s="16" t="s">
        <v>13</v>
      </c>
      <c r="C76" s="67"/>
      <c r="D76" s="14"/>
      <c r="E76" s="14"/>
      <c r="F76" s="14"/>
      <c r="G76" s="13"/>
      <c r="H76" s="35">
        <f>M75+R75+H75</f>
        <v>6120</v>
      </c>
      <c r="I76" s="17"/>
      <c r="J76" s="14"/>
      <c r="K76" s="14"/>
      <c r="L76" s="13"/>
      <c r="M76" s="15"/>
      <c r="N76" s="14"/>
      <c r="O76" s="14"/>
      <c r="P76" s="14"/>
      <c r="Q76" s="14"/>
      <c r="R76" s="17"/>
    </row>
    <row r="77" spans="1:18">
      <c r="A77" s="2"/>
      <c r="B77" s="11" t="s">
        <v>25</v>
      </c>
      <c r="C77" s="68"/>
      <c r="D77" s="4"/>
      <c r="E77" s="4"/>
      <c r="F77" s="4"/>
      <c r="G77" s="18"/>
      <c r="H77" s="36">
        <v>0</v>
      </c>
      <c r="I77" s="20"/>
      <c r="J77" s="4" t="s">
        <v>26</v>
      </c>
      <c r="K77" s="4"/>
      <c r="L77" s="18"/>
      <c r="M77" s="19"/>
      <c r="N77" s="4"/>
      <c r="O77" s="4"/>
      <c r="P77" s="4"/>
      <c r="Q77" s="4"/>
      <c r="R77" s="20"/>
    </row>
    <row r="78" spans="1:18">
      <c r="A78" s="23"/>
      <c r="B78" s="11" t="s">
        <v>14</v>
      </c>
      <c r="C78" s="68"/>
      <c r="D78" s="4"/>
      <c r="E78" s="4"/>
      <c r="F78" s="4"/>
      <c r="G78" s="18"/>
      <c r="H78" s="36">
        <f>SUM(H76:H77)</f>
        <v>6120</v>
      </c>
      <c r="I78" s="20"/>
      <c r="J78" s="704"/>
      <c r="K78" s="705"/>
      <c r="L78" s="705"/>
      <c r="M78" s="705"/>
      <c r="N78" s="705"/>
      <c r="O78" s="705"/>
      <c r="P78" s="705"/>
      <c r="Q78" s="705"/>
      <c r="R78" s="706"/>
    </row>
    <row r="79" spans="1:18">
      <c r="A79" s="23"/>
      <c r="B79" s="11" t="s">
        <v>24</v>
      </c>
      <c r="C79" s="68"/>
      <c r="D79" s="4"/>
      <c r="E79" s="4"/>
      <c r="F79" s="4"/>
      <c r="G79" s="18"/>
      <c r="H79" s="36">
        <f>H78*15%</f>
        <v>918</v>
      </c>
      <c r="I79" s="20"/>
      <c r="J79" s="707"/>
      <c r="K79" s="708"/>
      <c r="L79" s="708"/>
      <c r="M79" s="708"/>
      <c r="N79" s="708"/>
      <c r="O79" s="708"/>
      <c r="P79" s="708"/>
      <c r="Q79" s="708"/>
      <c r="R79" s="709"/>
    </row>
    <row r="80" spans="1:18">
      <c r="A80" s="23"/>
      <c r="B80" s="11" t="s">
        <v>15</v>
      </c>
      <c r="C80" s="68"/>
      <c r="D80" s="4"/>
      <c r="E80" s="4"/>
      <c r="F80" s="4"/>
      <c r="G80" s="21" t="s">
        <v>16</v>
      </c>
      <c r="H80" s="37">
        <f>H79+H78</f>
        <v>7038</v>
      </c>
      <c r="I80" s="38" t="str">
        <f>CONCATENATE("per ",C67)</f>
        <v>per cum</v>
      </c>
      <c r="J80" s="707"/>
      <c r="K80" s="708"/>
      <c r="L80" s="708"/>
      <c r="M80" s="708"/>
      <c r="N80" s="708"/>
      <c r="O80" s="708"/>
      <c r="P80" s="708"/>
      <c r="Q80" s="708"/>
      <c r="R80" s="709"/>
    </row>
    <row r="81" spans="1:18">
      <c r="A81" s="23"/>
      <c r="B81" s="11" t="s">
        <v>18</v>
      </c>
      <c r="C81" s="125" t="s">
        <v>19</v>
      </c>
      <c r="D81" s="4"/>
      <c r="E81" s="4"/>
      <c r="F81" s="4"/>
      <c r="G81" s="21" t="s">
        <v>16</v>
      </c>
      <c r="H81" s="37">
        <f>CEILING(H80,0.5)</f>
        <v>7038</v>
      </c>
      <c r="I81" s="38" t="str">
        <f>CONCATENATE("per ",C67)</f>
        <v>per cum</v>
      </c>
      <c r="J81" s="707"/>
      <c r="K81" s="708"/>
      <c r="L81" s="708"/>
      <c r="M81" s="708"/>
      <c r="N81" s="708"/>
      <c r="O81" s="708"/>
      <c r="P81" s="708"/>
      <c r="Q81" s="708"/>
      <c r="R81" s="709"/>
    </row>
    <row r="82" spans="1:18">
      <c r="A82" s="23"/>
      <c r="B82" s="11"/>
      <c r="C82" s="68"/>
      <c r="D82" s="4"/>
      <c r="E82" s="4"/>
      <c r="F82" s="4"/>
      <c r="G82" s="24" t="s">
        <v>17</v>
      </c>
      <c r="H82" s="37">
        <f>H81/exr</f>
        <v>54.138461538461542</v>
      </c>
      <c r="I82" s="38" t="str">
        <f>CONCATENATE("per ",C67)</f>
        <v>per cum</v>
      </c>
      <c r="J82" s="710"/>
      <c r="K82" s="711"/>
      <c r="L82" s="711"/>
      <c r="M82" s="711"/>
      <c r="N82" s="711"/>
      <c r="O82" s="711"/>
      <c r="P82" s="711"/>
      <c r="Q82" s="711"/>
      <c r="R82" s="712"/>
    </row>
    <row r="83" spans="1:18">
      <c r="A83" s="39"/>
      <c r="B83" s="40"/>
      <c r="C83" s="69"/>
      <c r="D83" s="41"/>
      <c r="E83" s="41"/>
      <c r="F83" s="41"/>
      <c r="G83" s="149" t="s">
        <v>460</v>
      </c>
      <c r="H83" s="150">
        <f>CEILING(0,0.0025)</f>
        <v>0</v>
      </c>
      <c r="I83" s="42"/>
      <c r="J83" s="43"/>
      <c r="K83" s="43"/>
      <c r="L83" s="43"/>
      <c r="M83" s="43"/>
      <c r="N83" s="43"/>
      <c r="O83" s="43"/>
      <c r="P83" s="43"/>
      <c r="Q83" s="43"/>
      <c r="R83" s="44"/>
    </row>
    <row r="85" spans="1:18">
      <c r="A85" s="693" t="s">
        <v>0</v>
      </c>
      <c r="B85" s="695" t="s">
        <v>1</v>
      </c>
      <c r="C85" s="695" t="s">
        <v>2</v>
      </c>
      <c r="D85" s="697" t="s">
        <v>3</v>
      </c>
      <c r="E85" s="698"/>
      <c r="F85" s="698"/>
      <c r="G85" s="698"/>
      <c r="H85" s="698"/>
      <c r="I85" s="699" t="s">
        <v>4</v>
      </c>
      <c r="J85" s="700"/>
      <c r="K85" s="700"/>
      <c r="L85" s="700"/>
      <c r="M85" s="700"/>
      <c r="N85" s="698" t="s">
        <v>5</v>
      </c>
      <c r="O85" s="698"/>
      <c r="P85" s="698"/>
      <c r="Q85" s="698"/>
      <c r="R85" s="698"/>
    </row>
    <row r="86" spans="1:18">
      <c r="A86" s="694"/>
      <c r="B86" s="696"/>
      <c r="C86" s="696"/>
      <c r="D86" s="45" t="s">
        <v>6</v>
      </c>
      <c r="E86" s="46" t="s">
        <v>2</v>
      </c>
      <c r="F86" s="46" t="s">
        <v>7</v>
      </c>
      <c r="G86" s="46" t="s">
        <v>8</v>
      </c>
      <c r="H86" s="46" t="s">
        <v>9</v>
      </c>
      <c r="I86" s="46" t="s">
        <v>10</v>
      </c>
      <c r="J86" s="46" t="s">
        <v>2</v>
      </c>
      <c r="K86" s="46" t="s">
        <v>7</v>
      </c>
      <c r="L86" s="46" t="s">
        <v>8</v>
      </c>
      <c r="M86" s="47" t="s">
        <v>9</v>
      </c>
      <c r="N86" s="46" t="s">
        <v>10</v>
      </c>
      <c r="O86" s="46" t="s">
        <v>2</v>
      </c>
      <c r="P86" s="46" t="s">
        <v>7</v>
      </c>
      <c r="Q86" s="46" t="s">
        <v>8</v>
      </c>
      <c r="R86" s="46" t="s">
        <v>9</v>
      </c>
    </row>
    <row r="87" spans="1:18">
      <c r="A87" s="33" t="s">
        <v>23</v>
      </c>
      <c r="B87" s="73" t="s">
        <v>367</v>
      </c>
      <c r="C87" s="65"/>
      <c r="D87" s="31"/>
      <c r="E87" s="31"/>
      <c r="F87" s="31"/>
      <c r="G87" s="31"/>
      <c r="H87" s="31"/>
      <c r="I87" s="31"/>
      <c r="J87" s="31"/>
      <c r="K87" s="31"/>
      <c r="L87" s="31"/>
      <c r="M87" s="31"/>
      <c r="N87" s="31"/>
      <c r="O87" s="31"/>
      <c r="P87" s="31"/>
      <c r="Q87" s="31"/>
      <c r="R87" s="32"/>
    </row>
    <row r="88" spans="1:18">
      <c r="A88" s="34">
        <f>A67+1</f>
        <v>5</v>
      </c>
      <c r="B88" s="713" t="s">
        <v>368</v>
      </c>
      <c r="C88" s="66" t="s">
        <v>11</v>
      </c>
      <c r="D88" s="4"/>
      <c r="E88" s="6"/>
      <c r="F88" s="29"/>
      <c r="G88" s="26"/>
      <c r="H88" s="26"/>
      <c r="I88" s="6"/>
      <c r="J88" s="6"/>
      <c r="K88" s="29"/>
      <c r="L88" s="26"/>
      <c r="M88" s="26"/>
      <c r="N88" s="6"/>
      <c r="O88" s="6"/>
      <c r="P88" s="29"/>
      <c r="Q88" s="26"/>
      <c r="R88" s="26"/>
    </row>
    <row r="89" spans="1:18">
      <c r="A89" s="2"/>
      <c r="B89" s="714"/>
      <c r="C89" s="66"/>
      <c r="D89" s="4" t="s">
        <v>251</v>
      </c>
      <c r="E89" s="6" t="s">
        <v>81</v>
      </c>
      <c r="F89" s="29">
        <v>0.7</v>
      </c>
      <c r="G89" s="26">
        <f>sr</f>
        <v>1100</v>
      </c>
      <c r="H89" s="26">
        <f>F89*G89</f>
        <v>770</v>
      </c>
      <c r="I89" s="7" t="s">
        <v>362</v>
      </c>
      <c r="J89" s="8" t="s">
        <v>11</v>
      </c>
      <c r="K89" s="88">
        <v>1.1000000000000001</v>
      </c>
      <c r="L89" s="28">
        <f>stone</f>
        <v>1000</v>
      </c>
      <c r="M89" s="26">
        <f>K89*L89</f>
        <v>1100</v>
      </c>
      <c r="N89" s="8" t="s">
        <v>369</v>
      </c>
      <c r="O89" s="6" t="s">
        <v>101</v>
      </c>
      <c r="P89" s="29">
        <v>0.15</v>
      </c>
      <c r="Q89" s="28">
        <f>crane</f>
        <v>3785.6</v>
      </c>
      <c r="R89" s="26">
        <f>P89*Q89</f>
        <v>567.83999999999992</v>
      </c>
    </row>
    <row r="90" spans="1:18">
      <c r="A90" s="2"/>
      <c r="B90" s="714"/>
      <c r="C90" s="66"/>
      <c r="D90" s="4" t="s">
        <v>97</v>
      </c>
      <c r="E90" s="6" t="s">
        <v>81</v>
      </c>
      <c r="F90" s="29">
        <v>2.1</v>
      </c>
      <c r="G90" s="26">
        <f>ur</f>
        <v>850</v>
      </c>
      <c r="H90" s="26">
        <f>F90*G90</f>
        <v>1785</v>
      </c>
      <c r="I90" s="7" t="s">
        <v>67</v>
      </c>
      <c r="J90" s="8" t="s">
        <v>250</v>
      </c>
      <c r="K90" s="88">
        <v>2.5</v>
      </c>
      <c r="L90" s="28">
        <f>diesel</f>
        <v>177.6</v>
      </c>
      <c r="M90" s="26">
        <f>K90*L90</f>
        <v>444</v>
      </c>
      <c r="N90" s="8"/>
      <c r="O90" s="6"/>
      <c r="P90" s="29"/>
      <c r="Q90" s="28"/>
      <c r="R90" s="26"/>
    </row>
    <row r="91" spans="1:18">
      <c r="A91" s="2"/>
      <c r="B91" s="714"/>
      <c r="C91" s="66"/>
      <c r="D91" s="4"/>
      <c r="E91" s="6"/>
      <c r="F91" s="29"/>
      <c r="G91" s="26"/>
      <c r="H91" s="26"/>
      <c r="I91" s="7"/>
      <c r="J91" s="8"/>
      <c r="K91" s="88"/>
      <c r="L91" s="28"/>
      <c r="M91" s="26"/>
      <c r="N91" s="8"/>
      <c r="O91" s="6"/>
      <c r="P91" s="29"/>
      <c r="Q91" s="28"/>
      <c r="R91" s="28"/>
    </row>
    <row r="92" spans="1:18">
      <c r="A92" s="2"/>
      <c r="B92" s="714"/>
      <c r="C92" s="66"/>
      <c r="D92" s="4"/>
      <c r="E92" s="6"/>
      <c r="F92" s="29"/>
      <c r="G92" s="26"/>
      <c r="H92" s="26"/>
      <c r="I92" s="7"/>
      <c r="J92" s="8"/>
      <c r="K92" s="88"/>
      <c r="L92" s="28"/>
      <c r="M92" s="26"/>
      <c r="N92" s="8"/>
      <c r="O92" s="6"/>
      <c r="P92" s="29"/>
      <c r="Q92" s="28"/>
      <c r="R92" s="28"/>
    </row>
    <row r="93" spans="1:18">
      <c r="A93" s="2"/>
      <c r="B93" s="126"/>
      <c r="C93" s="66"/>
      <c r="D93" s="4"/>
      <c r="E93" s="6"/>
      <c r="F93" s="29"/>
      <c r="G93" s="26"/>
      <c r="H93" s="26"/>
      <c r="I93" s="7"/>
      <c r="J93" s="8"/>
      <c r="K93" s="88"/>
      <c r="L93" s="28"/>
      <c r="M93" s="26"/>
      <c r="N93" s="8"/>
      <c r="O93" s="6"/>
      <c r="P93" s="29"/>
      <c r="Q93" s="28"/>
      <c r="R93" s="28"/>
    </row>
    <row r="94" spans="1:18">
      <c r="A94" s="2"/>
      <c r="B94" s="126"/>
      <c r="C94" s="66"/>
      <c r="D94" s="4"/>
      <c r="E94" s="6"/>
      <c r="F94" s="29"/>
      <c r="G94" s="26"/>
      <c r="H94" s="26"/>
      <c r="I94" s="7"/>
      <c r="J94" s="8"/>
      <c r="K94" s="29"/>
      <c r="L94" s="28"/>
      <c r="M94" s="26"/>
      <c r="N94" s="8"/>
      <c r="O94" s="6"/>
      <c r="P94" s="29"/>
      <c r="Q94" s="28"/>
      <c r="R94" s="28"/>
    </row>
    <row r="95" spans="1:18">
      <c r="A95" s="2"/>
      <c r="B95" s="5"/>
      <c r="C95" s="66"/>
      <c r="D95" s="4"/>
      <c r="E95" s="9"/>
      <c r="F95" s="30"/>
      <c r="G95" s="27"/>
      <c r="H95" s="27"/>
      <c r="I95" s="9"/>
      <c r="J95" s="10"/>
      <c r="K95" s="30"/>
      <c r="L95" s="28"/>
      <c r="M95" s="28"/>
      <c r="N95" s="8"/>
      <c r="O95" s="6"/>
      <c r="P95" s="30"/>
      <c r="Q95" s="28"/>
      <c r="R95" s="28"/>
    </row>
    <row r="96" spans="1:18">
      <c r="A96" s="2"/>
      <c r="B96" s="11"/>
      <c r="C96" s="66"/>
      <c r="D96" s="12"/>
      <c r="E96" s="59"/>
      <c r="F96" s="13"/>
      <c r="G96" s="13" t="s">
        <v>20</v>
      </c>
      <c r="H96" s="25">
        <f>SUM(H88:H95)</f>
        <v>2555</v>
      </c>
      <c r="I96" s="703"/>
      <c r="J96" s="703"/>
      <c r="K96" s="14"/>
      <c r="L96" s="13" t="s">
        <v>21</v>
      </c>
      <c r="M96" s="25">
        <f>SUM(M88:M95)</f>
        <v>1544</v>
      </c>
      <c r="N96" s="3"/>
      <c r="O96" s="14"/>
      <c r="P96" s="14"/>
      <c r="Q96" s="13" t="s">
        <v>22</v>
      </c>
      <c r="R96" s="25">
        <f>SUM(R88:R95)</f>
        <v>567.83999999999992</v>
      </c>
    </row>
    <row r="97" spans="1:18">
      <c r="A97" s="2"/>
      <c r="B97" s="16" t="s">
        <v>13</v>
      </c>
      <c r="C97" s="67"/>
      <c r="D97" s="14"/>
      <c r="E97" s="14"/>
      <c r="F97" s="14"/>
      <c r="G97" s="13"/>
      <c r="H97" s="35">
        <f>M96+R96+H96</f>
        <v>4666.84</v>
      </c>
      <c r="I97" s="17"/>
      <c r="J97" s="14"/>
      <c r="K97" s="14"/>
      <c r="L97" s="13"/>
      <c r="M97" s="15"/>
      <c r="N97" s="14"/>
      <c r="O97" s="14"/>
      <c r="P97" s="14"/>
      <c r="Q97" s="14"/>
      <c r="R97" s="17"/>
    </row>
    <row r="98" spans="1:18">
      <c r="A98" s="2"/>
      <c r="B98" s="11" t="s">
        <v>25</v>
      </c>
      <c r="C98" s="68"/>
      <c r="D98" s="4"/>
      <c r="E98" s="4"/>
      <c r="F98" s="4"/>
      <c r="G98" s="18"/>
      <c r="H98" s="36">
        <v>0</v>
      </c>
      <c r="I98" s="20"/>
      <c r="J98" s="4" t="s">
        <v>26</v>
      </c>
      <c r="K98" s="4"/>
      <c r="L98" s="18"/>
      <c r="M98" s="19"/>
      <c r="N98" s="4"/>
      <c r="O98" s="4"/>
      <c r="P98" s="4"/>
      <c r="Q98" s="4"/>
      <c r="R98" s="20"/>
    </row>
    <row r="99" spans="1:18">
      <c r="A99" s="23"/>
      <c r="B99" s="11" t="s">
        <v>14</v>
      </c>
      <c r="C99" s="68"/>
      <c r="D99" s="4"/>
      <c r="E99" s="4"/>
      <c r="F99" s="4"/>
      <c r="G99" s="18"/>
      <c r="H99" s="36">
        <f>SUM(H97:H98)</f>
        <v>4666.84</v>
      </c>
      <c r="I99" s="20"/>
      <c r="J99" s="704"/>
      <c r="K99" s="705"/>
      <c r="L99" s="705"/>
      <c r="M99" s="705"/>
      <c r="N99" s="705"/>
      <c r="O99" s="705"/>
      <c r="P99" s="705"/>
      <c r="Q99" s="705"/>
      <c r="R99" s="706"/>
    </row>
    <row r="100" spans="1:18">
      <c r="A100" s="23"/>
      <c r="B100" s="11" t="s">
        <v>24</v>
      </c>
      <c r="C100" s="68"/>
      <c r="D100" s="4"/>
      <c r="E100" s="4"/>
      <c r="F100" s="4"/>
      <c r="G100" s="18"/>
      <c r="H100" s="36">
        <f>H99*15%</f>
        <v>700.02599999999995</v>
      </c>
      <c r="I100" s="20"/>
      <c r="J100" s="707"/>
      <c r="K100" s="708"/>
      <c r="L100" s="708"/>
      <c r="M100" s="708"/>
      <c r="N100" s="708"/>
      <c r="O100" s="708"/>
      <c r="P100" s="708"/>
      <c r="Q100" s="708"/>
      <c r="R100" s="709"/>
    </row>
    <row r="101" spans="1:18">
      <c r="A101" s="23"/>
      <c r="B101" s="11" t="s">
        <v>15</v>
      </c>
      <c r="C101" s="68"/>
      <c r="D101" s="4"/>
      <c r="E101" s="4"/>
      <c r="F101" s="4"/>
      <c r="G101" s="21" t="s">
        <v>16</v>
      </c>
      <c r="H101" s="37">
        <f>H100+H99</f>
        <v>5366.866</v>
      </c>
      <c r="I101" s="38" t="str">
        <f>CONCATENATE("per ",C88)</f>
        <v>per cum</v>
      </c>
      <c r="J101" s="707"/>
      <c r="K101" s="708"/>
      <c r="L101" s="708"/>
      <c r="M101" s="708"/>
      <c r="N101" s="708"/>
      <c r="O101" s="708"/>
      <c r="P101" s="708"/>
      <c r="Q101" s="708"/>
      <c r="R101" s="709"/>
    </row>
    <row r="102" spans="1:18">
      <c r="A102" s="23"/>
      <c r="B102" s="11" t="s">
        <v>18</v>
      </c>
      <c r="C102" s="125" t="s">
        <v>19</v>
      </c>
      <c r="D102" s="4"/>
      <c r="E102" s="4"/>
      <c r="F102" s="4"/>
      <c r="G102" s="21" t="s">
        <v>16</v>
      </c>
      <c r="H102" s="37">
        <f>CEILING(H101,0.5)</f>
        <v>5367</v>
      </c>
      <c r="I102" s="38" t="str">
        <f>CONCATENATE("per ",C88)</f>
        <v>per cum</v>
      </c>
      <c r="J102" s="707"/>
      <c r="K102" s="708"/>
      <c r="L102" s="708"/>
      <c r="M102" s="708"/>
      <c r="N102" s="708"/>
      <c r="O102" s="708"/>
      <c r="P102" s="708"/>
      <c r="Q102" s="708"/>
      <c r="R102" s="709"/>
    </row>
    <row r="103" spans="1:18">
      <c r="A103" s="23"/>
      <c r="B103" s="11"/>
      <c r="C103" s="68"/>
      <c r="D103" s="4"/>
      <c r="E103" s="4"/>
      <c r="F103" s="4"/>
      <c r="G103" s="24" t="s">
        <v>17</v>
      </c>
      <c r="H103" s="37">
        <f>H102/exr</f>
        <v>41.284615384615385</v>
      </c>
      <c r="I103" s="38" t="str">
        <f>CONCATENATE("per ",C88)</f>
        <v>per cum</v>
      </c>
      <c r="J103" s="710"/>
      <c r="K103" s="711"/>
      <c r="L103" s="711"/>
      <c r="M103" s="711"/>
      <c r="N103" s="711"/>
      <c r="O103" s="711"/>
      <c r="P103" s="711"/>
      <c r="Q103" s="711"/>
      <c r="R103" s="712"/>
    </row>
    <row r="104" spans="1:18">
      <c r="A104" s="39"/>
      <c r="B104" s="40"/>
      <c r="C104" s="69"/>
      <c r="D104" s="41"/>
      <c r="E104" s="41"/>
      <c r="F104" s="41"/>
      <c r="G104" s="149" t="s">
        <v>460</v>
      </c>
      <c r="H104" s="150">
        <f>CEILING(SUM(M90,R89)/H97,0.0025)</f>
        <v>0.2175</v>
      </c>
      <c r="I104" s="42"/>
      <c r="J104" s="43"/>
      <c r="K104" s="43"/>
      <c r="L104" s="43"/>
      <c r="M104" s="43"/>
      <c r="N104" s="43"/>
      <c r="O104" s="43"/>
      <c r="P104" s="43"/>
      <c r="Q104" s="43"/>
      <c r="R104" s="44"/>
    </row>
  </sheetData>
  <mergeCells count="45">
    <mergeCell ref="B4:B8"/>
    <mergeCell ref="I12:J12"/>
    <mergeCell ref="J15:R19"/>
    <mergeCell ref="A1:A2"/>
    <mergeCell ref="B1:B2"/>
    <mergeCell ref="C1:C2"/>
    <mergeCell ref="D1:H1"/>
    <mergeCell ref="I1:M1"/>
    <mergeCell ref="N1:R1"/>
    <mergeCell ref="N22:R22"/>
    <mergeCell ref="B25:B29"/>
    <mergeCell ref="B88:B92"/>
    <mergeCell ref="B67:B71"/>
    <mergeCell ref="B46:B50"/>
    <mergeCell ref="I33:J33"/>
    <mergeCell ref="J36:R40"/>
    <mergeCell ref="N43:R43"/>
    <mergeCell ref="I54:J54"/>
    <mergeCell ref="J57:R61"/>
    <mergeCell ref="N64:R64"/>
    <mergeCell ref="A22:A23"/>
    <mergeCell ref="B22:B23"/>
    <mergeCell ref="C22:C23"/>
    <mergeCell ref="D22:H22"/>
    <mergeCell ref="I22:M22"/>
    <mergeCell ref="A43:A44"/>
    <mergeCell ref="B43:B44"/>
    <mergeCell ref="C43:C44"/>
    <mergeCell ref="D43:H43"/>
    <mergeCell ref="I43:M43"/>
    <mergeCell ref="A64:A65"/>
    <mergeCell ref="B64:B65"/>
    <mergeCell ref="C64:C65"/>
    <mergeCell ref="D64:H64"/>
    <mergeCell ref="I64:M64"/>
    <mergeCell ref="I96:J96"/>
    <mergeCell ref="J99:R103"/>
    <mergeCell ref="I75:J75"/>
    <mergeCell ref="J78:R82"/>
    <mergeCell ref="A85:A86"/>
    <mergeCell ref="B85:B86"/>
    <mergeCell ref="C85:C86"/>
    <mergeCell ref="D85:H85"/>
    <mergeCell ref="I85:M85"/>
    <mergeCell ref="N85:R85"/>
  </mergeCells>
  <printOptions horizontalCentered="1"/>
  <pageMargins left="0.7" right="0.7" top="0.75" bottom="0.75" header="0.3" footer="0.3"/>
  <pageSetup paperSize="9" scale="66"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2" manualBreakCount="2">
    <brk id="41" max="16383" man="1"/>
    <brk id="8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9"/>
  <sheetViews>
    <sheetView workbookViewId="0">
      <selection sqref="A1:A2"/>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140625" style="1"/>
    <col min="8" max="8" width="10.7109375" style="1" customWidth="1"/>
    <col min="9" max="9" width="18.42578125" style="1" customWidth="1"/>
    <col min="10" max="10" width="5.28515625" style="1" customWidth="1"/>
    <col min="11" max="12" width="9.140625" style="1"/>
    <col min="13" max="13" width="10.7109375" style="1" customWidth="1"/>
    <col min="14" max="14" width="16.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371</v>
      </c>
      <c r="C3" s="65"/>
      <c r="D3" s="31"/>
      <c r="E3" s="31"/>
      <c r="F3" s="31"/>
      <c r="G3" s="31"/>
      <c r="H3" s="31"/>
      <c r="I3" s="31"/>
      <c r="J3" s="31"/>
      <c r="K3" s="31"/>
      <c r="L3" s="31"/>
      <c r="M3" s="31"/>
      <c r="N3" s="31"/>
      <c r="O3" s="31"/>
      <c r="P3" s="31"/>
      <c r="Q3" s="31"/>
      <c r="R3" s="32"/>
    </row>
    <row r="4" spans="1:18" ht="15.75" customHeight="1">
      <c r="A4" s="34">
        <v>1</v>
      </c>
      <c r="B4" s="713" t="s">
        <v>372</v>
      </c>
      <c r="C4" s="66" t="s">
        <v>127</v>
      </c>
      <c r="D4" s="4"/>
      <c r="E4" s="6"/>
      <c r="F4" s="29"/>
      <c r="G4" s="26"/>
      <c r="H4" s="26"/>
      <c r="I4" s="6"/>
      <c r="J4" s="6"/>
      <c r="K4" s="29"/>
      <c r="L4" s="26"/>
      <c r="M4" s="26"/>
      <c r="N4" s="6"/>
      <c r="O4" s="6"/>
      <c r="P4" s="29"/>
      <c r="Q4" s="26"/>
      <c r="R4" s="26"/>
    </row>
    <row r="5" spans="1:18">
      <c r="A5" s="2"/>
      <c r="B5" s="714"/>
      <c r="C5" s="66"/>
      <c r="D5" s="4" t="s">
        <v>97</v>
      </c>
      <c r="E5" s="6" t="s">
        <v>81</v>
      </c>
      <c r="F5" s="29">
        <v>1.7000000000000001E-2</v>
      </c>
      <c r="G5" s="26">
        <f>ur</f>
        <v>850</v>
      </c>
      <c r="H5" s="26">
        <f>F5*G5</f>
        <v>14.450000000000001</v>
      </c>
      <c r="I5" s="7" t="s">
        <v>119</v>
      </c>
      <c r="J5" s="8" t="s">
        <v>127</v>
      </c>
      <c r="K5" s="88">
        <v>1.2</v>
      </c>
      <c r="L5" s="28">
        <f>geotex</f>
        <v>156.77000000000001</v>
      </c>
      <c r="M5" s="26">
        <f>K5*L5</f>
        <v>188.124</v>
      </c>
      <c r="N5" s="8"/>
      <c r="O5" s="6"/>
      <c r="P5" s="29"/>
      <c r="Q5" s="28"/>
      <c r="R5" s="26"/>
    </row>
    <row r="6" spans="1:18">
      <c r="A6" s="2"/>
      <c r="B6" s="714"/>
      <c r="C6" s="66"/>
      <c r="D6" s="4"/>
      <c r="E6" s="6"/>
      <c r="F6" s="29"/>
      <c r="G6" s="26"/>
      <c r="H6" s="26"/>
      <c r="I6" s="7"/>
      <c r="J6" s="8"/>
      <c r="K6" s="88"/>
      <c r="L6" s="28"/>
      <c r="M6" s="26"/>
      <c r="N6" s="8"/>
      <c r="O6" s="6"/>
      <c r="P6" s="29"/>
      <c r="Q6" s="28"/>
      <c r="R6" s="26"/>
    </row>
    <row r="7" spans="1:18">
      <c r="A7" s="2"/>
      <c r="B7" s="714"/>
      <c r="C7" s="66"/>
      <c r="D7" s="4"/>
      <c r="E7" s="6"/>
      <c r="F7" s="29"/>
      <c r="G7" s="26"/>
      <c r="H7" s="26"/>
      <c r="I7" s="7"/>
      <c r="J7" s="8"/>
      <c r="K7" s="88"/>
      <c r="L7" s="28"/>
      <c r="M7" s="26"/>
      <c r="N7" s="8"/>
      <c r="O7" s="6"/>
      <c r="P7" s="29"/>
      <c r="Q7" s="28"/>
      <c r="R7" s="28"/>
    </row>
    <row r="8" spans="1:18">
      <c r="A8" s="2"/>
      <c r="B8" s="126"/>
      <c r="C8" s="66"/>
      <c r="D8" s="4"/>
      <c r="E8" s="6"/>
      <c r="F8" s="29"/>
      <c r="G8" s="26"/>
      <c r="H8" s="26"/>
      <c r="I8" s="7"/>
      <c r="J8" s="8"/>
      <c r="K8" s="29"/>
      <c r="L8" s="28"/>
      <c r="M8" s="26"/>
      <c r="N8" s="8"/>
      <c r="O8" s="6"/>
      <c r="P8" s="29"/>
      <c r="Q8" s="28"/>
      <c r="R8" s="28"/>
    </row>
    <row r="9" spans="1:18">
      <c r="A9" s="2"/>
      <c r="B9" s="5"/>
      <c r="C9" s="66"/>
      <c r="D9" s="4"/>
      <c r="E9" s="9"/>
      <c r="F9" s="30"/>
      <c r="G9" s="27"/>
      <c r="H9" s="27"/>
      <c r="I9" s="9"/>
      <c r="J9" s="10"/>
      <c r="K9" s="30"/>
      <c r="L9" s="28"/>
      <c r="M9" s="28"/>
      <c r="N9" s="8"/>
      <c r="O9" s="6"/>
      <c r="P9" s="30"/>
      <c r="Q9" s="28"/>
      <c r="R9" s="28"/>
    </row>
    <row r="10" spans="1:18">
      <c r="A10" s="2"/>
      <c r="B10" s="11"/>
      <c r="C10" s="66"/>
      <c r="D10" s="12"/>
      <c r="E10" s="59"/>
      <c r="F10" s="13"/>
      <c r="G10" s="13" t="s">
        <v>20</v>
      </c>
      <c r="H10" s="25">
        <f>SUM(H4:H9)</f>
        <v>14.450000000000001</v>
      </c>
      <c r="I10" s="703"/>
      <c r="J10" s="703"/>
      <c r="K10" s="14"/>
      <c r="L10" s="13" t="s">
        <v>21</v>
      </c>
      <c r="M10" s="25">
        <f>SUM(M4:M9)</f>
        <v>188.124</v>
      </c>
      <c r="N10" s="3"/>
      <c r="O10" s="14"/>
      <c r="P10" s="14"/>
      <c r="Q10" s="13" t="s">
        <v>22</v>
      </c>
      <c r="R10" s="25">
        <f>SUM(R4:R9)</f>
        <v>0</v>
      </c>
    </row>
    <row r="11" spans="1:18">
      <c r="A11" s="2"/>
      <c r="B11" s="16" t="s">
        <v>13</v>
      </c>
      <c r="C11" s="67"/>
      <c r="D11" s="14"/>
      <c r="E11" s="14"/>
      <c r="F11" s="14"/>
      <c r="G11" s="13"/>
      <c r="H11" s="35">
        <f>M10+R10+H10</f>
        <v>202.57399999999998</v>
      </c>
      <c r="I11" s="17"/>
      <c r="J11" s="14"/>
      <c r="K11" s="14"/>
      <c r="L11" s="13"/>
      <c r="M11" s="15"/>
      <c r="N11" s="14"/>
      <c r="O11" s="14"/>
      <c r="P11" s="14"/>
      <c r="Q11" s="14"/>
      <c r="R11" s="17"/>
    </row>
    <row r="12" spans="1:18">
      <c r="A12" s="2"/>
      <c r="B12" s="11" t="s">
        <v>25</v>
      </c>
      <c r="C12" s="68"/>
      <c r="D12" s="4"/>
      <c r="E12" s="4"/>
      <c r="F12" s="4"/>
      <c r="G12" s="18"/>
      <c r="H12" s="36">
        <v>0</v>
      </c>
      <c r="I12" s="20"/>
      <c r="J12" s="4" t="s">
        <v>26</v>
      </c>
      <c r="K12" s="4"/>
      <c r="L12" s="18"/>
      <c r="M12" s="19"/>
      <c r="N12" s="4"/>
      <c r="O12" s="4"/>
      <c r="P12" s="4"/>
      <c r="Q12" s="4"/>
      <c r="R12" s="20"/>
    </row>
    <row r="13" spans="1:18">
      <c r="A13" s="23"/>
      <c r="B13" s="11" t="s">
        <v>14</v>
      </c>
      <c r="C13" s="68"/>
      <c r="D13" s="4"/>
      <c r="E13" s="4"/>
      <c r="F13" s="4"/>
      <c r="G13" s="18"/>
      <c r="H13" s="36">
        <f>SUM(H11:H12)</f>
        <v>202.57399999999998</v>
      </c>
      <c r="I13" s="20"/>
      <c r="J13" s="704"/>
      <c r="K13" s="705"/>
      <c r="L13" s="705"/>
      <c r="M13" s="705"/>
      <c r="N13" s="705"/>
      <c r="O13" s="705"/>
      <c r="P13" s="705"/>
      <c r="Q13" s="705"/>
      <c r="R13" s="706"/>
    </row>
    <row r="14" spans="1:18">
      <c r="A14" s="23"/>
      <c r="B14" s="11" t="s">
        <v>24</v>
      </c>
      <c r="C14" s="68"/>
      <c r="D14" s="4"/>
      <c r="E14" s="4"/>
      <c r="F14" s="4"/>
      <c r="G14" s="18"/>
      <c r="H14" s="36">
        <f>H13*15%</f>
        <v>30.386099999999995</v>
      </c>
      <c r="I14" s="20"/>
      <c r="J14" s="707"/>
      <c r="K14" s="708"/>
      <c r="L14" s="708"/>
      <c r="M14" s="708"/>
      <c r="N14" s="708"/>
      <c r="O14" s="708"/>
      <c r="P14" s="708"/>
      <c r="Q14" s="708"/>
      <c r="R14" s="709"/>
    </row>
    <row r="15" spans="1:18">
      <c r="A15" s="23"/>
      <c r="B15" s="11" t="s">
        <v>15</v>
      </c>
      <c r="C15" s="68"/>
      <c r="D15" s="4"/>
      <c r="E15" s="4"/>
      <c r="F15" s="4"/>
      <c r="G15" s="21" t="s">
        <v>16</v>
      </c>
      <c r="H15" s="37">
        <f>H14+H13</f>
        <v>232.96009999999998</v>
      </c>
      <c r="I15" s="38" t="str">
        <f>CONCATENATE("per ",C4)</f>
        <v>per sqm</v>
      </c>
      <c r="J15" s="707"/>
      <c r="K15" s="708"/>
      <c r="L15" s="708"/>
      <c r="M15" s="708"/>
      <c r="N15" s="708"/>
      <c r="O15" s="708"/>
      <c r="P15" s="708"/>
      <c r="Q15" s="708"/>
      <c r="R15" s="709"/>
    </row>
    <row r="16" spans="1:18">
      <c r="A16" s="23"/>
      <c r="B16" s="11" t="s">
        <v>18</v>
      </c>
      <c r="C16" s="125" t="s">
        <v>19</v>
      </c>
      <c r="D16" s="4"/>
      <c r="E16" s="4"/>
      <c r="F16" s="4"/>
      <c r="G16" s="21" t="s">
        <v>16</v>
      </c>
      <c r="H16" s="37">
        <f>CEILING(H15,0.5)</f>
        <v>233</v>
      </c>
      <c r="I16" s="38" t="str">
        <f>CONCATENATE("per ",C4)</f>
        <v>per sqm</v>
      </c>
      <c r="J16" s="707"/>
      <c r="K16" s="708"/>
      <c r="L16" s="708"/>
      <c r="M16" s="708"/>
      <c r="N16" s="708"/>
      <c r="O16" s="708"/>
      <c r="P16" s="708"/>
      <c r="Q16" s="708"/>
      <c r="R16" s="709"/>
    </row>
    <row r="17" spans="1:18">
      <c r="A17" s="23"/>
      <c r="B17" s="11"/>
      <c r="C17" s="68"/>
      <c r="D17" s="4"/>
      <c r="E17" s="4"/>
      <c r="F17" s="4"/>
      <c r="G17" s="24" t="s">
        <v>17</v>
      </c>
      <c r="H17" s="37">
        <f>H16/exr</f>
        <v>1.7923076923076924</v>
      </c>
      <c r="I17" s="38" t="str">
        <f>CONCATENATE("per ",C4)</f>
        <v>per sqm</v>
      </c>
      <c r="J17" s="710"/>
      <c r="K17" s="711"/>
      <c r="L17" s="711"/>
      <c r="M17" s="711"/>
      <c r="N17" s="711"/>
      <c r="O17" s="711"/>
      <c r="P17" s="711"/>
      <c r="Q17" s="711"/>
      <c r="R17" s="712"/>
    </row>
    <row r="18" spans="1:18">
      <c r="A18" s="39"/>
      <c r="B18" s="40"/>
      <c r="C18" s="69"/>
      <c r="D18" s="41"/>
      <c r="E18" s="41"/>
      <c r="F18" s="41"/>
      <c r="G18" s="149" t="s">
        <v>460</v>
      </c>
      <c r="H18" s="150">
        <f>CEILING(SUM(M5)/H11,0.0025)</f>
        <v>0.93</v>
      </c>
      <c r="I18" s="42"/>
      <c r="J18" s="43"/>
      <c r="K18" s="43"/>
      <c r="L18" s="43"/>
      <c r="M18" s="43"/>
      <c r="N18" s="43"/>
      <c r="O18" s="43"/>
      <c r="P18" s="43"/>
      <c r="Q18" s="43"/>
      <c r="R18" s="44"/>
    </row>
    <row r="19" spans="1:18">
      <c r="A19" s="22"/>
      <c r="B19" s="22"/>
      <c r="C19" s="70"/>
      <c r="D19" s="22"/>
      <c r="E19" s="22"/>
      <c r="F19" s="22"/>
      <c r="G19" s="22"/>
      <c r="H19" s="22"/>
      <c r="I19" s="22"/>
      <c r="J19" s="22"/>
      <c r="K19" s="22"/>
      <c r="L19" s="22"/>
      <c r="M19" s="22"/>
      <c r="N19" s="22"/>
      <c r="O19" s="22"/>
      <c r="P19" s="22"/>
      <c r="Q19" s="22"/>
      <c r="R19" s="22"/>
    </row>
  </sheetData>
  <mergeCells count="9">
    <mergeCell ref="B4:B7"/>
    <mergeCell ref="I10:J10"/>
    <mergeCell ref="J13:R17"/>
    <mergeCell ref="A1:A2"/>
    <mergeCell ref="B1:B2"/>
    <mergeCell ref="C1:C2"/>
    <mergeCell ref="D1:H1"/>
    <mergeCell ref="I1:M1"/>
    <mergeCell ref="N1:R1"/>
  </mergeCells>
  <printOptions horizontalCentered="1"/>
  <pageMargins left="0.7" right="0.7" top="0.75" bottom="0.75" header="0.3" footer="0.3"/>
  <pageSetup paperSize="9" scale="65" orientation="landscape" r:id="rId1"/>
  <headerFooter>
    <oddHeader>&amp;L&amp;"Gill Sans MT,Italic"&amp;9Hydro Consult
Nyadi Hydropower Project&amp;C&amp;"Gill Sans MT,Regular"RATE ANALYSIS&amp;R&amp;"Gill Sans MT,Italic"&amp;9&amp;A</oddHeader>
    <oddFooter>&amp;R&amp;"Gill Sans MT,Italic"&amp;9Page &amp;P of &amp;N</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62"/>
  <sheetViews>
    <sheetView workbookViewId="0">
      <selection sqref="A1:A2"/>
    </sheetView>
  </sheetViews>
  <sheetFormatPr defaultColWidth="9.140625" defaultRowHeight="15.75"/>
  <cols>
    <col min="1" max="1" width="10.7109375" style="1" customWidth="1"/>
    <col min="2" max="2" width="33" style="1" customWidth="1"/>
    <col min="3" max="3" width="5.28515625" style="1" customWidth="1"/>
    <col min="4" max="4" width="9.140625" style="1"/>
    <col min="5" max="5" width="5.28515625" style="1" customWidth="1"/>
    <col min="6" max="7" width="9.140625" style="1"/>
    <col min="8" max="8" width="10.7109375" style="1" customWidth="1"/>
    <col min="9" max="9" width="20.140625" style="1" customWidth="1"/>
    <col min="10" max="10" width="5.28515625" style="1" customWidth="1"/>
    <col min="11" max="12" width="9.140625" style="1"/>
    <col min="13" max="13" width="10.7109375" style="1" customWidth="1"/>
    <col min="14" max="14" width="17.5703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759"/>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127" t="s">
        <v>436</v>
      </c>
      <c r="C3" s="31"/>
      <c r="D3" s="31"/>
      <c r="E3" s="31"/>
      <c r="F3" s="31"/>
      <c r="G3" s="31"/>
      <c r="H3" s="31"/>
      <c r="I3" s="31"/>
      <c r="J3" s="31"/>
      <c r="K3" s="31"/>
      <c r="L3" s="31"/>
      <c r="M3" s="31"/>
      <c r="N3" s="31"/>
      <c r="O3" s="31"/>
      <c r="P3" s="31"/>
      <c r="Q3" s="31"/>
      <c r="R3" s="32"/>
    </row>
    <row r="4" spans="1:18" ht="15.75" customHeight="1">
      <c r="A4" s="34">
        <v>1</v>
      </c>
      <c r="B4" s="713" t="s">
        <v>418</v>
      </c>
      <c r="C4" s="66">
        <v>10</v>
      </c>
      <c r="D4" s="4"/>
      <c r="E4" s="6"/>
      <c r="F4" s="29"/>
      <c r="G4" s="26"/>
      <c r="H4" s="26"/>
      <c r="I4" s="6"/>
      <c r="J4" s="6"/>
      <c r="K4" s="29"/>
      <c r="L4" s="26"/>
      <c r="M4" s="26"/>
      <c r="N4" s="6"/>
      <c r="O4" s="6"/>
      <c r="P4" s="29"/>
      <c r="Q4" s="26"/>
      <c r="R4" s="26"/>
    </row>
    <row r="5" spans="1:18">
      <c r="A5" s="2"/>
      <c r="B5" s="714"/>
      <c r="C5" s="124" t="s">
        <v>127</v>
      </c>
      <c r="D5" s="4" t="s">
        <v>96</v>
      </c>
      <c r="E5" s="66" t="s">
        <v>81</v>
      </c>
      <c r="F5" s="29">
        <v>2</v>
      </c>
      <c r="G5" s="26">
        <f>sr</f>
        <v>1100</v>
      </c>
      <c r="H5" s="26">
        <f>F5*G5</f>
        <v>2200</v>
      </c>
      <c r="I5" s="7" t="s">
        <v>419</v>
      </c>
      <c r="J5" s="145" t="s">
        <v>421</v>
      </c>
      <c r="K5" s="29">
        <v>12</v>
      </c>
      <c r="L5" s="28">
        <f>CGI</f>
        <v>888.58</v>
      </c>
      <c r="M5" s="26">
        <f>K5*L5</f>
        <v>10662.960000000001</v>
      </c>
      <c r="N5" s="8" t="s">
        <v>294</v>
      </c>
      <c r="O5" s="6"/>
      <c r="P5" s="29"/>
      <c r="Q5" s="28"/>
      <c r="R5" s="26">
        <f>3%*H11</f>
        <v>129.75</v>
      </c>
    </row>
    <row r="6" spans="1:18">
      <c r="A6" s="2"/>
      <c r="B6" s="714"/>
      <c r="C6" s="6"/>
      <c r="D6" s="4" t="s">
        <v>97</v>
      </c>
      <c r="E6" s="66" t="s">
        <v>81</v>
      </c>
      <c r="F6" s="29">
        <v>2.5</v>
      </c>
      <c r="G6" s="26">
        <f>ur</f>
        <v>850</v>
      </c>
      <c r="H6" s="26">
        <f>F6*G6</f>
        <v>2125</v>
      </c>
      <c r="I6" s="7" t="s">
        <v>50</v>
      </c>
      <c r="J6" s="145" t="s">
        <v>45</v>
      </c>
      <c r="K6" s="29">
        <v>30</v>
      </c>
      <c r="L6" s="28">
        <f>Nut</f>
        <v>20.22</v>
      </c>
      <c r="M6" s="26">
        <f>K6*L6</f>
        <v>606.59999999999991</v>
      </c>
      <c r="N6" s="8"/>
      <c r="O6" s="6"/>
      <c r="P6" s="29"/>
      <c r="Q6" s="28"/>
      <c r="R6" s="26"/>
    </row>
    <row r="7" spans="1:18">
      <c r="A7" s="2"/>
      <c r="B7" s="126"/>
      <c r="C7" s="6"/>
      <c r="D7" s="4"/>
      <c r="E7" s="66"/>
      <c r="F7" s="29"/>
      <c r="G7" s="26"/>
      <c r="H7" s="26"/>
      <c r="I7" s="7" t="s">
        <v>51</v>
      </c>
      <c r="J7" s="145" t="s">
        <v>45</v>
      </c>
      <c r="K7" s="29">
        <v>25</v>
      </c>
      <c r="L7" s="28">
        <f>jhooks</f>
        <v>25.67</v>
      </c>
      <c r="M7" s="26">
        <f>K7*L7</f>
        <v>641.75</v>
      </c>
      <c r="N7" s="8"/>
      <c r="O7" s="6"/>
      <c r="P7" s="29"/>
      <c r="Q7" s="28"/>
      <c r="R7" s="26"/>
    </row>
    <row r="8" spans="1:18">
      <c r="A8" s="2"/>
      <c r="B8" s="126"/>
      <c r="C8" s="6"/>
      <c r="D8" s="4"/>
      <c r="E8" s="66"/>
      <c r="F8" s="29"/>
      <c r="G8" s="26"/>
      <c r="H8" s="26"/>
      <c r="I8" s="7" t="s">
        <v>420</v>
      </c>
      <c r="J8" s="145" t="s">
        <v>45</v>
      </c>
      <c r="K8" s="29">
        <v>55</v>
      </c>
      <c r="L8" s="28">
        <f>washer</f>
        <v>2.2200000000000002</v>
      </c>
      <c r="M8" s="26">
        <f>K8*L8</f>
        <v>122.10000000000001</v>
      </c>
      <c r="N8" s="8"/>
      <c r="O8" s="6"/>
      <c r="P8" s="29"/>
      <c r="Q8" s="28"/>
      <c r="R8" s="26"/>
    </row>
    <row r="9" spans="1:18">
      <c r="A9" s="2"/>
      <c r="B9" s="126"/>
      <c r="C9" s="6"/>
      <c r="D9" s="4"/>
      <c r="E9" s="66"/>
      <c r="F9" s="29"/>
      <c r="G9" s="26"/>
      <c r="H9" s="26"/>
      <c r="I9" s="7"/>
      <c r="J9" s="145"/>
      <c r="K9" s="29"/>
      <c r="L9" s="28"/>
      <c r="M9" s="26"/>
      <c r="N9" s="8"/>
      <c r="O9" s="6"/>
      <c r="P9" s="29"/>
      <c r="Q9" s="28"/>
      <c r="R9" s="26"/>
    </row>
    <row r="10" spans="1:18">
      <c r="A10" s="2"/>
      <c r="B10" s="5"/>
      <c r="C10" s="6"/>
      <c r="D10" s="4"/>
      <c r="E10" s="9"/>
      <c r="F10" s="30"/>
      <c r="G10" s="27"/>
      <c r="H10" s="27"/>
      <c r="I10" s="9"/>
      <c r="J10" s="10"/>
      <c r="K10" s="30"/>
      <c r="L10" s="28"/>
      <c r="M10" s="28"/>
      <c r="N10" s="8"/>
      <c r="O10" s="6"/>
      <c r="P10" s="30"/>
      <c r="Q10" s="28"/>
      <c r="R10" s="28"/>
    </row>
    <row r="11" spans="1:18">
      <c r="A11" s="2"/>
      <c r="B11" s="11"/>
      <c r="C11" s="6"/>
      <c r="D11" s="12"/>
      <c r="E11" s="59"/>
      <c r="F11" s="13"/>
      <c r="G11" s="13" t="s">
        <v>20</v>
      </c>
      <c r="H11" s="25">
        <f>SUM(H4:H10)</f>
        <v>4325</v>
      </c>
      <c r="I11" s="703"/>
      <c r="J11" s="703"/>
      <c r="K11" s="14"/>
      <c r="L11" s="13" t="s">
        <v>21</v>
      </c>
      <c r="M11" s="25">
        <f>SUM(M4:M10)</f>
        <v>12033.410000000002</v>
      </c>
      <c r="N11" s="3"/>
      <c r="O11" s="14"/>
      <c r="P11" s="14"/>
      <c r="Q11" s="13" t="s">
        <v>22</v>
      </c>
      <c r="R11" s="25">
        <f>SUM(R4:R10)</f>
        <v>129.75</v>
      </c>
    </row>
    <row r="12" spans="1:18">
      <c r="A12" s="2"/>
      <c r="B12" s="16" t="s">
        <v>13</v>
      </c>
      <c r="C12" s="14"/>
      <c r="D12" s="14"/>
      <c r="E12" s="14"/>
      <c r="F12" s="14"/>
      <c r="G12" s="13"/>
      <c r="H12" s="35">
        <f>M11+R11+H11</f>
        <v>16488.160000000003</v>
      </c>
      <c r="I12" s="17"/>
      <c r="J12" s="14"/>
      <c r="K12" s="14"/>
      <c r="L12" s="13"/>
      <c r="M12" s="15"/>
      <c r="N12" s="14"/>
      <c r="O12" s="14"/>
      <c r="P12" s="14"/>
      <c r="Q12" s="14"/>
      <c r="R12" s="17"/>
    </row>
    <row r="13" spans="1:18">
      <c r="A13" s="2"/>
      <c r="B13" s="11" t="s">
        <v>25</v>
      </c>
      <c r="C13" s="4"/>
      <c r="D13" s="4"/>
      <c r="E13" s="4"/>
      <c r="F13" s="4"/>
      <c r="G13" s="18"/>
      <c r="H13" s="36">
        <v>0</v>
      </c>
      <c r="I13" s="20"/>
      <c r="J13" s="4" t="s">
        <v>26</v>
      </c>
      <c r="K13" s="4"/>
      <c r="L13" s="18"/>
      <c r="M13" s="19"/>
      <c r="N13" s="4"/>
      <c r="O13" s="4"/>
      <c r="P13" s="4"/>
      <c r="Q13" s="4"/>
      <c r="R13" s="20"/>
    </row>
    <row r="14" spans="1:18">
      <c r="A14" s="23"/>
      <c r="B14" s="11" t="s">
        <v>14</v>
      </c>
      <c r="C14" s="4"/>
      <c r="D14" s="4"/>
      <c r="E14" s="4"/>
      <c r="F14" s="4"/>
      <c r="G14" s="18"/>
      <c r="H14" s="36">
        <f>SUM(H12:H13)</f>
        <v>16488.160000000003</v>
      </c>
      <c r="I14" s="20"/>
      <c r="J14" s="741"/>
      <c r="K14" s="742"/>
      <c r="L14" s="742"/>
      <c r="M14" s="742"/>
      <c r="N14" s="742"/>
      <c r="O14" s="742"/>
      <c r="P14" s="742"/>
      <c r="Q14" s="742"/>
      <c r="R14" s="743"/>
    </row>
    <row r="15" spans="1:18">
      <c r="A15" s="23"/>
      <c r="B15" s="11" t="s">
        <v>24</v>
      </c>
      <c r="C15" s="4"/>
      <c r="D15" s="4"/>
      <c r="E15" s="4"/>
      <c r="F15" s="4"/>
      <c r="G15" s="18"/>
      <c r="H15" s="36">
        <f>H14*15%</f>
        <v>2473.2240000000006</v>
      </c>
      <c r="I15" s="20"/>
      <c r="J15" s="744"/>
      <c r="K15" s="745"/>
      <c r="L15" s="745"/>
      <c r="M15" s="745"/>
      <c r="N15" s="745"/>
      <c r="O15" s="745"/>
      <c r="P15" s="745"/>
      <c r="Q15" s="745"/>
      <c r="R15" s="746"/>
    </row>
    <row r="16" spans="1:18">
      <c r="A16" s="23"/>
      <c r="B16" s="11" t="s">
        <v>15</v>
      </c>
      <c r="C16" s="4"/>
      <c r="D16" s="4"/>
      <c r="E16" s="4"/>
      <c r="F16" s="4"/>
      <c r="G16" s="21" t="s">
        <v>16</v>
      </c>
      <c r="H16" s="37">
        <f>H15+H14</f>
        <v>18961.384000000005</v>
      </c>
      <c r="I16" s="38" t="str">
        <f>CONCATENATE("per ",C4, C5)</f>
        <v>per 10sqm</v>
      </c>
      <c r="J16" s="744"/>
      <c r="K16" s="745"/>
      <c r="L16" s="745"/>
      <c r="M16" s="745"/>
      <c r="N16" s="745"/>
      <c r="O16" s="745"/>
      <c r="P16" s="745"/>
      <c r="Q16" s="745"/>
      <c r="R16" s="746"/>
    </row>
    <row r="17" spans="1:18">
      <c r="A17" s="23"/>
      <c r="B17" s="11"/>
      <c r="C17" s="4"/>
      <c r="D17" s="4"/>
      <c r="E17" s="4"/>
      <c r="F17" s="4"/>
      <c r="G17" s="21" t="s">
        <v>16</v>
      </c>
      <c r="H17" s="37">
        <f>H16/C4</f>
        <v>1896.1384000000005</v>
      </c>
      <c r="I17" s="38" t="str">
        <f>CONCATENATE("per ",C5)</f>
        <v>per sqm</v>
      </c>
      <c r="J17" s="744"/>
      <c r="K17" s="745"/>
      <c r="L17" s="745"/>
      <c r="M17" s="745"/>
      <c r="N17" s="745"/>
      <c r="O17" s="745"/>
      <c r="P17" s="745"/>
      <c r="Q17" s="745"/>
      <c r="R17" s="746"/>
    </row>
    <row r="18" spans="1:18">
      <c r="A18" s="23"/>
      <c r="B18" s="11" t="s">
        <v>18</v>
      </c>
      <c r="C18" s="4" t="s">
        <v>19</v>
      </c>
      <c r="D18" s="4"/>
      <c r="E18" s="4"/>
      <c r="F18" s="4"/>
      <c r="G18" s="21" t="s">
        <v>16</v>
      </c>
      <c r="H18" s="37">
        <f>CEILING(H17,0.5)</f>
        <v>1896.5</v>
      </c>
      <c r="I18" s="38" t="str">
        <f>CONCATENATE("per ",C5)</f>
        <v>per sqm</v>
      </c>
      <c r="J18" s="744"/>
      <c r="K18" s="745"/>
      <c r="L18" s="745"/>
      <c r="M18" s="745"/>
      <c r="N18" s="745"/>
      <c r="O18" s="745"/>
      <c r="P18" s="745"/>
      <c r="Q18" s="745"/>
      <c r="R18" s="746"/>
    </row>
    <row r="19" spans="1:18">
      <c r="A19" s="23"/>
      <c r="B19" s="11"/>
      <c r="C19" s="4"/>
      <c r="D19" s="4"/>
      <c r="E19" s="4"/>
      <c r="F19" s="4"/>
      <c r="G19" s="24" t="s">
        <v>17</v>
      </c>
      <c r="H19" s="37">
        <f>H18/exr</f>
        <v>14.588461538461539</v>
      </c>
      <c r="I19" s="38" t="str">
        <f>CONCATENATE("per ",C5)</f>
        <v>per sqm</v>
      </c>
      <c r="J19" s="747"/>
      <c r="K19" s="748"/>
      <c r="L19" s="748"/>
      <c r="M19" s="748"/>
      <c r="N19" s="748"/>
      <c r="O19" s="748"/>
      <c r="P19" s="748"/>
      <c r="Q19" s="748"/>
      <c r="R19" s="749"/>
    </row>
    <row r="20" spans="1:18">
      <c r="A20" s="39"/>
      <c r="B20" s="40"/>
      <c r="C20" s="41"/>
      <c r="D20" s="41"/>
      <c r="E20" s="41"/>
      <c r="F20" s="41"/>
      <c r="G20" s="149" t="s">
        <v>460</v>
      </c>
      <c r="H20" s="150">
        <f>CEILING(SUM(M5,M6,M7,M8)/H12,0.0025)</f>
        <v>0.73</v>
      </c>
      <c r="I20" s="42"/>
      <c r="J20" s="43"/>
      <c r="K20" s="43"/>
      <c r="L20" s="43"/>
      <c r="M20" s="43"/>
      <c r="N20" s="43"/>
      <c r="O20" s="43"/>
      <c r="P20" s="43"/>
      <c r="Q20" s="43"/>
      <c r="R20" s="44"/>
    </row>
    <row r="21" spans="1:18">
      <c r="A21" s="22"/>
      <c r="B21" s="22"/>
      <c r="C21" s="22"/>
      <c r="D21" s="22"/>
      <c r="E21" s="22"/>
      <c r="F21" s="22"/>
      <c r="G21" s="22"/>
      <c r="H21" s="22"/>
      <c r="I21" s="22"/>
      <c r="J21" s="22"/>
      <c r="K21" s="22"/>
      <c r="L21" s="22"/>
      <c r="M21" s="22"/>
      <c r="N21" s="22"/>
      <c r="O21" s="22"/>
      <c r="P21" s="22"/>
      <c r="Q21" s="22"/>
      <c r="R21" s="22"/>
    </row>
    <row r="22" spans="1:18">
      <c r="A22" s="693" t="s">
        <v>0</v>
      </c>
      <c r="B22" s="695" t="s">
        <v>1</v>
      </c>
      <c r="C22" s="695" t="s">
        <v>2</v>
      </c>
      <c r="D22" s="697" t="s">
        <v>3</v>
      </c>
      <c r="E22" s="698"/>
      <c r="F22" s="698"/>
      <c r="G22" s="698"/>
      <c r="H22" s="698"/>
      <c r="I22" s="699" t="s">
        <v>4</v>
      </c>
      <c r="J22" s="700"/>
      <c r="K22" s="700"/>
      <c r="L22" s="700"/>
      <c r="M22" s="700"/>
      <c r="N22" s="698" t="s">
        <v>5</v>
      </c>
      <c r="O22" s="698"/>
      <c r="P22" s="698"/>
      <c r="Q22" s="698"/>
      <c r="R22" s="698"/>
    </row>
    <row r="23" spans="1:18">
      <c r="A23" s="694"/>
      <c r="B23" s="759"/>
      <c r="C23" s="696"/>
      <c r="D23" s="45" t="s">
        <v>6</v>
      </c>
      <c r="E23" s="46" t="s">
        <v>2</v>
      </c>
      <c r="F23" s="46" t="s">
        <v>7</v>
      </c>
      <c r="G23" s="46" t="s">
        <v>8</v>
      </c>
      <c r="H23" s="46" t="s">
        <v>9</v>
      </c>
      <c r="I23" s="46" t="s">
        <v>10</v>
      </c>
      <c r="J23" s="46" t="s">
        <v>2</v>
      </c>
      <c r="K23" s="46" t="s">
        <v>7</v>
      </c>
      <c r="L23" s="46" t="s">
        <v>8</v>
      </c>
      <c r="M23" s="47" t="s">
        <v>9</v>
      </c>
      <c r="N23" s="46" t="s">
        <v>10</v>
      </c>
      <c r="O23" s="46" t="s">
        <v>2</v>
      </c>
      <c r="P23" s="46" t="s">
        <v>7</v>
      </c>
      <c r="Q23" s="46" t="s">
        <v>8</v>
      </c>
      <c r="R23" s="46" t="s">
        <v>9</v>
      </c>
    </row>
    <row r="24" spans="1:18">
      <c r="A24" s="33" t="s">
        <v>23</v>
      </c>
      <c r="B24" s="127" t="s">
        <v>436</v>
      </c>
      <c r="C24" s="31"/>
      <c r="D24" s="31"/>
      <c r="E24" s="31"/>
      <c r="F24" s="31"/>
      <c r="G24" s="31"/>
      <c r="H24" s="31"/>
      <c r="I24" s="31"/>
      <c r="J24" s="31"/>
      <c r="K24" s="31"/>
      <c r="L24" s="31"/>
      <c r="M24" s="31"/>
      <c r="N24" s="31"/>
      <c r="O24" s="31"/>
      <c r="P24" s="31"/>
      <c r="Q24" s="31"/>
      <c r="R24" s="32"/>
    </row>
    <row r="25" spans="1:18">
      <c r="A25" s="34">
        <f>A4+1</f>
        <v>2</v>
      </c>
      <c r="B25" s="713" t="s">
        <v>422</v>
      </c>
      <c r="C25" s="66">
        <v>59.3</v>
      </c>
      <c r="D25" s="4"/>
      <c r="E25" s="6"/>
      <c r="F25" s="29"/>
      <c r="G25" s="26"/>
      <c r="H25" s="26"/>
      <c r="I25" s="6"/>
      <c r="J25" s="6"/>
      <c r="K25" s="29"/>
      <c r="L25" s="26"/>
      <c r="M25" s="26"/>
      <c r="N25" s="6"/>
      <c r="O25" s="6"/>
      <c r="P25" s="29"/>
      <c r="Q25" s="26"/>
      <c r="R25" s="26"/>
    </row>
    <row r="26" spans="1:18">
      <c r="A26" s="2"/>
      <c r="B26" s="714"/>
      <c r="C26" s="124" t="s">
        <v>28</v>
      </c>
      <c r="D26" s="4" t="s">
        <v>96</v>
      </c>
      <c r="E26" s="66" t="s">
        <v>81</v>
      </c>
      <c r="F26" s="29">
        <v>3</v>
      </c>
      <c r="G26" s="26">
        <f>sr</f>
        <v>1100</v>
      </c>
      <c r="H26" s="26">
        <f>F26*G26</f>
        <v>3300</v>
      </c>
      <c r="I26" s="7" t="s">
        <v>423</v>
      </c>
      <c r="J26" s="145" t="s">
        <v>424</v>
      </c>
      <c r="K26" s="29">
        <v>59.34</v>
      </c>
      <c r="L26" s="28">
        <f>Metal_Pipe</f>
        <v>134.47999999999999</v>
      </c>
      <c r="M26" s="26">
        <f>K26*L26</f>
        <v>7980.0432000000001</v>
      </c>
      <c r="N26" s="8" t="s">
        <v>294</v>
      </c>
      <c r="O26" s="6"/>
      <c r="P26" s="29"/>
      <c r="Q26" s="28"/>
      <c r="R26" s="26">
        <f>3%*H32</f>
        <v>201</v>
      </c>
    </row>
    <row r="27" spans="1:18">
      <c r="A27" s="2"/>
      <c r="B27" s="714"/>
      <c r="C27" s="6"/>
      <c r="D27" s="4" t="s">
        <v>97</v>
      </c>
      <c r="E27" s="66" t="s">
        <v>81</v>
      </c>
      <c r="F27" s="29">
        <v>4</v>
      </c>
      <c r="G27" s="26">
        <f>ur</f>
        <v>850</v>
      </c>
      <c r="H27" s="26">
        <f>F27*G27</f>
        <v>3400</v>
      </c>
      <c r="I27" s="7" t="s">
        <v>425</v>
      </c>
      <c r="J27" s="145" t="s">
        <v>45</v>
      </c>
      <c r="K27" s="29">
        <v>54</v>
      </c>
      <c r="L27" s="28">
        <f>Nut</f>
        <v>20.22</v>
      </c>
      <c r="M27" s="26">
        <f>K27*L27</f>
        <v>1091.8799999999999</v>
      </c>
      <c r="N27" s="8"/>
      <c r="O27" s="6"/>
      <c r="P27" s="29"/>
      <c r="Q27" s="28"/>
      <c r="R27" s="26"/>
    </row>
    <row r="28" spans="1:18">
      <c r="A28" s="2"/>
      <c r="B28" s="126"/>
      <c r="C28" s="6"/>
      <c r="D28" s="4"/>
      <c r="E28" s="66"/>
      <c r="F28" s="29"/>
      <c r="G28" s="26"/>
      <c r="H28" s="26"/>
      <c r="I28" s="7" t="s">
        <v>426</v>
      </c>
      <c r="J28" s="145" t="s">
        <v>12</v>
      </c>
      <c r="K28" s="29"/>
      <c r="L28" s="28"/>
      <c r="M28" s="26">
        <f>85%*primer</f>
        <v>268.14949999999999</v>
      </c>
      <c r="N28" s="8"/>
      <c r="O28" s="6"/>
      <c r="P28" s="29"/>
      <c r="Q28" s="28"/>
      <c r="R28" s="26"/>
    </row>
    <row r="29" spans="1:18">
      <c r="A29" s="2"/>
      <c r="B29" s="126"/>
      <c r="C29" s="6"/>
      <c r="D29" s="4"/>
      <c r="E29" s="66"/>
      <c r="F29" s="29"/>
      <c r="G29" s="26"/>
      <c r="H29" s="26"/>
      <c r="I29" s="7"/>
      <c r="J29" s="145"/>
      <c r="K29" s="29"/>
      <c r="L29" s="28"/>
      <c r="M29" s="26"/>
      <c r="N29" s="8"/>
      <c r="O29" s="6"/>
      <c r="P29" s="29"/>
      <c r="Q29" s="28"/>
      <c r="R29" s="26"/>
    </row>
    <row r="30" spans="1:18">
      <c r="A30" s="2"/>
      <c r="B30" s="126"/>
      <c r="C30" s="6"/>
      <c r="D30" s="4"/>
      <c r="E30" s="66"/>
      <c r="F30" s="29"/>
      <c r="G30" s="26"/>
      <c r="H30" s="26"/>
      <c r="I30" s="7"/>
      <c r="J30" s="145"/>
      <c r="K30" s="29"/>
      <c r="L30" s="28"/>
      <c r="M30" s="26"/>
      <c r="N30" s="8"/>
      <c r="O30" s="6"/>
      <c r="P30" s="29"/>
      <c r="Q30" s="28"/>
      <c r="R30" s="26"/>
    </row>
    <row r="31" spans="1:18">
      <c r="A31" s="2"/>
      <c r="B31" s="5"/>
      <c r="C31" s="6"/>
      <c r="D31" s="4"/>
      <c r="E31" s="9"/>
      <c r="F31" s="30"/>
      <c r="G31" s="27"/>
      <c r="H31" s="27"/>
      <c r="I31" s="9"/>
      <c r="J31" s="10"/>
      <c r="K31" s="30"/>
      <c r="L31" s="28"/>
      <c r="M31" s="28"/>
      <c r="N31" s="8"/>
      <c r="O31" s="6"/>
      <c r="P31" s="30"/>
      <c r="Q31" s="28"/>
      <c r="R31" s="28"/>
    </row>
    <row r="32" spans="1:18">
      <c r="A32" s="2"/>
      <c r="B32" s="11"/>
      <c r="C32" s="6"/>
      <c r="D32" s="12"/>
      <c r="E32" s="59"/>
      <c r="F32" s="13"/>
      <c r="G32" s="13" t="s">
        <v>20</v>
      </c>
      <c r="H32" s="25">
        <f>SUM(H25:H31)</f>
        <v>6700</v>
      </c>
      <c r="I32" s="703"/>
      <c r="J32" s="703"/>
      <c r="K32" s="14"/>
      <c r="L32" s="13" t="s">
        <v>21</v>
      </c>
      <c r="M32" s="25">
        <f>SUM(M25:M31)</f>
        <v>9340.0726999999988</v>
      </c>
      <c r="N32" s="3"/>
      <c r="O32" s="14"/>
      <c r="P32" s="14"/>
      <c r="Q32" s="13" t="s">
        <v>22</v>
      </c>
      <c r="R32" s="25">
        <f>SUM(R25:R31)</f>
        <v>201</v>
      </c>
    </row>
    <row r="33" spans="1:18">
      <c r="A33" s="2"/>
      <c r="B33" s="16" t="s">
        <v>13</v>
      </c>
      <c r="C33" s="14"/>
      <c r="D33" s="14"/>
      <c r="E33" s="14"/>
      <c r="F33" s="14"/>
      <c r="G33" s="13"/>
      <c r="H33" s="35">
        <f>M32+R32+H32</f>
        <v>16241.072699999999</v>
      </c>
      <c r="I33" s="17"/>
      <c r="J33" s="14"/>
      <c r="K33" s="14"/>
      <c r="L33" s="13"/>
      <c r="M33" s="15"/>
      <c r="N33" s="14"/>
      <c r="O33" s="14"/>
      <c r="P33" s="14"/>
      <c r="Q33" s="14"/>
      <c r="R33" s="17"/>
    </row>
    <row r="34" spans="1:18">
      <c r="A34" s="2"/>
      <c r="B34" s="11" t="s">
        <v>25</v>
      </c>
      <c r="C34" s="4"/>
      <c r="D34" s="4"/>
      <c r="E34" s="4"/>
      <c r="F34" s="4"/>
      <c r="G34" s="18"/>
      <c r="H34" s="36">
        <v>0</v>
      </c>
      <c r="I34" s="20"/>
      <c r="J34" s="4" t="s">
        <v>26</v>
      </c>
      <c r="K34" s="4"/>
      <c r="L34" s="18"/>
      <c r="M34" s="19"/>
      <c r="N34" s="4"/>
      <c r="O34" s="4"/>
      <c r="P34" s="4"/>
      <c r="Q34" s="4"/>
      <c r="R34" s="20"/>
    </row>
    <row r="35" spans="1:18">
      <c r="A35" s="23"/>
      <c r="B35" s="11" t="s">
        <v>14</v>
      </c>
      <c r="C35" s="4"/>
      <c r="D35" s="4"/>
      <c r="E35" s="4"/>
      <c r="F35" s="4"/>
      <c r="G35" s="18"/>
      <c r="H35" s="36">
        <f>SUM(H33:H34)</f>
        <v>16241.072699999999</v>
      </c>
      <c r="I35" s="20"/>
      <c r="J35" s="741"/>
      <c r="K35" s="742"/>
      <c r="L35" s="742"/>
      <c r="M35" s="742"/>
      <c r="N35" s="742"/>
      <c r="O35" s="742"/>
      <c r="P35" s="742"/>
      <c r="Q35" s="742"/>
      <c r="R35" s="743"/>
    </row>
    <row r="36" spans="1:18">
      <c r="A36" s="23"/>
      <c r="B36" s="11" t="s">
        <v>24</v>
      </c>
      <c r="C36" s="4"/>
      <c r="D36" s="4"/>
      <c r="E36" s="4"/>
      <c r="F36" s="4"/>
      <c r="G36" s="18"/>
      <c r="H36" s="36">
        <f>H35*15%</f>
        <v>2436.1609049999997</v>
      </c>
      <c r="I36" s="20"/>
      <c r="J36" s="744"/>
      <c r="K36" s="745"/>
      <c r="L36" s="745"/>
      <c r="M36" s="745"/>
      <c r="N36" s="745"/>
      <c r="O36" s="745"/>
      <c r="P36" s="745"/>
      <c r="Q36" s="745"/>
      <c r="R36" s="746"/>
    </row>
    <row r="37" spans="1:18">
      <c r="A37" s="23"/>
      <c r="B37" s="11" t="s">
        <v>15</v>
      </c>
      <c r="C37" s="4"/>
      <c r="D37" s="4"/>
      <c r="E37" s="4"/>
      <c r="F37" s="4"/>
      <c r="G37" s="21" t="s">
        <v>16</v>
      </c>
      <c r="H37" s="37">
        <f>H36+H35</f>
        <v>18677.233604999998</v>
      </c>
      <c r="I37" s="38" t="str">
        <f>CONCATENATE("per ",C25, C26)</f>
        <v>per 59.3kg</v>
      </c>
      <c r="J37" s="744"/>
      <c r="K37" s="745"/>
      <c r="L37" s="745"/>
      <c r="M37" s="745"/>
      <c r="N37" s="745"/>
      <c r="O37" s="745"/>
      <c r="P37" s="745"/>
      <c r="Q37" s="745"/>
      <c r="R37" s="746"/>
    </row>
    <row r="38" spans="1:18">
      <c r="A38" s="23"/>
      <c r="B38" s="11"/>
      <c r="C38" s="4"/>
      <c r="D38" s="4"/>
      <c r="E38" s="4"/>
      <c r="F38" s="4"/>
      <c r="G38" s="21" t="s">
        <v>16</v>
      </c>
      <c r="H38" s="37">
        <f>H37/C25</f>
        <v>314.96178086003368</v>
      </c>
      <c r="I38" s="38" t="str">
        <f>CONCATENATE("per ",C26)</f>
        <v>per kg</v>
      </c>
      <c r="J38" s="744"/>
      <c r="K38" s="745"/>
      <c r="L38" s="745"/>
      <c r="M38" s="745"/>
      <c r="N38" s="745"/>
      <c r="O38" s="745"/>
      <c r="P38" s="745"/>
      <c r="Q38" s="745"/>
      <c r="R38" s="746"/>
    </row>
    <row r="39" spans="1:18">
      <c r="A39" s="23"/>
      <c r="B39" s="11" t="s">
        <v>18</v>
      </c>
      <c r="C39" s="4" t="s">
        <v>19</v>
      </c>
      <c r="D39" s="4"/>
      <c r="E39" s="4"/>
      <c r="F39" s="4"/>
      <c r="G39" s="21" t="s">
        <v>16</v>
      </c>
      <c r="H39" s="37">
        <f>CEILING(H38,0.5)</f>
        <v>315</v>
      </c>
      <c r="I39" s="38" t="str">
        <f>CONCATENATE("per ",C26)</f>
        <v>per kg</v>
      </c>
      <c r="J39" s="744"/>
      <c r="K39" s="745"/>
      <c r="L39" s="745"/>
      <c r="M39" s="745"/>
      <c r="N39" s="745"/>
      <c r="O39" s="745"/>
      <c r="P39" s="745"/>
      <c r="Q39" s="745"/>
      <c r="R39" s="746"/>
    </row>
    <row r="40" spans="1:18">
      <c r="A40" s="23"/>
      <c r="B40" s="11"/>
      <c r="C40" s="4"/>
      <c r="D40" s="4"/>
      <c r="E40" s="4"/>
      <c r="F40" s="4"/>
      <c r="G40" s="24" t="s">
        <v>17</v>
      </c>
      <c r="H40" s="37">
        <f>H39/exr</f>
        <v>2.4230769230769229</v>
      </c>
      <c r="I40" s="38" t="str">
        <f>CONCATENATE("per ",C26)</f>
        <v>per kg</v>
      </c>
      <c r="J40" s="747"/>
      <c r="K40" s="748"/>
      <c r="L40" s="748"/>
      <c r="M40" s="748"/>
      <c r="N40" s="748"/>
      <c r="O40" s="748"/>
      <c r="P40" s="748"/>
      <c r="Q40" s="748"/>
      <c r="R40" s="749"/>
    </row>
    <row r="41" spans="1:18">
      <c r="A41" s="39"/>
      <c r="B41" s="40"/>
      <c r="C41" s="41"/>
      <c r="D41" s="41"/>
      <c r="E41" s="41"/>
      <c r="F41" s="41"/>
      <c r="G41" s="149" t="s">
        <v>460</v>
      </c>
      <c r="H41" s="150">
        <f>CEILING(SUM(M26,M27,M28)/H33,0.0025)</f>
        <v>0.57750000000000001</v>
      </c>
      <c r="I41" s="42"/>
      <c r="J41" s="43"/>
      <c r="K41" s="43"/>
      <c r="L41" s="43"/>
      <c r="M41" s="43"/>
      <c r="N41" s="43"/>
      <c r="O41" s="43"/>
      <c r="P41" s="43"/>
      <c r="Q41" s="43"/>
      <c r="R41" s="44"/>
    </row>
    <row r="43" spans="1:18">
      <c r="A43" s="693" t="s">
        <v>0</v>
      </c>
      <c r="B43" s="695" t="s">
        <v>1</v>
      </c>
      <c r="C43" s="695" t="s">
        <v>2</v>
      </c>
      <c r="D43" s="697" t="s">
        <v>3</v>
      </c>
      <c r="E43" s="698"/>
      <c r="F43" s="698"/>
      <c r="G43" s="698"/>
      <c r="H43" s="698"/>
      <c r="I43" s="699" t="s">
        <v>4</v>
      </c>
      <c r="J43" s="700"/>
      <c r="K43" s="700"/>
      <c r="L43" s="700"/>
      <c r="M43" s="700"/>
      <c r="N43" s="698" t="s">
        <v>5</v>
      </c>
      <c r="O43" s="698"/>
      <c r="P43" s="698"/>
      <c r="Q43" s="698"/>
      <c r="R43" s="698"/>
    </row>
    <row r="44" spans="1:18">
      <c r="A44" s="694"/>
      <c r="B44" s="759"/>
      <c r="C44" s="696"/>
      <c r="D44" s="45" t="s">
        <v>6</v>
      </c>
      <c r="E44" s="46" t="s">
        <v>2</v>
      </c>
      <c r="F44" s="46" t="s">
        <v>7</v>
      </c>
      <c r="G44" s="46" t="s">
        <v>8</v>
      </c>
      <c r="H44" s="46" t="s">
        <v>9</v>
      </c>
      <c r="I44" s="46" t="s">
        <v>10</v>
      </c>
      <c r="J44" s="46" t="s">
        <v>2</v>
      </c>
      <c r="K44" s="46" t="s">
        <v>7</v>
      </c>
      <c r="L44" s="46" t="s">
        <v>8</v>
      </c>
      <c r="M44" s="47" t="s">
        <v>9</v>
      </c>
      <c r="N44" s="46" t="s">
        <v>10</v>
      </c>
      <c r="O44" s="46" t="s">
        <v>2</v>
      </c>
      <c r="P44" s="46" t="s">
        <v>7</v>
      </c>
      <c r="Q44" s="46" t="s">
        <v>8</v>
      </c>
      <c r="R44" s="46" t="s">
        <v>9</v>
      </c>
    </row>
    <row r="45" spans="1:18">
      <c r="A45" s="33" t="s">
        <v>23</v>
      </c>
      <c r="B45" s="127" t="s">
        <v>436</v>
      </c>
      <c r="C45" s="31"/>
      <c r="D45" s="31"/>
      <c r="E45" s="31"/>
      <c r="F45" s="31"/>
      <c r="G45" s="31"/>
      <c r="H45" s="31"/>
      <c r="I45" s="31"/>
      <c r="J45" s="31"/>
      <c r="K45" s="31"/>
      <c r="L45" s="31"/>
      <c r="M45" s="31"/>
      <c r="N45" s="31"/>
      <c r="O45" s="31"/>
      <c r="P45" s="31"/>
      <c r="Q45" s="31"/>
      <c r="R45" s="32"/>
    </row>
    <row r="46" spans="1:18">
      <c r="A46" s="34">
        <f>A25+1</f>
        <v>3</v>
      </c>
      <c r="B46" s="713" t="s">
        <v>429</v>
      </c>
      <c r="C46" s="66">
        <v>18.899999999999999</v>
      </c>
      <c r="D46" s="4"/>
      <c r="E46" s="6"/>
      <c r="F46" s="29"/>
      <c r="G46" s="26"/>
      <c r="H46" s="26"/>
      <c r="I46" s="6"/>
      <c r="J46" s="6"/>
      <c r="K46" s="29"/>
      <c r="L46" s="26"/>
      <c r="M46" s="26"/>
      <c r="N46" s="6"/>
      <c r="O46" s="6"/>
      <c r="P46" s="29"/>
      <c r="Q46" s="26"/>
      <c r="R46" s="26"/>
    </row>
    <row r="47" spans="1:18">
      <c r="A47" s="2"/>
      <c r="B47" s="714"/>
      <c r="C47" s="124" t="s">
        <v>28</v>
      </c>
      <c r="D47" s="4" t="s">
        <v>96</v>
      </c>
      <c r="E47" s="66" t="s">
        <v>81</v>
      </c>
      <c r="F47" s="29">
        <v>0.69</v>
      </c>
      <c r="G47" s="26">
        <f>sr</f>
        <v>1100</v>
      </c>
      <c r="H47" s="26">
        <f>F47*G47</f>
        <v>758.99999999999989</v>
      </c>
      <c r="I47" s="7" t="s">
        <v>423</v>
      </c>
      <c r="J47" s="145" t="s">
        <v>424</v>
      </c>
      <c r="K47" s="29">
        <v>18.940000000000001</v>
      </c>
      <c r="L47" s="28">
        <f>Metal_Pipe</f>
        <v>134.47999999999999</v>
      </c>
      <c r="M47" s="26">
        <f>K47*L47</f>
        <v>2547.0511999999999</v>
      </c>
      <c r="N47" s="8" t="s">
        <v>294</v>
      </c>
      <c r="O47" s="6"/>
      <c r="P47" s="29"/>
      <c r="Q47" s="28"/>
      <c r="R47" s="26">
        <f>3%*H53</f>
        <v>42.66</v>
      </c>
    </row>
    <row r="48" spans="1:18">
      <c r="A48" s="2"/>
      <c r="B48" s="714"/>
      <c r="C48" s="6"/>
      <c r="D48" s="4" t="s">
        <v>97</v>
      </c>
      <c r="E48" s="66" t="s">
        <v>81</v>
      </c>
      <c r="F48" s="29">
        <v>0.78</v>
      </c>
      <c r="G48" s="26">
        <f>ur</f>
        <v>850</v>
      </c>
      <c r="H48" s="26">
        <f>F48*G48</f>
        <v>663</v>
      </c>
      <c r="I48" s="7" t="s">
        <v>426</v>
      </c>
      <c r="J48" s="145" t="s">
        <v>12</v>
      </c>
      <c r="K48" s="29"/>
      <c r="L48" s="28"/>
      <c r="M48" s="26">
        <f>85%*primer</f>
        <v>268.14949999999999</v>
      </c>
      <c r="N48" s="8"/>
      <c r="O48" s="6"/>
      <c r="P48" s="29"/>
      <c r="Q48" s="28"/>
      <c r="R48" s="26"/>
    </row>
    <row r="49" spans="1:18">
      <c r="A49" s="2"/>
      <c r="B49" s="126"/>
      <c r="C49" s="6"/>
      <c r="D49" s="4"/>
      <c r="E49" s="66"/>
      <c r="F49" s="29"/>
      <c r="G49" s="26"/>
      <c r="H49" s="26"/>
      <c r="I49" s="7"/>
      <c r="J49" s="145"/>
      <c r="K49" s="29"/>
      <c r="L49" s="28"/>
      <c r="M49" s="26"/>
      <c r="N49" s="8"/>
      <c r="O49" s="6"/>
      <c r="P49" s="29"/>
      <c r="Q49" s="28"/>
      <c r="R49" s="26"/>
    </row>
    <row r="50" spans="1:18">
      <c r="A50" s="2"/>
      <c r="B50" s="126"/>
      <c r="C50" s="6"/>
      <c r="D50" s="4"/>
      <c r="E50" s="66"/>
      <c r="F50" s="29"/>
      <c r="G50" s="26"/>
      <c r="H50" s="26"/>
      <c r="I50" s="7"/>
      <c r="J50" s="145"/>
      <c r="K50" s="29"/>
      <c r="L50" s="28"/>
      <c r="M50" s="26"/>
      <c r="N50" s="8"/>
      <c r="O50" s="6"/>
      <c r="P50" s="29"/>
      <c r="Q50" s="28"/>
      <c r="R50" s="26"/>
    </row>
    <row r="51" spans="1:18">
      <c r="A51" s="2"/>
      <c r="B51" s="126"/>
      <c r="C51" s="6"/>
      <c r="D51" s="4"/>
      <c r="E51" s="66"/>
      <c r="F51" s="29"/>
      <c r="G51" s="26"/>
      <c r="H51" s="26"/>
      <c r="I51" s="7"/>
      <c r="J51" s="145"/>
      <c r="K51" s="29"/>
      <c r="L51" s="28"/>
      <c r="M51" s="26"/>
      <c r="N51" s="8"/>
      <c r="O51" s="6"/>
      <c r="P51" s="29"/>
      <c r="Q51" s="28"/>
      <c r="R51" s="26"/>
    </row>
    <row r="52" spans="1:18">
      <c r="A52" s="2"/>
      <c r="B52" s="5"/>
      <c r="C52" s="6"/>
      <c r="D52" s="4"/>
      <c r="E52" s="9"/>
      <c r="F52" s="30"/>
      <c r="G52" s="27"/>
      <c r="H52" s="27"/>
      <c r="I52" s="9"/>
      <c r="J52" s="10"/>
      <c r="K52" s="30"/>
      <c r="L52" s="28"/>
      <c r="M52" s="28"/>
      <c r="N52" s="8"/>
      <c r="O52" s="6"/>
      <c r="P52" s="30"/>
      <c r="Q52" s="28"/>
      <c r="R52" s="28"/>
    </row>
    <row r="53" spans="1:18">
      <c r="A53" s="2"/>
      <c r="B53" s="11"/>
      <c r="C53" s="6"/>
      <c r="D53" s="12"/>
      <c r="E53" s="59"/>
      <c r="F53" s="13"/>
      <c r="G53" s="13" t="s">
        <v>20</v>
      </c>
      <c r="H53" s="25">
        <f>SUM(H46:H52)</f>
        <v>1422</v>
      </c>
      <c r="I53" s="703"/>
      <c r="J53" s="703"/>
      <c r="K53" s="14"/>
      <c r="L53" s="13" t="s">
        <v>21</v>
      </c>
      <c r="M53" s="25">
        <f>SUM(M46:M52)</f>
        <v>2815.2006999999999</v>
      </c>
      <c r="N53" s="3"/>
      <c r="O53" s="14"/>
      <c r="P53" s="14"/>
      <c r="Q53" s="13" t="s">
        <v>22</v>
      </c>
      <c r="R53" s="25">
        <f>SUM(R46:R52)</f>
        <v>42.66</v>
      </c>
    </row>
    <row r="54" spans="1:18">
      <c r="A54" s="2"/>
      <c r="B54" s="16" t="s">
        <v>13</v>
      </c>
      <c r="C54" s="14"/>
      <c r="D54" s="14"/>
      <c r="E54" s="14"/>
      <c r="F54" s="14"/>
      <c r="G54" s="13"/>
      <c r="H54" s="35">
        <f>M53+R53+H53</f>
        <v>4279.8606999999993</v>
      </c>
      <c r="I54" s="17"/>
      <c r="J54" s="14"/>
      <c r="K54" s="14"/>
      <c r="L54" s="13"/>
      <c r="M54" s="15"/>
      <c r="N54" s="14"/>
      <c r="O54" s="14"/>
      <c r="P54" s="14"/>
      <c r="Q54" s="14"/>
      <c r="R54" s="17"/>
    </row>
    <row r="55" spans="1:18">
      <c r="A55" s="2"/>
      <c r="B55" s="11" t="s">
        <v>25</v>
      </c>
      <c r="C55" s="4"/>
      <c r="D55" s="4"/>
      <c r="E55" s="4"/>
      <c r="F55" s="4"/>
      <c r="G55" s="18"/>
      <c r="H55" s="36">
        <v>0</v>
      </c>
      <c r="I55" s="20"/>
      <c r="J55" s="4" t="s">
        <v>26</v>
      </c>
      <c r="K55" s="4"/>
      <c r="L55" s="18"/>
      <c r="M55" s="19"/>
      <c r="N55" s="4"/>
      <c r="O55" s="4"/>
      <c r="P55" s="4"/>
      <c r="Q55" s="4"/>
      <c r="R55" s="20"/>
    </row>
    <row r="56" spans="1:18">
      <c r="A56" s="23"/>
      <c r="B56" s="11" t="s">
        <v>14</v>
      </c>
      <c r="C56" s="4"/>
      <c r="D56" s="4"/>
      <c r="E56" s="4"/>
      <c r="F56" s="4"/>
      <c r="G56" s="18"/>
      <c r="H56" s="36">
        <f>SUM(H54:H55)</f>
        <v>4279.8606999999993</v>
      </c>
      <c r="I56" s="20"/>
      <c r="J56" s="741"/>
      <c r="K56" s="742"/>
      <c r="L56" s="742"/>
      <c r="M56" s="742"/>
      <c r="N56" s="742"/>
      <c r="O56" s="742"/>
      <c r="P56" s="742"/>
      <c r="Q56" s="742"/>
      <c r="R56" s="743"/>
    </row>
    <row r="57" spans="1:18">
      <c r="A57" s="23"/>
      <c r="B57" s="11" t="s">
        <v>24</v>
      </c>
      <c r="C57" s="4"/>
      <c r="D57" s="4"/>
      <c r="E57" s="4"/>
      <c r="F57" s="4"/>
      <c r="G57" s="18"/>
      <c r="H57" s="36">
        <f>H56*15%</f>
        <v>641.97910499999989</v>
      </c>
      <c r="I57" s="20"/>
      <c r="J57" s="744"/>
      <c r="K57" s="745"/>
      <c r="L57" s="745"/>
      <c r="M57" s="745"/>
      <c r="N57" s="745"/>
      <c r="O57" s="745"/>
      <c r="P57" s="745"/>
      <c r="Q57" s="745"/>
      <c r="R57" s="746"/>
    </row>
    <row r="58" spans="1:18">
      <c r="A58" s="23"/>
      <c r="B58" s="11" t="s">
        <v>15</v>
      </c>
      <c r="C58" s="4"/>
      <c r="D58" s="4"/>
      <c r="E58" s="4"/>
      <c r="F58" s="4"/>
      <c r="G58" s="21" t="s">
        <v>16</v>
      </c>
      <c r="H58" s="37">
        <f>SUM(H56:H57)</f>
        <v>4921.8398049999996</v>
      </c>
      <c r="I58" s="38" t="str">
        <f>CONCATENATE("per ",C46, C47)</f>
        <v>per 18.9kg</v>
      </c>
      <c r="J58" s="744"/>
      <c r="K58" s="745"/>
      <c r="L58" s="745"/>
      <c r="M58" s="745"/>
      <c r="N58" s="745"/>
      <c r="O58" s="745"/>
      <c r="P58" s="745"/>
      <c r="Q58" s="745"/>
      <c r="R58" s="746"/>
    </row>
    <row r="59" spans="1:18">
      <c r="A59" s="23"/>
      <c r="B59" s="11"/>
      <c r="C59" s="4"/>
      <c r="D59" s="4"/>
      <c r="E59" s="4"/>
      <c r="F59" s="4"/>
      <c r="G59" s="21" t="s">
        <v>16</v>
      </c>
      <c r="H59" s="37">
        <f>H58/C46</f>
        <v>260.41480449735451</v>
      </c>
      <c r="I59" s="38" t="str">
        <f>CONCATENATE("per ",C47)</f>
        <v>per kg</v>
      </c>
      <c r="J59" s="744"/>
      <c r="K59" s="745"/>
      <c r="L59" s="745"/>
      <c r="M59" s="745"/>
      <c r="N59" s="745"/>
      <c r="O59" s="745"/>
      <c r="P59" s="745"/>
      <c r="Q59" s="745"/>
      <c r="R59" s="746"/>
    </row>
    <row r="60" spans="1:18">
      <c r="A60" s="23"/>
      <c r="B60" s="11" t="s">
        <v>18</v>
      </c>
      <c r="C60" s="4" t="s">
        <v>19</v>
      </c>
      <c r="D60" s="4"/>
      <c r="E60" s="4"/>
      <c r="F60" s="4"/>
      <c r="G60" s="21" t="s">
        <v>16</v>
      </c>
      <c r="H60" s="37">
        <f>CEILING(H59,0.5)</f>
        <v>260.5</v>
      </c>
      <c r="I60" s="38" t="str">
        <f>CONCATENATE("per ",C47)</f>
        <v>per kg</v>
      </c>
      <c r="J60" s="744"/>
      <c r="K60" s="745"/>
      <c r="L60" s="745"/>
      <c r="M60" s="745"/>
      <c r="N60" s="745"/>
      <c r="O60" s="745"/>
      <c r="P60" s="745"/>
      <c r="Q60" s="745"/>
      <c r="R60" s="746"/>
    </row>
    <row r="61" spans="1:18">
      <c r="A61" s="23"/>
      <c r="B61" s="11"/>
      <c r="C61" s="4"/>
      <c r="D61" s="4"/>
      <c r="E61" s="4"/>
      <c r="F61" s="4"/>
      <c r="G61" s="24" t="s">
        <v>17</v>
      </c>
      <c r="H61" s="37">
        <f>H60/exr</f>
        <v>2.0038461538461538</v>
      </c>
      <c r="I61" s="38" t="str">
        <f>CONCATENATE("per ",C47)</f>
        <v>per kg</v>
      </c>
      <c r="J61" s="747"/>
      <c r="K61" s="748"/>
      <c r="L61" s="748"/>
      <c r="M61" s="748"/>
      <c r="N61" s="748"/>
      <c r="O61" s="748"/>
      <c r="P61" s="748"/>
      <c r="Q61" s="748"/>
      <c r="R61" s="749"/>
    </row>
    <row r="62" spans="1:18">
      <c r="A62" s="39"/>
      <c r="B62" s="40"/>
      <c r="C62" s="41"/>
      <c r="D62" s="41"/>
      <c r="E62" s="41"/>
      <c r="F62" s="41"/>
      <c r="G62" s="149" t="s">
        <v>460</v>
      </c>
      <c r="H62" s="150">
        <f>CEILING(SUM(M47,M48)/H54,0.0025)</f>
        <v>0.66</v>
      </c>
      <c r="I62" s="42"/>
      <c r="J62" s="43"/>
      <c r="K62" s="43"/>
      <c r="L62" s="43"/>
      <c r="M62" s="43"/>
      <c r="N62" s="43"/>
      <c r="O62" s="43"/>
      <c r="P62" s="43"/>
      <c r="Q62" s="43"/>
      <c r="R62" s="44"/>
    </row>
  </sheetData>
  <mergeCells count="27">
    <mergeCell ref="N1:R1"/>
    <mergeCell ref="A1:A2"/>
    <mergeCell ref="B1:B2"/>
    <mergeCell ref="C1:C2"/>
    <mergeCell ref="D1:H1"/>
    <mergeCell ref="I1:M1"/>
    <mergeCell ref="B4:B6"/>
    <mergeCell ref="I11:J11"/>
    <mergeCell ref="J14:R19"/>
    <mergeCell ref="A22:A23"/>
    <mergeCell ref="B22:B23"/>
    <mergeCell ref="C22:C23"/>
    <mergeCell ref="D22:H22"/>
    <mergeCell ref="I22:M22"/>
    <mergeCell ref="N22:R22"/>
    <mergeCell ref="A43:A44"/>
    <mergeCell ref="B43:B44"/>
    <mergeCell ref="C43:C44"/>
    <mergeCell ref="D43:H43"/>
    <mergeCell ref="I43:M43"/>
    <mergeCell ref="B46:B48"/>
    <mergeCell ref="I53:J53"/>
    <mergeCell ref="J56:R61"/>
    <mergeCell ref="B25:B27"/>
    <mergeCell ref="I32:J32"/>
    <mergeCell ref="J35:R40"/>
    <mergeCell ref="N43:R43"/>
  </mergeCells>
  <printOptions horizontalCentered="1"/>
  <pageMargins left="0.7" right="0.7" top="0.75" bottom="0.75" header="0.3" footer="0.3"/>
  <pageSetup paperSize="9" scale="65" orientation="landscape" r:id="rId1"/>
  <headerFooter>
    <oddHeader>&amp;L&amp;"Gill Sans MT,Italic"&amp;9Hydro Consult
Nyadi Hydropower Project&amp;C&amp;"Gill Sans MT,Regular"RATE ANALYSIS&amp;R&amp;"Gill Sans MT,Italic"&amp;9&amp;A</oddHeader>
    <oddFooter>&amp;R&amp;"Gill Sans MT,Italic"&amp;9Page &amp;P of &amp;N</oddFooter>
  </headerFooter>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62"/>
  <sheetViews>
    <sheetView workbookViewId="0">
      <selection sqref="A1:A2"/>
    </sheetView>
  </sheetViews>
  <sheetFormatPr defaultColWidth="9.140625" defaultRowHeight="15.75"/>
  <cols>
    <col min="1" max="1" width="10.7109375" style="1" customWidth="1"/>
    <col min="2" max="2" width="33" style="1" customWidth="1"/>
    <col min="3" max="3" width="5.28515625" style="1" customWidth="1"/>
    <col min="4" max="4" width="9.140625" style="1"/>
    <col min="5" max="5" width="5.28515625" style="1" customWidth="1"/>
    <col min="6" max="7" width="9.140625" style="1"/>
    <col min="8" max="8" width="10.7109375" style="1" customWidth="1"/>
    <col min="9" max="9" width="20.140625" style="1" customWidth="1"/>
    <col min="10" max="10" width="5.28515625" style="1" customWidth="1"/>
    <col min="11" max="12" width="9.140625" style="1"/>
    <col min="13" max="13" width="10.7109375" style="1" customWidth="1"/>
    <col min="14" max="14" width="17.5703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759"/>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127" t="s">
        <v>436</v>
      </c>
      <c r="C3" s="31"/>
      <c r="D3" s="31"/>
      <c r="E3" s="31"/>
      <c r="F3" s="31"/>
      <c r="G3" s="31"/>
      <c r="H3" s="31"/>
      <c r="I3" s="31"/>
      <c r="J3" s="31"/>
      <c r="K3" s="31"/>
      <c r="L3" s="31"/>
      <c r="M3" s="31"/>
      <c r="N3" s="31"/>
      <c r="O3" s="31"/>
      <c r="P3" s="31"/>
      <c r="Q3" s="31"/>
      <c r="R3" s="32"/>
    </row>
    <row r="4" spans="1:18" ht="15.75" customHeight="1">
      <c r="A4" s="34">
        <v>1</v>
      </c>
      <c r="B4" s="713" t="s">
        <v>430</v>
      </c>
      <c r="C4" s="66">
        <v>100</v>
      </c>
      <c r="D4" s="4"/>
      <c r="E4" s="6"/>
      <c r="F4" s="29"/>
      <c r="G4" s="26"/>
      <c r="H4" s="26"/>
      <c r="I4" s="6"/>
      <c r="J4" s="6"/>
      <c r="K4" s="29"/>
      <c r="L4" s="26"/>
      <c r="M4" s="26"/>
      <c r="N4" s="6"/>
      <c r="O4" s="6"/>
      <c r="P4" s="29"/>
      <c r="Q4" s="26"/>
      <c r="R4" s="26"/>
    </row>
    <row r="5" spans="1:18">
      <c r="A5" s="2"/>
      <c r="B5" s="714"/>
      <c r="C5" s="124" t="s">
        <v>127</v>
      </c>
      <c r="D5" s="4" t="s">
        <v>96</v>
      </c>
      <c r="E5" s="66" t="s">
        <v>81</v>
      </c>
      <c r="F5" s="29">
        <v>2.7</v>
      </c>
      <c r="G5" s="26">
        <f>sr</f>
        <v>1100</v>
      </c>
      <c r="H5" s="26">
        <f>F5*G5</f>
        <v>2970</v>
      </c>
      <c r="I5" s="7" t="s">
        <v>435</v>
      </c>
      <c r="J5" s="145" t="s">
        <v>424</v>
      </c>
      <c r="K5" s="29">
        <v>22</v>
      </c>
      <c r="L5" s="28">
        <f>white_cement</f>
        <v>44.97</v>
      </c>
      <c r="M5" s="26">
        <f>K5*L5</f>
        <v>989.33999999999992</v>
      </c>
      <c r="N5" s="8" t="s">
        <v>294</v>
      </c>
      <c r="O5" s="6"/>
      <c r="P5" s="29"/>
      <c r="Q5" s="28"/>
      <c r="R5" s="26">
        <f>3%*H11</f>
        <v>104.39999999999999</v>
      </c>
    </row>
    <row r="6" spans="1:18">
      <c r="A6" s="2"/>
      <c r="B6" s="714"/>
      <c r="C6" s="6"/>
      <c r="D6" s="4" t="s">
        <v>97</v>
      </c>
      <c r="E6" s="66" t="s">
        <v>81</v>
      </c>
      <c r="F6" s="29">
        <v>0.6</v>
      </c>
      <c r="G6" s="26">
        <f>ur</f>
        <v>850</v>
      </c>
      <c r="H6" s="26">
        <f>F6*G6</f>
        <v>510</v>
      </c>
      <c r="I6" s="7" t="s">
        <v>431</v>
      </c>
      <c r="J6" s="145" t="s">
        <v>424</v>
      </c>
      <c r="K6" s="29">
        <v>1.28</v>
      </c>
      <c r="L6" s="28">
        <f>gum</f>
        <v>303.97000000000003</v>
      </c>
      <c r="M6" s="26">
        <f>K6*L6</f>
        <v>389.08160000000004</v>
      </c>
      <c r="N6" s="8"/>
      <c r="O6" s="6"/>
      <c r="P6" s="29"/>
      <c r="Q6" s="28"/>
      <c r="R6" s="26"/>
    </row>
    <row r="7" spans="1:18">
      <c r="A7" s="2"/>
      <c r="B7" s="126"/>
      <c r="C7" s="6"/>
      <c r="D7" s="4"/>
      <c r="E7" s="66"/>
      <c r="F7" s="29"/>
      <c r="G7" s="26"/>
      <c r="H7" s="26"/>
      <c r="I7" s="7"/>
      <c r="J7" s="145"/>
      <c r="K7" s="29"/>
      <c r="L7" s="28"/>
      <c r="M7" s="26"/>
      <c r="N7" s="8"/>
      <c r="O7" s="6"/>
      <c r="P7" s="29"/>
      <c r="Q7" s="28"/>
      <c r="R7" s="26"/>
    </row>
    <row r="8" spans="1:18">
      <c r="A8" s="2"/>
      <c r="B8" s="126"/>
      <c r="C8" s="6"/>
      <c r="D8" s="4"/>
      <c r="E8" s="66"/>
      <c r="F8" s="29"/>
      <c r="G8" s="26"/>
      <c r="H8" s="26"/>
      <c r="I8" s="7"/>
      <c r="J8" s="145"/>
      <c r="K8" s="29"/>
      <c r="L8" s="28"/>
      <c r="M8" s="26"/>
      <c r="N8" s="8"/>
      <c r="O8" s="6"/>
      <c r="P8" s="29"/>
      <c r="Q8" s="28"/>
      <c r="R8" s="26"/>
    </row>
    <row r="9" spans="1:18">
      <c r="A9" s="2"/>
      <c r="B9" s="126"/>
      <c r="C9" s="6"/>
      <c r="D9" s="4"/>
      <c r="E9" s="66"/>
      <c r="F9" s="29"/>
      <c r="G9" s="26"/>
      <c r="H9" s="26"/>
      <c r="I9" s="7"/>
      <c r="J9" s="145"/>
      <c r="K9" s="29"/>
      <c r="L9" s="28"/>
      <c r="M9" s="26"/>
      <c r="N9" s="8"/>
      <c r="O9" s="6"/>
      <c r="P9" s="29"/>
      <c r="Q9" s="28"/>
      <c r="R9" s="26"/>
    </row>
    <row r="10" spans="1:18">
      <c r="A10" s="2"/>
      <c r="B10" s="5"/>
      <c r="C10" s="6"/>
      <c r="D10" s="4"/>
      <c r="E10" s="9"/>
      <c r="F10" s="30"/>
      <c r="G10" s="27"/>
      <c r="H10" s="27"/>
      <c r="I10" s="9"/>
      <c r="J10" s="10"/>
      <c r="K10" s="30"/>
      <c r="L10" s="28"/>
      <c r="M10" s="28"/>
      <c r="N10" s="8"/>
      <c r="O10" s="6"/>
      <c r="P10" s="30"/>
      <c r="Q10" s="28"/>
      <c r="R10" s="28"/>
    </row>
    <row r="11" spans="1:18">
      <c r="A11" s="2"/>
      <c r="B11" s="11"/>
      <c r="C11" s="6"/>
      <c r="D11" s="12"/>
      <c r="E11" s="59"/>
      <c r="F11" s="13"/>
      <c r="G11" s="13" t="s">
        <v>20</v>
      </c>
      <c r="H11" s="25">
        <f>SUM(H4:H10)</f>
        <v>3480</v>
      </c>
      <c r="I11" s="703"/>
      <c r="J11" s="703"/>
      <c r="K11" s="14"/>
      <c r="L11" s="13" t="s">
        <v>21</v>
      </c>
      <c r="M11" s="25">
        <f>SUM(M4:M10)</f>
        <v>1378.4215999999999</v>
      </c>
      <c r="N11" s="3"/>
      <c r="O11" s="14"/>
      <c r="P11" s="14"/>
      <c r="Q11" s="13" t="s">
        <v>22</v>
      </c>
      <c r="R11" s="25">
        <f>SUM(R4:R10)</f>
        <v>104.39999999999999</v>
      </c>
    </row>
    <row r="12" spans="1:18">
      <c r="A12" s="2"/>
      <c r="B12" s="16" t="s">
        <v>13</v>
      </c>
      <c r="C12" s="14"/>
      <c r="D12" s="14"/>
      <c r="E12" s="14"/>
      <c r="F12" s="14"/>
      <c r="G12" s="13"/>
      <c r="H12" s="35">
        <f>M11+R11+H11</f>
        <v>4962.8216000000002</v>
      </c>
      <c r="I12" s="17"/>
      <c r="J12" s="14"/>
      <c r="K12" s="14"/>
      <c r="L12" s="13"/>
      <c r="M12" s="15"/>
      <c r="N12" s="14"/>
      <c r="O12" s="14"/>
      <c r="P12" s="14"/>
      <c r="Q12" s="14"/>
      <c r="R12" s="17"/>
    </row>
    <row r="13" spans="1:18">
      <c r="A13" s="2"/>
      <c r="B13" s="11" t="s">
        <v>25</v>
      </c>
      <c r="C13" s="4"/>
      <c r="D13" s="4"/>
      <c r="E13" s="4"/>
      <c r="F13" s="4"/>
      <c r="G13" s="18"/>
      <c r="H13" s="36">
        <v>0</v>
      </c>
      <c r="I13" s="20"/>
      <c r="J13" s="4" t="s">
        <v>26</v>
      </c>
      <c r="K13" s="4"/>
      <c r="L13" s="18"/>
      <c r="M13" s="19"/>
      <c r="N13" s="4"/>
      <c r="O13" s="4"/>
      <c r="P13" s="4"/>
      <c r="Q13" s="4"/>
      <c r="R13" s="20"/>
    </row>
    <row r="14" spans="1:18">
      <c r="A14" s="23"/>
      <c r="B14" s="11" t="s">
        <v>14</v>
      </c>
      <c r="C14" s="4"/>
      <c r="D14" s="4"/>
      <c r="E14" s="4"/>
      <c r="F14" s="4"/>
      <c r="G14" s="18"/>
      <c r="H14" s="36">
        <f>SUM(H12:H13)</f>
        <v>4962.8216000000002</v>
      </c>
      <c r="I14" s="20"/>
      <c r="J14" s="741"/>
      <c r="K14" s="742"/>
      <c r="L14" s="742"/>
      <c r="M14" s="742"/>
      <c r="N14" s="742"/>
      <c r="O14" s="742"/>
      <c r="P14" s="742"/>
      <c r="Q14" s="742"/>
      <c r="R14" s="743"/>
    </row>
    <row r="15" spans="1:18">
      <c r="A15" s="23"/>
      <c r="B15" s="11" t="s">
        <v>24</v>
      </c>
      <c r="C15" s="4"/>
      <c r="D15" s="4"/>
      <c r="E15" s="4"/>
      <c r="F15" s="4"/>
      <c r="G15" s="18"/>
      <c r="H15" s="36">
        <f>H14*15%</f>
        <v>744.42323999999996</v>
      </c>
      <c r="I15" s="20"/>
      <c r="J15" s="744"/>
      <c r="K15" s="745"/>
      <c r="L15" s="745"/>
      <c r="M15" s="745"/>
      <c r="N15" s="745"/>
      <c r="O15" s="745"/>
      <c r="P15" s="745"/>
      <c r="Q15" s="745"/>
      <c r="R15" s="746"/>
    </row>
    <row r="16" spans="1:18">
      <c r="A16" s="23"/>
      <c r="B16" s="11" t="s">
        <v>15</v>
      </c>
      <c r="C16" s="4"/>
      <c r="D16" s="4"/>
      <c r="E16" s="4"/>
      <c r="F16" s="4"/>
      <c r="G16" s="21" t="s">
        <v>16</v>
      </c>
      <c r="H16" s="37">
        <f>H15+H14</f>
        <v>5707.2448400000003</v>
      </c>
      <c r="I16" s="38" t="str">
        <f>CONCATENATE("per ",C4, C5)</f>
        <v>per 100sqm</v>
      </c>
      <c r="J16" s="744"/>
      <c r="K16" s="745"/>
      <c r="L16" s="745"/>
      <c r="M16" s="745"/>
      <c r="N16" s="745"/>
      <c r="O16" s="745"/>
      <c r="P16" s="745"/>
      <c r="Q16" s="745"/>
      <c r="R16" s="746"/>
    </row>
    <row r="17" spans="1:18">
      <c r="A17" s="23"/>
      <c r="B17" s="11"/>
      <c r="C17" s="4"/>
      <c r="D17" s="4"/>
      <c r="E17" s="4"/>
      <c r="F17" s="4"/>
      <c r="G17" s="21" t="s">
        <v>16</v>
      </c>
      <c r="H17" s="37">
        <f>H16/C4</f>
        <v>57.072448400000006</v>
      </c>
      <c r="I17" s="38" t="str">
        <f>CONCATENATE("per ",C5)</f>
        <v>per sqm</v>
      </c>
      <c r="J17" s="744"/>
      <c r="K17" s="745"/>
      <c r="L17" s="745"/>
      <c r="M17" s="745"/>
      <c r="N17" s="745"/>
      <c r="O17" s="745"/>
      <c r="P17" s="745"/>
      <c r="Q17" s="745"/>
      <c r="R17" s="746"/>
    </row>
    <row r="18" spans="1:18">
      <c r="A18" s="23"/>
      <c r="B18" s="11" t="s">
        <v>18</v>
      </c>
      <c r="C18" s="4" t="s">
        <v>19</v>
      </c>
      <c r="D18" s="4"/>
      <c r="E18" s="4"/>
      <c r="F18" s="4"/>
      <c r="G18" s="21" t="s">
        <v>16</v>
      </c>
      <c r="H18" s="37">
        <f>CEILING(H17,0.5)</f>
        <v>57.5</v>
      </c>
      <c r="I18" s="38" t="str">
        <f>CONCATENATE("per ",C5)</f>
        <v>per sqm</v>
      </c>
      <c r="J18" s="744"/>
      <c r="K18" s="745"/>
      <c r="L18" s="745"/>
      <c r="M18" s="745"/>
      <c r="N18" s="745"/>
      <c r="O18" s="745"/>
      <c r="P18" s="745"/>
      <c r="Q18" s="745"/>
      <c r="R18" s="746"/>
    </row>
    <row r="19" spans="1:18">
      <c r="A19" s="23"/>
      <c r="B19" s="11"/>
      <c r="C19" s="4"/>
      <c r="D19" s="4"/>
      <c r="E19" s="4"/>
      <c r="F19" s="4"/>
      <c r="G19" s="24" t="s">
        <v>17</v>
      </c>
      <c r="H19" s="37">
        <f>H18/exr</f>
        <v>0.44230769230769229</v>
      </c>
      <c r="I19" s="38" t="str">
        <f>CONCATENATE("per ",C5)</f>
        <v>per sqm</v>
      </c>
      <c r="J19" s="747"/>
      <c r="K19" s="748"/>
      <c r="L19" s="748"/>
      <c r="M19" s="748"/>
      <c r="N19" s="748"/>
      <c r="O19" s="748"/>
      <c r="P19" s="748"/>
      <c r="Q19" s="748"/>
      <c r="R19" s="749"/>
    </row>
    <row r="20" spans="1:18">
      <c r="A20" s="39"/>
      <c r="B20" s="40"/>
      <c r="C20" s="41"/>
      <c r="D20" s="41"/>
      <c r="E20" s="41"/>
      <c r="F20" s="41"/>
      <c r="G20" s="149" t="s">
        <v>460</v>
      </c>
      <c r="H20" s="150">
        <f>CEILING(SUM(M5,M6)/H12,0.0025)</f>
        <v>0.28000000000000003</v>
      </c>
      <c r="I20" s="42"/>
      <c r="J20" s="43"/>
      <c r="K20" s="43"/>
      <c r="L20" s="43"/>
      <c r="M20" s="43"/>
      <c r="N20" s="43"/>
      <c r="O20" s="43"/>
      <c r="P20" s="43"/>
      <c r="Q20" s="43"/>
      <c r="R20" s="44"/>
    </row>
    <row r="21" spans="1:18">
      <c r="A21" s="22"/>
      <c r="B21" s="22"/>
      <c r="C21" s="22"/>
      <c r="D21" s="22"/>
      <c r="E21" s="22"/>
      <c r="F21" s="22"/>
      <c r="G21" s="22"/>
      <c r="H21" s="22"/>
      <c r="I21" s="22"/>
      <c r="J21" s="22"/>
      <c r="K21" s="22"/>
      <c r="L21" s="22"/>
      <c r="M21" s="22"/>
      <c r="N21" s="22"/>
      <c r="O21" s="22"/>
      <c r="P21" s="22"/>
      <c r="Q21" s="22"/>
      <c r="R21" s="22"/>
    </row>
    <row r="22" spans="1:18">
      <c r="A22" s="693" t="s">
        <v>0</v>
      </c>
      <c r="B22" s="695" t="s">
        <v>1</v>
      </c>
      <c r="C22" s="695" t="s">
        <v>2</v>
      </c>
      <c r="D22" s="697" t="s">
        <v>3</v>
      </c>
      <c r="E22" s="698"/>
      <c r="F22" s="698"/>
      <c r="G22" s="698"/>
      <c r="H22" s="698"/>
      <c r="I22" s="699" t="s">
        <v>4</v>
      </c>
      <c r="J22" s="700"/>
      <c r="K22" s="700"/>
      <c r="L22" s="700"/>
      <c r="M22" s="700"/>
      <c r="N22" s="698" t="s">
        <v>5</v>
      </c>
      <c r="O22" s="698"/>
      <c r="P22" s="698"/>
      <c r="Q22" s="698"/>
      <c r="R22" s="698"/>
    </row>
    <row r="23" spans="1:18">
      <c r="A23" s="694"/>
      <c r="B23" s="759"/>
      <c r="C23" s="696"/>
      <c r="D23" s="45" t="s">
        <v>6</v>
      </c>
      <c r="E23" s="46" t="s">
        <v>2</v>
      </c>
      <c r="F23" s="46" t="s">
        <v>7</v>
      </c>
      <c r="G23" s="46" t="s">
        <v>8</v>
      </c>
      <c r="H23" s="46" t="s">
        <v>9</v>
      </c>
      <c r="I23" s="46" t="s">
        <v>10</v>
      </c>
      <c r="J23" s="46" t="s">
        <v>2</v>
      </c>
      <c r="K23" s="46" t="s">
        <v>7</v>
      </c>
      <c r="L23" s="46" t="s">
        <v>8</v>
      </c>
      <c r="M23" s="47" t="s">
        <v>9</v>
      </c>
      <c r="N23" s="46" t="s">
        <v>10</v>
      </c>
      <c r="O23" s="46" t="s">
        <v>2</v>
      </c>
      <c r="P23" s="46" t="s">
        <v>7</v>
      </c>
      <c r="Q23" s="46" t="s">
        <v>8</v>
      </c>
      <c r="R23" s="46" t="s">
        <v>9</v>
      </c>
    </row>
    <row r="24" spans="1:18">
      <c r="A24" s="33" t="s">
        <v>23</v>
      </c>
      <c r="B24" s="127" t="s">
        <v>436</v>
      </c>
      <c r="C24" s="31"/>
      <c r="D24" s="31"/>
      <c r="E24" s="31"/>
      <c r="F24" s="31"/>
      <c r="G24" s="31"/>
      <c r="H24" s="31"/>
      <c r="I24" s="31"/>
      <c r="J24" s="31"/>
      <c r="K24" s="31"/>
      <c r="L24" s="31"/>
      <c r="M24" s="31"/>
      <c r="N24" s="31"/>
      <c r="O24" s="31"/>
      <c r="P24" s="31"/>
      <c r="Q24" s="31"/>
      <c r="R24" s="32"/>
    </row>
    <row r="25" spans="1:18">
      <c r="A25" s="34">
        <f>A4+1</f>
        <v>2</v>
      </c>
      <c r="B25" s="713" t="s">
        <v>432</v>
      </c>
      <c r="C25" s="66">
        <v>100</v>
      </c>
      <c r="D25" s="4"/>
      <c r="E25" s="6"/>
      <c r="F25" s="29"/>
      <c r="G25" s="26"/>
      <c r="H25" s="26"/>
      <c r="I25" s="6"/>
      <c r="J25" s="6"/>
      <c r="K25" s="29"/>
      <c r="L25" s="26"/>
      <c r="M25" s="26"/>
      <c r="N25" s="6"/>
      <c r="O25" s="6"/>
      <c r="P25" s="29"/>
      <c r="Q25" s="26"/>
      <c r="R25" s="26"/>
    </row>
    <row r="26" spans="1:18">
      <c r="A26" s="2"/>
      <c r="B26" s="714"/>
      <c r="C26" s="124" t="s">
        <v>127</v>
      </c>
      <c r="D26" s="4" t="s">
        <v>96</v>
      </c>
      <c r="E26" s="66" t="s">
        <v>81</v>
      </c>
      <c r="F26" s="29">
        <v>38</v>
      </c>
      <c r="G26" s="26">
        <f>sr</f>
        <v>1100</v>
      </c>
      <c r="H26" s="26">
        <f>F26*G26</f>
        <v>41800</v>
      </c>
      <c r="I26" s="7" t="s">
        <v>433</v>
      </c>
      <c r="J26" s="145" t="s">
        <v>424</v>
      </c>
      <c r="K26" s="29">
        <v>50</v>
      </c>
      <c r="L26" s="28">
        <f>snowcem</f>
        <v>88.97</v>
      </c>
      <c r="M26" s="26">
        <f>K26*L26</f>
        <v>4448.5</v>
      </c>
      <c r="N26" s="8" t="s">
        <v>294</v>
      </c>
      <c r="O26" s="6"/>
      <c r="P26" s="29"/>
      <c r="Q26" s="28"/>
      <c r="R26" s="26">
        <f>3%*H32</f>
        <v>1419.75</v>
      </c>
    </row>
    <row r="27" spans="1:18">
      <c r="A27" s="2"/>
      <c r="B27" s="714"/>
      <c r="C27" s="6"/>
      <c r="D27" s="4" t="s">
        <v>97</v>
      </c>
      <c r="E27" s="66" t="s">
        <v>81</v>
      </c>
      <c r="F27" s="29">
        <v>6.5</v>
      </c>
      <c r="G27" s="26">
        <f>ur</f>
        <v>850</v>
      </c>
      <c r="H27" s="26">
        <f>F27*G27</f>
        <v>5525</v>
      </c>
      <c r="I27" s="7"/>
      <c r="J27" s="145"/>
      <c r="K27" s="29"/>
      <c r="L27" s="28"/>
      <c r="M27" s="26"/>
      <c r="N27" s="8"/>
      <c r="O27" s="6"/>
      <c r="P27" s="29"/>
      <c r="Q27" s="28"/>
      <c r="R27" s="26"/>
    </row>
    <row r="28" spans="1:18">
      <c r="A28" s="2"/>
      <c r="B28" s="126"/>
      <c r="C28" s="6"/>
      <c r="D28" s="4"/>
      <c r="E28" s="66"/>
      <c r="F28" s="29"/>
      <c r="G28" s="26"/>
      <c r="H28" s="26"/>
      <c r="I28" s="7"/>
      <c r="J28" s="145"/>
      <c r="K28" s="29"/>
      <c r="L28" s="28"/>
      <c r="M28" s="26"/>
      <c r="N28" s="8"/>
      <c r="O28" s="6"/>
      <c r="P28" s="29"/>
      <c r="Q28" s="28"/>
      <c r="R28" s="26"/>
    </row>
    <row r="29" spans="1:18">
      <c r="A29" s="2"/>
      <c r="B29" s="126"/>
      <c r="C29" s="6"/>
      <c r="D29" s="4"/>
      <c r="E29" s="66"/>
      <c r="F29" s="29"/>
      <c r="G29" s="26"/>
      <c r="H29" s="26"/>
      <c r="I29" s="7"/>
      <c r="J29" s="145"/>
      <c r="K29" s="29"/>
      <c r="L29" s="28"/>
      <c r="M29" s="26"/>
      <c r="N29" s="8"/>
      <c r="O29" s="6"/>
      <c r="P29" s="29"/>
      <c r="Q29" s="28"/>
      <c r="R29" s="26"/>
    </row>
    <row r="30" spans="1:18">
      <c r="A30" s="2"/>
      <c r="B30" s="126"/>
      <c r="C30" s="6"/>
      <c r="D30" s="4"/>
      <c r="E30" s="66"/>
      <c r="F30" s="29"/>
      <c r="G30" s="26"/>
      <c r="H30" s="26"/>
      <c r="I30" s="7"/>
      <c r="J30" s="145"/>
      <c r="K30" s="29"/>
      <c r="L30" s="28"/>
      <c r="M30" s="26"/>
      <c r="N30" s="8"/>
      <c r="O30" s="6"/>
      <c r="P30" s="29"/>
      <c r="Q30" s="28"/>
      <c r="R30" s="26"/>
    </row>
    <row r="31" spans="1:18">
      <c r="A31" s="2"/>
      <c r="B31" s="5"/>
      <c r="C31" s="6"/>
      <c r="D31" s="4"/>
      <c r="E31" s="9"/>
      <c r="F31" s="30"/>
      <c r="G31" s="27"/>
      <c r="H31" s="27"/>
      <c r="I31" s="9"/>
      <c r="J31" s="10"/>
      <c r="K31" s="30"/>
      <c r="L31" s="28"/>
      <c r="M31" s="28"/>
      <c r="N31" s="8"/>
      <c r="O31" s="6"/>
      <c r="P31" s="30"/>
      <c r="Q31" s="28"/>
      <c r="R31" s="28"/>
    </row>
    <row r="32" spans="1:18">
      <c r="A32" s="2"/>
      <c r="B32" s="11"/>
      <c r="C32" s="6"/>
      <c r="D32" s="12"/>
      <c r="E32" s="59"/>
      <c r="F32" s="13"/>
      <c r="G32" s="13" t="s">
        <v>20</v>
      </c>
      <c r="H32" s="25">
        <f>SUM(H25:H31)</f>
        <v>47325</v>
      </c>
      <c r="I32" s="703"/>
      <c r="J32" s="703"/>
      <c r="K32" s="14"/>
      <c r="L32" s="13" t="s">
        <v>21</v>
      </c>
      <c r="M32" s="25">
        <f>SUM(M25:M31)</f>
        <v>4448.5</v>
      </c>
      <c r="N32" s="3"/>
      <c r="O32" s="14"/>
      <c r="P32" s="14"/>
      <c r="Q32" s="13" t="s">
        <v>22</v>
      </c>
      <c r="R32" s="25">
        <f>SUM(R25:R31)</f>
        <v>1419.75</v>
      </c>
    </row>
    <row r="33" spans="1:18">
      <c r="A33" s="2"/>
      <c r="B33" s="16" t="s">
        <v>13</v>
      </c>
      <c r="C33" s="14"/>
      <c r="D33" s="14"/>
      <c r="E33" s="14"/>
      <c r="F33" s="14"/>
      <c r="G33" s="13"/>
      <c r="H33" s="35">
        <f>M32+R32+H32</f>
        <v>53193.25</v>
      </c>
      <c r="I33" s="17"/>
      <c r="J33" s="14"/>
      <c r="K33" s="14"/>
      <c r="L33" s="13"/>
      <c r="M33" s="15"/>
      <c r="N33" s="14"/>
      <c r="O33" s="14"/>
      <c r="P33" s="14"/>
      <c r="Q33" s="14"/>
      <c r="R33" s="17"/>
    </row>
    <row r="34" spans="1:18">
      <c r="A34" s="2"/>
      <c r="B34" s="11" t="s">
        <v>25</v>
      </c>
      <c r="C34" s="4"/>
      <c r="D34" s="4"/>
      <c r="E34" s="4"/>
      <c r="F34" s="4"/>
      <c r="G34" s="18"/>
      <c r="H34" s="36">
        <v>0</v>
      </c>
      <c r="I34" s="20"/>
      <c r="J34" s="4" t="s">
        <v>26</v>
      </c>
      <c r="K34" s="4"/>
      <c r="L34" s="18"/>
      <c r="M34" s="19"/>
      <c r="N34" s="4"/>
      <c r="O34" s="4"/>
      <c r="P34" s="4"/>
      <c r="Q34" s="4"/>
      <c r="R34" s="20"/>
    </row>
    <row r="35" spans="1:18">
      <c r="A35" s="23"/>
      <c r="B35" s="11" t="s">
        <v>14</v>
      </c>
      <c r="C35" s="4"/>
      <c r="D35" s="4"/>
      <c r="E35" s="4"/>
      <c r="F35" s="4"/>
      <c r="G35" s="18"/>
      <c r="H35" s="36">
        <f>SUM(H33:H34)</f>
        <v>53193.25</v>
      </c>
      <c r="I35" s="20"/>
      <c r="J35" s="741"/>
      <c r="K35" s="742"/>
      <c r="L35" s="742"/>
      <c r="M35" s="742"/>
      <c r="N35" s="742"/>
      <c r="O35" s="742"/>
      <c r="P35" s="742"/>
      <c r="Q35" s="742"/>
      <c r="R35" s="743"/>
    </row>
    <row r="36" spans="1:18">
      <c r="A36" s="23"/>
      <c r="B36" s="11" t="s">
        <v>24</v>
      </c>
      <c r="C36" s="4"/>
      <c r="D36" s="4"/>
      <c r="E36" s="4"/>
      <c r="F36" s="4"/>
      <c r="G36" s="18"/>
      <c r="H36" s="36">
        <f>H35*15%</f>
        <v>7978.9874999999993</v>
      </c>
      <c r="I36" s="20"/>
      <c r="J36" s="744"/>
      <c r="K36" s="745"/>
      <c r="L36" s="745"/>
      <c r="M36" s="745"/>
      <c r="N36" s="745"/>
      <c r="O36" s="745"/>
      <c r="P36" s="745"/>
      <c r="Q36" s="745"/>
      <c r="R36" s="746"/>
    </row>
    <row r="37" spans="1:18">
      <c r="A37" s="23"/>
      <c r="B37" s="11" t="s">
        <v>15</v>
      </c>
      <c r="C37" s="4"/>
      <c r="D37" s="4"/>
      <c r="E37" s="4"/>
      <c r="F37" s="4"/>
      <c r="G37" s="21" t="s">
        <v>16</v>
      </c>
      <c r="H37" s="37">
        <f>H36+H35</f>
        <v>61172.237500000003</v>
      </c>
      <c r="I37" s="38" t="str">
        <f>CONCATENATE("per ",C25, C26)</f>
        <v>per 100sqm</v>
      </c>
      <c r="J37" s="744"/>
      <c r="K37" s="745"/>
      <c r="L37" s="745"/>
      <c r="M37" s="745"/>
      <c r="N37" s="745"/>
      <c r="O37" s="745"/>
      <c r="P37" s="745"/>
      <c r="Q37" s="745"/>
      <c r="R37" s="746"/>
    </row>
    <row r="38" spans="1:18">
      <c r="A38" s="23"/>
      <c r="B38" s="11"/>
      <c r="C38" s="4"/>
      <c r="D38" s="4"/>
      <c r="E38" s="4"/>
      <c r="F38" s="4"/>
      <c r="G38" s="21" t="s">
        <v>16</v>
      </c>
      <c r="H38" s="37">
        <f>H37/C25</f>
        <v>611.72237500000006</v>
      </c>
      <c r="I38" s="38" t="str">
        <f>CONCATENATE("per ",C26)</f>
        <v>per sqm</v>
      </c>
      <c r="J38" s="744"/>
      <c r="K38" s="745"/>
      <c r="L38" s="745"/>
      <c r="M38" s="745"/>
      <c r="N38" s="745"/>
      <c r="O38" s="745"/>
      <c r="P38" s="745"/>
      <c r="Q38" s="745"/>
      <c r="R38" s="746"/>
    </row>
    <row r="39" spans="1:18">
      <c r="A39" s="23"/>
      <c r="B39" s="11" t="s">
        <v>18</v>
      </c>
      <c r="C39" s="4" t="s">
        <v>19</v>
      </c>
      <c r="D39" s="4"/>
      <c r="E39" s="4"/>
      <c r="F39" s="4"/>
      <c r="G39" s="21" t="s">
        <v>16</v>
      </c>
      <c r="H39" s="37">
        <f>CEILING(H38,0.5)</f>
        <v>612</v>
      </c>
      <c r="I39" s="38" t="str">
        <f>CONCATENATE("per ",C26)</f>
        <v>per sqm</v>
      </c>
      <c r="J39" s="744"/>
      <c r="K39" s="745"/>
      <c r="L39" s="745"/>
      <c r="M39" s="745"/>
      <c r="N39" s="745"/>
      <c r="O39" s="745"/>
      <c r="P39" s="745"/>
      <c r="Q39" s="745"/>
      <c r="R39" s="746"/>
    </row>
    <row r="40" spans="1:18">
      <c r="A40" s="23"/>
      <c r="B40" s="11"/>
      <c r="C40" s="4"/>
      <c r="D40" s="4"/>
      <c r="E40" s="4"/>
      <c r="F40" s="4"/>
      <c r="G40" s="24" t="s">
        <v>17</v>
      </c>
      <c r="H40" s="37">
        <f>H39/exr</f>
        <v>4.7076923076923078</v>
      </c>
      <c r="I40" s="38" t="str">
        <f>CONCATENATE("per ",C26)</f>
        <v>per sqm</v>
      </c>
      <c r="J40" s="747"/>
      <c r="K40" s="748"/>
      <c r="L40" s="748"/>
      <c r="M40" s="748"/>
      <c r="N40" s="748"/>
      <c r="O40" s="748"/>
      <c r="P40" s="748"/>
      <c r="Q40" s="748"/>
      <c r="R40" s="749"/>
    </row>
    <row r="41" spans="1:18">
      <c r="A41" s="39"/>
      <c r="B41" s="40"/>
      <c r="C41" s="41"/>
      <c r="D41" s="41"/>
      <c r="E41" s="41"/>
      <c r="F41" s="41"/>
      <c r="G41" s="149" t="s">
        <v>460</v>
      </c>
      <c r="H41" s="150">
        <f>CEILING(SUM(M26)/H33,0.0025)</f>
        <v>8.5000000000000006E-2</v>
      </c>
      <c r="I41" s="42"/>
      <c r="J41" s="43"/>
      <c r="K41" s="43"/>
      <c r="L41" s="43"/>
      <c r="M41" s="43"/>
      <c r="N41" s="43"/>
      <c r="O41" s="43"/>
      <c r="P41" s="43"/>
      <c r="Q41" s="43"/>
      <c r="R41" s="44"/>
    </row>
    <row r="43" spans="1:18">
      <c r="A43" s="693" t="s">
        <v>0</v>
      </c>
      <c r="B43" s="695" t="s">
        <v>1</v>
      </c>
      <c r="C43" s="695" t="s">
        <v>2</v>
      </c>
      <c r="D43" s="697" t="s">
        <v>3</v>
      </c>
      <c r="E43" s="698"/>
      <c r="F43" s="698"/>
      <c r="G43" s="698"/>
      <c r="H43" s="698"/>
      <c r="I43" s="699" t="s">
        <v>4</v>
      </c>
      <c r="J43" s="700"/>
      <c r="K43" s="700"/>
      <c r="L43" s="700"/>
      <c r="M43" s="700"/>
      <c r="N43" s="698" t="s">
        <v>5</v>
      </c>
      <c r="O43" s="698"/>
      <c r="P43" s="698"/>
      <c r="Q43" s="698"/>
      <c r="R43" s="698"/>
    </row>
    <row r="44" spans="1:18">
      <c r="A44" s="694"/>
      <c r="B44" s="759"/>
      <c r="C44" s="696"/>
      <c r="D44" s="45" t="s">
        <v>6</v>
      </c>
      <c r="E44" s="46" t="s">
        <v>2</v>
      </c>
      <c r="F44" s="46" t="s">
        <v>7</v>
      </c>
      <c r="G44" s="46" t="s">
        <v>8</v>
      </c>
      <c r="H44" s="46" t="s">
        <v>9</v>
      </c>
      <c r="I44" s="46" t="s">
        <v>10</v>
      </c>
      <c r="J44" s="46" t="s">
        <v>2</v>
      </c>
      <c r="K44" s="46" t="s">
        <v>7</v>
      </c>
      <c r="L44" s="46" t="s">
        <v>8</v>
      </c>
      <c r="M44" s="47" t="s">
        <v>9</v>
      </c>
      <c r="N44" s="46" t="s">
        <v>10</v>
      </c>
      <c r="O44" s="46" t="s">
        <v>2</v>
      </c>
      <c r="P44" s="46" t="s">
        <v>7</v>
      </c>
      <c r="Q44" s="46" t="s">
        <v>8</v>
      </c>
      <c r="R44" s="46" t="s">
        <v>9</v>
      </c>
    </row>
    <row r="45" spans="1:18">
      <c r="A45" s="33" t="s">
        <v>23</v>
      </c>
      <c r="B45" s="127" t="s">
        <v>436</v>
      </c>
      <c r="C45" s="31"/>
      <c r="D45" s="31"/>
      <c r="E45" s="31"/>
      <c r="F45" s="31"/>
      <c r="G45" s="31"/>
      <c r="H45" s="31"/>
      <c r="I45" s="31"/>
      <c r="J45" s="31"/>
      <c r="K45" s="31"/>
      <c r="L45" s="31"/>
      <c r="M45" s="31"/>
      <c r="N45" s="31"/>
      <c r="O45" s="31"/>
      <c r="P45" s="31"/>
      <c r="Q45" s="31"/>
      <c r="R45" s="32"/>
    </row>
    <row r="46" spans="1:18">
      <c r="A46" s="34">
        <f>A25+1</f>
        <v>3</v>
      </c>
      <c r="B46" s="713" t="s">
        <v>434</v>
      </c>
      <c r="C46" s="66">
        <v>100</v>
      </c>
      <c r="D46" s="4"/>
      <c r="E46" s="6"/>
      <c r="F46" s="29"/>
      <c r="G46" s="26"/>
      <c r="H46" s="26"/>
      <c r="I46" s="6"/>
      <c r="J46" s="6"/>
      <c r="K46" s="29"/>
      <c r="L46" s="26"/>
      <c r="M46" s="26"/>
      <c r="N46" s="6"/>
      <c r="O46" s="6"/>
      <c r="P46" s="29"/>
      <c r="Q46" s="26"/>
      <c r="R46" s="26"/>
    </row>
    <row r="47" spans="1:18">
      <c r="A47" s="2"/>
      <c r="B47" s="714"/>
      <c r="C47" s="124" t="s">
        <v>127</v>
      </c>
      <c r="D47" s="4" t="s">
        <v>96</v>
      </c>
      <c r="E47" s="66" t="s">
        <v>81</v>
      </c>
      <c r="F47" s="29">
        <v>13</v>
      </c>
      <c r="G47" s="26">
        <f>sr</f>
        <v>1100</v>
      </c>
      <c r="H47" s="26">
        <f>F47*G47</f>
        <v>14300</v>
      </c>
      <c r="I47" s="7" t="s">
        <v>61</v>
      </c>
      <c r="J47" s="145" t="s">
        <v>250</v>
      </c>
      <c r="K47" s="29">
        <v>15</v>
      </c>
      <c r="L47" s="28">
        <f>enamel</f>
        <v>393.97</v>
      </c>
      <c r="M47" s="26">
        <f>K47*L47</f>
        <v>5909.55</v>
      </c>
      <c r="N47" s="8" t="s">
        <v>294</v>
      </c>
      <c r="O47" s="6"/>
      <c r="P47" s="29"/>
      <c r="Q47" s="28"/>
      <c r="R47" s="26">
        <f>3%*H53</f>
        <v>735</v>
      </c>
    </row>
    <row r="48" spans="1:18">
      <c r="A48" s="2"/>
      <c r="B48" s="714"/>
      <c r="C48" s="6"/>
      <c r="D48" s="4" t="s">
        <v>97</v>
      </c>
      <c r="E48" s="66" t="s">
        <v>81</v>
      </c>
      <c r="F48" s="29">
        <v>12</v>
      </c>
      <c r="G48" s="26">
        <f>ur</f>
        <v>850</v>
      </c>
      <c r="H48" s="26">
        <f>F48*G48</f>
        <v>10200</v>
      </c>
      <c r="I48" s="7" t="s">
        <v>63</v>
      </c>
      <c r="J48" s="145" t="s">
        <v>250</v>
      </c>
      <c r="K48" s="29">
        <v>7</v>
      </c>
      <c r="L48" s="28">
        <f>redoxide</f>
        <v>318.97000000000003</v>
      </c>
      <c r="M48" s="26">
        <f>K48*L48</f>
        <v>2232.79</v>
      </c>
      <c r="N48" s="8"/>
      <c r="O48" s="6"/>
      <c r="P48" s="29"/>
      <c r="Q48" s="28"/>
      <c r="R48" s="26"/>
    </row>
    <row r="49" spans="1:18">
      <c r="A49" s="2"/>
      <c r="B49" s="126"/>
      <c r="C49" s="6"/>
      <c r="D49" s="4"/>
      <c r="E49" s="66"/>
      <c r="F49" s="29"/>
      <c r="G49" s="26"/>
      <c r="H49" s="26"/>
      <c r="I49" s="7"/>
      <c r="J49" s="145"/>
      <c r="K49" s="29"/>
      <c r="L49" s="28"/>
      <c r="M49" s="26"/>
      <c r="N49" s="8"/>
      <c r="O49" s="6"/>
      <c r="P49" s="29"/>
      <c r="Q49" s="28"/>
      <c r="R49" s="26"/>
    </row>
    <row r="50" spans="1:18">
      <c r="A50" s="2"/>
      <c r="B50" s="126"/>
      <c r="C50" s="6"/>
      <c r="D50" s="4"/>
      <c r="E50" s="66"/>
      <c r="F50" s="29"/>
      <c r="G50" s="26"/>
      <c r="H50" s="26"/>
      <c r="I50" s="7"/>
      <c r="J50" s="145"/>
      <c r="K50" s="29"/>
      <c r="L50" s="28"/>
      <c r="M50" s="26"/>
      <c r="N50" s="8"/>
      <c r="O50" s="6"/>
      <c r="P50" s="29"/>
      <c r="Q50" s="28"/>
      <c r="R50" s="26"/>
    </row>
    <row r="51" spans="1:18">
      <c r="A51" s="2"/>
      <c r="B51" s="126"/>
      <c r="C51" s="6"/>
      <c r="D51" s="4"/>
      <c r="E51" s="66"/>
      <c r="F51" s="29"/>
      <c r="G51" s="26"/>
      <c r="H51" s="26"/>
      <c r="I51" s="7"/>
      <c r="J51" s="145"/>
      <c r="K51" s="29"/>
      <c r="L51" s="28"/>
      <c r="M51" s="26"/>
      <c r="N51" s="8"/>
      <c r="O51" s="6"/>
      <c r="P51" s="29"/>
      <c r="Q51" s="28"/>
      <c r="R51" s="26"/>
    </row>
    <row r="52" spans="1:18">
      <c r="A52" s="2"/>
      <c r="B52" s="5"/>
      <c r="C52" s="6"/>
      <c r="D52" s="4"/>
      <c r="E52" s="9"/>
      <c r="F52" s="30"/>
      <c r="G52" s="27"/>
      <c r="H52" s="27"/>
      <c r="I52" s="9"/>
      <c r="J52" s="10"/>
      <c r="K52" s="30"/>
      <c r="L52" s="28"/>
      <c r="M52" s="28"/>
      <c r="N52" s="8"/>
      <c r="O52" s="6"/>
      <c r="P52" s="30"/>
      <c r="Q52" s="28"/>
      <c r="R52" s="28"/>
    </row>
    <row r="53" spans="1:18">
      <c r="A53" s="2"/>
      <c r="B53" s="11"/>
      <c r="C53" s="6"/>
      <c r="D53" s="12"/>
      <c r="E53" s="59"/>
      <c r="F53" s="13"/>
      <c r="G53" s="13" t="s">
        <v>20</v>
      </c>
      <c r="H53" s="25">
        <f>SUM(H46:H52)</f>
        <v>24500</v>
      </c>
      <c r="I53" s="703"/>
      <c r="J53" s="703"/>
      <c r="K53" s="14"/>
      <c r="L53" s="13" t="s">
        <v>21</v>
      </c>
      <c r="M53" s="25">
        <f>SUM(M46:M52)</f>
        <v>8142.34</v>
      </c>
      <c r="N53" s="3"/>
      <c r="O53" s="14"/>
      <c r="P53" s="14"/>
      <c r="Q53" s="13" t="s">
        <v>22</v>
      </c>
      <c r="R53" s="25">
        <f>SUM(R46:R52)</f>
        <v>735</v>
      </c>
    </row>
    <row r="54" spans="1:18">
      <c r="A54" s="2"/>
      <c r="B54" s="16" t="s">
        <v>13</v>
      </c>
      <c r="C54" s="14"/>
      <c r="D54" s="14"/>
      <c r="E54" s="14"/>
      <c r="F54" s="14"/>
      <c r="G54" s="13"/>
      <c r="H54" s="35">
        <f>M53+R53+H53</f>
        <v>33377.339999999997</v>
      </c>
      <c r="I54" s="17"/>
      <c r="J54" s="14"/>
      <c r="K54" s="14"/>
      <c r="L54" s="13"/>
      <c r="M54" s="15"/>
      <c r="N54" s="14"/>
      <c r="O54" s="14"/>
      <c r="P54" s="14"/>
      <c r="Q54" s="14"/>
      <c r="R54" s="17"/>
    </row>
    <row r="55" spans="1:18">
      <c r="A55" s="2"/>
      <c r="B55" s="11" t="s">
        <v>25</v>
      </c>
      <c r="C55" s="4"/>
      <c r="D55" s="4"/>
      <c r="E55" s="4"/>
      <c r="F55" s="4"/>
      <c r="G55" s="18"/>
      <c r="H55" s="36">
        <v>0</v>
      </c>
      <c r="I55" s="20"/>
      <c r="J55" s="4" t="s">
        <v>26</v>
      </c>
      <c r="K55" s="4"/>
      <c r="L55" s="18"/>
      <c r="M55" s="19"/>
      <c r="N55" s="4"/>
      <c r="O55" s="4"/>
      <c r="P55" s="4"/>
      <c r="Q55" s="4"/>
      <c r="R55" s="20"/>
    </row>
    <row r="56" spans="1:18">
      <c r="A56" s="23"/>
      <c r="B56" s="11" t="s">
        <v>14</v>
      </c>
      <c r="C56" s="4"/>
      <c r="D56" s="4"/>
      <c r="E56" s="4"/>
      <c r="F56" s="4"/>
      <c r="G56" s="18"/>
      <c r="H56" s="36">
        <f>SUM(H54:H55)</f>
        <v>33377.339999999997</v>
      </c>
      <c r="I56" s="20"/>
      <c r="J56" s="741"/>
      <c r="K56" s="742"/>
      <c r="L56" s="742"/>
      <c r="M56" s="742"/>
      <c r="N56" s="742"/>
      <c r="O56" s="742"/>
      <c r="P56" s="742"/>
      <c r="Q56" s="742"/>
      <c r="R56" s="743"/>
    </row>
    <row r="57" spans="1:18">
      <c r="A57" s="23"/>
      <c r="B57" s="11" t="s">
        <v>24</v>
      </c>
      <c r="C57" s="4"/>
      <c r="D57" s="4"/>
      <c r="E57" s="4"/>
      <c r="F57" s="4"/>
      <c r="G57" s="18"/>
      <c r="H57" s="36">
        <f>H56*15%</f>
        <v>5006.6009999999997</v>
      </c>
      <c r="I57" s="20"/>
      <c r="J57" s="744"/>
      <c r="K57" s="745"/>
      <c r="L57" s="745"/>
      <c r="M57" s="745"/>
      <c r="N57" s="745"/>
      <c r="O57" s="745"/>
      <c r="P57" s="745"/>
      <c r="Q57" s="745"/>
      <c r="R57" s="746"/>
    </row>
    <row r="58" spans="1:18">
      <c r="A58" s="23"/>
      <c r="B58" s="11" t="s">
        <v>15</v>
      </c>
      <c r="C58" s="4"/>
      <c r="D58" s="4"/>
      <c r="E58" s="4"/>
      <c r="F58" s="4"/>
      <c r="G58" s="21" t="s">
        <v>16</v>
      </c>
      <c r="H58" s="37">
        <f>SUM(H56:H57)</f>
        <v>38383.940999999999</v>
      </c>
      <c r="I58" s="38" t="str">
        <f>CONCATENATE("per ",C46, C47)</f>
        <v>per 100sqm</v>
      </c>
      <c r="J58" s="744"/>
      <c r="K58" s="745"/>
      <c r="L58" s="745"/>
      <c r="M58" s="745"/>
      <c r="N58" s="745"/>
      <c r="O58" s="745"/>
      <c r="P58" s="745"/>
      <c r="Q58" s="745"/>
      <c r="R58" s="746"/>
    </row>
    <row r="59" spans="1:18">
      <c r="A59" s="23"/>
      <c r="B59" s="11"/>
      <c r="C59" s="4"/>
      <c r="D59" s="4"/>
      <c r="E59" s="4"/>
      <c r="F59" s="4"/>
      <c r="G59" s="21" t="s">
        <v>16</v>
      </c>
      <c r="H59" s="37">
        <f>H58/C46</f>
        <v>383.83940999999999</v>
      </c>
      <c r="I59" s="38" t="str">
        <f>CONCATENATE("per ",C47)</f>
        <v>per sqm</v>
      </c>
      <c r="J59" s="744"/>
      <c r="K59" s="745"/>
      <c r="L59" s="745"/>
      <c r="M59" s="745"/>
      <c r="N59" s="745"/>
      <c r="O59" s="745"/>
      <c r="P59" s="745"/>
      <c r="Q59" s="745"/>
      <c r="R59" s="746"/>
    </row>
    <row r="60" spans="1:18">
      <c r="A60" s="23"/>
      <c r="B60" s="11" t="s">
        <v>18</v>
      </c>
      <c r="C60" s="4" t="s">
        <v>19</v>
      </c>
      <c r="D60" s="4"/>
      <c r="E60" s="4"/>
      <c r="F60" s="4"/>
      <c r="G60" s="21" t="s">
        <v>16</v>
      </c>
      <c r="H60" s="37">
        <f>CEILING(H59,0.5)</f>
        <v>384</v>
      </c>
      <c r="I60" s="38" t="str">
        <f>CONCATENATE("per ",C47)</f>
        <v>per sqm</v>
      </c>
      <c r="J60" s="744"/>
      <c r="K60" s="745"/>
      <c r="L60" s="745"/>
      <c r="M60" s="745"/>
      <c r="N60" s="745"/>
      <c r="O60" s="745"/>
      <c r="P60" s="745"/>
      <c r="Q60" s="745"/>
      <c r="R60" s="746"/>
    </row>
    <row r="61" spans="1:18">
      <c r="A61" s="23"/>
      <c r="B61" s="11"/>
      <c r="C61" s="4"/>
      <c r="D61" s="4"/>
      <c r="E61" s="4"/>
      <c r="F61" s="4"/>
      <c r="G61" s="24" t="s">
        <v>17</v>
      </c>
      <c r="H61" s="37">
        <f>H60/exr</f>
        <v>2.953846153846154</v>
      </c>
      <c r="I61" s="38" t="str">
        <f>CONCATENATE("per ",C47)</f>
        <v>per sqm</v>
      </c>
      <c r="J61" s="747"/>
      <c r="K61" s="748"/>
      <c r="L61" s="748"/>
      <c r="M61" s="748"/>
      <c r="N61" s="748"/>
      <c r="O61" s="748"/>
      <c r="P61" s="748"/>
      <c r="Q61" s="748"/>
      <c r="R61" s="749"/>
    </row>
    <row r="62" spans="1:18">
      <c r="A62" s="39"/>
      <c r="B62" s="40"/>
      <c r="C62" s="41"/>
      <c r="D62" s="41"/>
      <c r="E62" s="41"/>
      <c r="F62" s="41"/>
      <c r="G62" s="149" t="s">
        <v>460</v>
      </c>
      <c r="H62" s="150">
        <f>CEILING(SUM(M47,M48)/H54,0.0025)</f>
        <v>0.245</v>
      </c>
      <c r="I62" s="42"/>
      <c r="J62" s="43"/>
      <c r="K62" s="43"/>
      <c r="L62" s="43"/>
      <c r="M62" s="43"/>
      <c r="N62" s="43"/>
      <c r="O62" s="43"/>
      <c r="P62" s="43"/>
      <c r="Q62" s="43"/>
      <c r="R62" s="44"/>
    </row>
  </sheetData>
  <mergeCells count="27">
    <mergeCell ref="N1:R1"/>
    <mergeCell ref="A1:A2"/>
    <mergeCell ref="B1:B2"/>
    <mergeCell ref="C1:C2"/>
    <mergeCell ref="D1:H1"/>
    <mergeCell ref="I1:M1"/>
    <mergeCell ref="B4:B6"/>
    <mergeCell ref="I11:J11"/>
    <mergeCell ref="J14:R19"/>
    <mergeCell ref="A22:A23"/>
    <mergeCell ref="B22:B23"/>
    <mergeCell ref="C22:C23"/>
    <mergeCell ref="D22:H22"/>
    <mergeCell ref="I22:M22"/>
    <mergeCell ref="N22:R22"/>
    <mergeCell ref="A43:A44"/>
    <mergeCell ref="B43:B44"/>
    <mergeCell ref="C43:C44"/>
    <mergeCell ref="D43:H43"/>
    <mergeCell ref="I43:M43"/>
    <mergeCell ref="B46:B48"/>
    <mergeCell ref="I53:J53"/>
    <mergeCell ref="J56:R61"/>
    <mergeCell ref="B25:B27"/>
    <mergeCell ref="I32:J32"/>
    <mergeCell ref="J35:R40"/>
    <mergeCell ref="N43:R43"/>
  </mergeCells>
  <printOptions horizontalCentered="1"/>
  <pageMargins left="0.7" right="0.7" top="0.75" bottom="0.75" header="0.3" footer="0.3"/>
  <pageSetup paperSize="9" scale="65" orientation="landscape" r:id="rId1"/>
  <headerFooter>
    <oddHeader>&amp;L&amp;"Gill Sans MT,Italic"&amp;9Hydro Consult
Nyadi Hydropower Project&amp;C&amp;"Gill Sans MT,Regular"RATE ANALYSIS&amp;R&amp;"Gill Sans MT,Italic"&amp;9&amp;A</oddHeader>
    <oddFooter>&amp;R&amp;"Gill Sans MT,Italic"&amp;9Page &amp;P of &amp;N</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91"/>
  <sheetViews>
    <sheetView workbookViewId="0">
      <selection sqref="A1:A2"/>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140625" style="1"/>
    <col min="8" max="8" width="12.7109375" style="1" customWidth="1"/>
    <col min="9" max="9" width="20.5703125" style="1" customWidth="1"/>
    <col min="10" max="10" width="5.28515625" style="1" customWidth="1"/>
    <col min="11" max="11" width="9.140625" style="1"/>
    <col min="12" max="12" width="9.85546875" style="1" bestFit="1" customWidth="1"/>
    <col min="13" max="13" width="10.7109375" style="1" customWidth="1"/>
    <col min="14" max="14" width="16.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436</v>
      </c>
      <c r="C3" s="65"/>
      <c r="D3" s="31"/>
      <c r="E3" s="31"/>
      <c r="F3" s="31"/>
      <c r="G3" s="31"/>
      <c r="H3" s="31"/>
      <c r="I3" s="31"/>
      <c r="J3" s="31"/>
      <c r="K3" s="31"/>
      <c r="L3" s="31"/>
      <c r="M3" s="31"/>
      <c r="N3" s="31"/>
      <c r="O3" s="31"/>
      <c r="P3" s="31"/>
      <c r="Q3" s="31"/>
      <c r="R3" s="32"/>
    </row>
    <row r="4" spans="1:18" ht="15.75" customHeight="1">
      <c r="A4" s="34">
        <v>1</v>
      </c>
      <c r="B4" s="713" t="s">
        <v>437</v>
      </c>
      <c r="C4" s="66">
        <v>0.04</v>
      </c>
      <c r="D4" s="4"/>
      <c r="E4" s="66"/>
      <c r="F4" s="29"/>
      <c r="G4" s="26"/>
      <c r="H4" s="26"/>
      <c r="I4" s="6"/>
      <c r="J4" s="66"/>
      <c r="K4" s="29"/>
      <c r="L4" s="26"/>
      <c r="M4" s="26"/>
      <c r="N4" s="6"/>
      <c r="O4" s="6"/>
      <c r="P4" s="29"/>
      <c r="Q4" s="26"/>
      <c r="R4" s="26"/>
    </row>
    <row r="5" spans="1:18">
      <c r="A5" s="2"/>
      <c r="B5" s="714"/>
      <c r="C5" s="66" t="s">
        <v>11</v>
      </c>
      <c r="D5" s="4" t="s">
        <v>96</v>
      </c>
      <c r="E5" s="66" t="s">
        <v>81</v>
      </c>
      <c r="F5" s="29">
        <v>1.5</v>
      </c>
      <c r="G5" s="26">
        <f>sr</f>
        <v>1100</v>
      </c>
      <c r="H5" s="26">
        <f>F5*G5</f>
        <v>1650</v>
      </c>
      <c r="I5" s="7" t="s">
        <v>438</v>
      </c>
      <c r="J5" s="145" t="s">
        <v>125</v>
      </c>
      <c r="K5" s="88">
        <v>4.3999999999999997E-2</v>
      </c>
      <c r="L5" s="28">
        <f>timber</f>
        <v>93635.06</v>
      </c>
      <c r="M5" s="26">
        <f>K5*L5</f>
        <v>4119.9426399999993</v>
      </c>
      <c r="N5" s="8" t="s">
        <v>294</v>
      </c>
      <c r="O5" s="6"/>
      <c r="P5" s="29"/>
      <c r="Q5" s="28"/>
      <c r="R5" s="26">
        <f>3%*H10</f>
        <v>53.324999999999996</v>
      </c>
    </row>
    <row r="6" spans="1:18">
      <c r="A6" s="2"/>
      <c r="B6" s="714"/>
      <c r="C6" s="66"/>
      <c r="D6" s="4" t="s">
        <v>97</v>
      </c>
      <c r="E6" s="66" t="s">
        <v>81</v>
      </c>
      <c r="F6" s="29">
        <v>0.15</v>
      </c>
      <c r="G6" s="26">
        <f>ur</f>
        <v>850</v>
      </c>
      <c r="H6" s="26">
        <f>F6*G6</f>
        <v>127.5</v>
      </c>
      <c r="I6" s="7" t="s">
        <v>439</v>
      </c>
      <c r="J6" s="145" t="s">
        <v>45</v>
      </c>
      <c r="K6" s="88">
        <v>4</v>
      </c>
      <c r="L6" s="28">
        <f>holdfast</f>
        <v>25.9</v>
      </c>
      <c r="M6" s="26">
        <f>K6*L6</f>
        <v>103.6</v>
      </c>
      <c r="N6" s="8"/>
      <c r="O6" s="6"/>
      <c r="P6" s="29"/>
      <c r="Q6" s="28"/>
      <c r="R6" s="26"/>
    </row>
    <row r="7" spans="1:18">
      <c r="A7" s="2"/>
      <c r="B7" s="714"/>
      <c r="C7" s="66"/>
      <c r="D7" s="4"/>
      <c r="E7" s="66"/>
      <c r="F7" s="29"/>
      <c r="G7" s="26"/>
      <c r="H7" s="26"/>
      <c r="I7" s="7" t="s">
        <v>440</v>
      </c>
      <c r="J7" s="145" t="s">
        <v>45</v>
      </c>
      <c r="K7" s="88">
        <v>8</v>
      </c>
      <c r="L7" s="28">
        <f>nails/1000</f>
        <v>124.14419000000001</v>
      </c>
      <c r="M7" s="26">
        <f>K7*L7</f>
        <v>993.15352000000007</v>
      </c>
      <c r="N7" s="8"/>
      <c r="O7" s="6"/>
      <c r="P7" s="29"/>
      <c r="Q7" s="28"/>
      <c r="R7" s="28"/>
    </row>
    <row r="8" spans="1:18">
      <c r="A8" s="2"/>
      <c r="B8" s="126"/>
      <c r="C8" s="66"/>
      <c r="D8" s="4"/>
      <c r="E8" s="66"/>
      <c r="F8" s="29"/>
      <c r="G8" s="26"/>
      <c r="H8" s="26"/>
      <c r="I8" s="7"/>
      <c r="J8" s="145"/>
      <c r="K8" s="29"/>
      <c r="L8" s="28"/>
      <c r="M8" s="26"/>
      <c r="N8" s="8"/>
      <c r="O8" s="6"/>
      <c r="P8" s="29"/>
      <c r="Q8" s="28"/>
      <c r="R8" s="28"/>
    </row>
    <row r="9" spans="1:18">
      <c r="A9" s="2"/>
      <c r="B9" s="5"/>
      <c r="C9" s="66"/>
      <c r="D9" s="4"/>
      <c r="E9" s="146"/>
      <c r="F9" s="30"/>
      <c r="G9" s="27"/>
      <c r="H9" s="27"/>
      <c r="I9" s="9"/>
      <c r="J9" s="147"/>
      <c r="K9" s="30"/>
      <c r="L9" s="28"/>
      <c r="M9" s="28"/>
      <c r="N9" s="8"/>
      <c r="O9" s="6"/>
      <c r="P9" s="30"/>
      <c r="Q9" s="28"/>
      <c r="R9" s="28"/>
    </row>
    <row r="10" spans="1:18">
      <c r="A10" s="2"/>
      <c r="B10" s="11"/>
      <c r="C10" s="66"/>
      <c r="D10" s="12"/>
      <c r="E10" s="59"/>
      <c r="F10" s="13"/>
      <c r="G10" s="13" t="s">
        <v>20</v>
      </c>
      <c r="H10" s="25">
        <f>SUM(H4:H9)</f>
        <v>1777.5</v>
      </c>
      <c r="I10" s="703"/>
      <c r="J10" s="703"/>
      <c r="K10" s="14"/>
      <c r="L10" s="13" t="s">
        <v>21</v>
      </c>
      <c r="M10" s="25">
        <f>SUM(M4:M9)</f>
        <v>5216.6961599999995</v>
      </c>
      <c r="N10" s="3"/>
      <c r="O10" s="14"/>
      <c r="P10" s="14"/>
      <c r="Q10" s="13" t="s">
        <v>22</v>
      </c>
      <c r="R10" s="25">
        <f>SUM(R4:R9)</f>
        <v>53.324999999999996</v>
      </c>
    </row>
    <row r="11" spans="1:18">
      <c r="A11" s="2"/>
      <c r="B11" s="16" t="s">
        <v>13</v>
      </c>
      <c r="C11" s="67"/>
      <c r="D11" s="14"/>
      <c r="E11" s="14"/>
      <c r="F11" s="14"/>
      <c r="G11" s="13"/>
      <c r="H11" s="35">
        <f>M10+R10+H10</f>
        <v>7047.5211599999993</v>
      </c>
      <c r="I11" s="17"/>
      <c r="J11" s="14"/>
      <c r="K11" s="14"/>
      <c r="L11" s="13"/>
      <c r="M11" s="15"/>
      <c r="N11" s="14"/>
      <c r="O11" s="14"/>
      <c r="P11" s="14"/>
      <c r="Q11" s="14"/>
      <c r="R11" s="17"/>
    </row>
    <row r="12" spans="1:18">
      <c r="A12" s="2"/>
      <c r="B12" s="11" t="s">
        <v>25</v>
      </c>
      <c r="C12" s="68"/>
      <c r="D12" s="4"/>
      <c r="E12" s="4"/>
      <c r="F12" s="4"/>
      <c r="G12" s="18"/>
      <c r="H12" s="36">
        <v>0</v>
      </c>
      <c r="I12" s="20"/>
      <c r="J12" s="4" t="s">
        <v>26</v>
      </c>
      <c r="K12" s="4"/>
      <c r="L12" s="18"/>
      <c r="M12" s="19"/>
      <c r="N12" s="4"/>
      <c r="O12" s="4"/>
      <c r="P12" s="4"/>
      <c r="Q12" s="4"/>
      <c r="R12" s="20"/>
    </row>
    <row r="13" spans="1:18">
      <c r="A13" s="23"/>
      <c r="B13" s="11" t="s">
        <v>14</v>
      </c>
      <c r="C13" s="68"/>
      <c r="D13" s="4"/>
      <c r="E13" s="4"/>
      <c r="F13" s="4"/>
      <c r="G13" s="18"/>
      <c r="H13" s="36">
        <f>SUM(H11:H12)</f>
        <v>7047.5211599999993</v>
      </c>
      <c r="I13" s="20"/>
      <c r="J13" s="704"/>
      <c r="K13" s="705"/>
      <c r="L13" s="705"/>
      <c r="M13" s="705"/>
      <c r="N13" s="705"/>
      <c r="O13" s="705"/>
      <c r="P13" s="705"/>
      <c r="Q13" s="705"/>
      <c r="R13" s="706"/>
    </row>
    <row r="14" spans="1:18">
      <c r="A14" s="23"/>
      <c r="B14" s="11" t="s">
        <v>24</v>
      </c>
      <c r="C14" s="68"/>
      <c r="D14" s="4"/>
      <c r="E14" s="4"/>
      <c r="F14" s="4"/>
      <c r="G14" s="18"/>
      <c r="H14" s="36">
        <f>H13*15%</f>
        <v>1057.1281739999999</v>
      </c>
      <c r="I14" s="20"/>
      <c r="J14" s="707"/>
      <c r="K14" s="708"/>
      <c r="L14" s="708"/>
      <c r="M14" s="708"/>
      <c r="N14" s="708"/>
      <c r="O14" s="708"/>
      <c r="P14" s="708"/>
      <c r="Q14" s="708"/>
      <c r="R14" s="709"/>
    </row>
    <row r="15" spans="1:18">
      <c r="A15" s="23"/>
      <c r="B15" s="11" t="s">
        <v>15</v>
      </c>
      <c r="C15" s="68"/>
      <c r="D15" s="4"/>
      <c r="E15" s="4"/>
      <c r="F15" s="4"/>
      <c r="G15" s="21" t="s">
        <v>16</v>
      </c>
      <c r="H15" s="37">
        <f>H14+H13</f>
        <v>8104.6493339999997</v>
      </c>
      <c r="I15" s="38" t="str">
        <f>CONCATENATE("per ",C4, C5)</f>
        <v>per 0.04cum</v>
      </c>
      <c r="J15" s="707"/>
      <c r="K15" s="708"/>
      <c r="L15" s="708"/>
      <c r="M15" s="708"/>
      <c r="N15" s="708"/>
      <c r="O15" s="708"/>
      <c r="P15" s="708"/>
      <c r="Q15" s="708"/>
      <c r="R15" s="709"/>
    </row>
    <row r="16" spans="1:18">
      <c r="A16" s="23"/>
      <c r="B16" s="11"/>
      <c r="C16" s="4"/>
      <c r="D16" s="4"/>
      <c r="E16" s="4"/>
      <c r="F16" s="4"/>
      <c r="G16" s="21" t="s">
        <v>16</v>
      </c>
      <c r="H16" s="37">
        <f>H15/C4</f>
        <v>202616.23334999999</v>
      </c>
      <c r="I16" s="38" t="str">
        <f>CONCATENATE("per ",C5)</f>
        <v>per cum</v>
      </c>
      <c r="J16" s="707"/>
      <c r="K16" s="708"/>
      <c r="L16" s="708"/>
      <c r="M16" s="708"/>
      <c r="N16" s="708"/>
      <c r="O16" s="708"/>
      <c r="P16" s="708"/>
      <c r="Q16" s="708"/>
      <c r="R16" s="709"/>
    </row>
    <row r="17" spans="1:18">
      <c r="A17" s="23"/>
      <c r="B17" s="11" t="s">
        <v>18</v>
      </c>
      <c r="C17" s="125" t="s">
        <v>19</v>
      </c>
      <c r="D17" s="4"/>
      <c r="E17" s="4"/>
      <c r="F17" s="4"/>
      <c r="G17" s="21" t="s">
        <v>16</v>
      </c>
      <c r="H17" s="37">
        <f>CEILING(H16,0.5)</f>
        <v>202616.5</v>
      </c>
      <c r="I17" s="38" t="str">
        <f>CONCATENATE("per ",C5)</f>
        <v>per cum</v>
      </c>
      <c r="J17" s="707"/>
      <c r="K17" s="708"/>
      <c r="L17" s="708"/>
      <c r="M17" s="708"/>
      <c r="N17" s="708"/>
      <c r="O17" s="708"/>
      <c r="P17" s="708"/>
      <c r="Q17" s="708"/>
      <c r="R17" s="709"/>
    </row>
    <row r="18" spans="1:18">
      <c r="A18" s="23"/>
      <c r="B18" s="11"/>
      <c r="C18" s="68"/>
      <c r="D18" s="4"/>
      <c r="E18" s="4"/>
      <c r="F18" s="4"/>
      <c r="G18" s="24" t="s">
        <v>17</v>
      </c>
      <c r="H18" s="37">
        <f>H17/exr</f>
        <v>1558.5884615384616</v>
      </c>
      <c r="I18" s="38" t="str">
        <f>CONCATENATE("per ",C5)</f>
        <v>per cum</v>
      </c>
      <c r="J18" s="710"/>
      <c r="K18" s="711"/>
      <c r="L18" s="711"/>
      <c r="M18" s="711"/>
      <c r="N18" s="711"/>
      <c r="O18" s="711"/>
      <c r="P18" s="711"/>
      <c r="Q18" s="711"/>
      <c r="R18" s="712"/>
    </row>
    <row r="19" spans="1:18">
      <c r="A19" s="39"/>
      <c r="B19" s="40"/>
      <c r="C19" s="69"/>
      <c r="D19" s="41"/>
      <c r="E19" s="41"/>
      <c r="F19" s="41"/>
      <c r="G19" s="149" t="s">
        <v>460</v>
      </c>
      <c r="H19" s="150">
        <f>CEILING(SUM(M6,M7)/H11,0.0025)</f>
        <v>0.1575</v>
      </c>
      <c r="I19" s="42"/>
      <c r="J19" s="43"/>
      <c r="K19" s="43"/>
      <c r="L19" s="43"/>
      <c r="M19" s="43"/>
      <c r="N19" s="43"/>
      <c r="O19" s="43"/>
      <c r="P19" s="43"/>
      <c r="Q19" s="43"/>
      <c r="R19" s="44"/>
    </row>
    <row r="20" spans="1:18">
      <c r="A20" s="22"/>
      <c r="B20" s="22"/>
      <c r="C20" s="70"/>
      <c r="D20" s="22"/>
      <c r="E20" s="22"/>
      <c r="F20" s="22"/>
      <c r="G20" s="22"/>
      <c r="H20" s="22"/>
      <c r="I20" s="22"/>
      <c r="J20" s="22"/>
      <c r="K20" s="22"/>
      <c r="L20" s="22"/>
      <c r="M20" s="22"/>
      <c r="N20" s="22"/>
      <c r="O20" s="22"/>
      <c r="P20" s="22"/>
      <c r="Q20" s="22"/>
      <c r="R20" s="22"/>
    </row>
    <row r="21" spans="1:18">
      <c r="A21" s="693" t="s">
        <v>0</v>
      </c>
      <c r="B21" s="695" t="s">
        <v>1</v>
      </c>
      <c r="C21" s="695" t="s">
        <v>2</v>
      </c>
      <c r="D21" s="697" t="s">
        <v>3</v>
      </c>
      <c r="E21" s="698"/>
      <c r="F21" s="698"/>
      <c r="G21" s="698"/>
      <c r="H21" s="698"/>
      <c r="I21" s="699" t="s">
        <v>4</v>
      </c>
      <c r="J21" s="700"/>
      <c r="K21" s="700"/>
      <c r="L21" s="700"/>
      <c r="M21" s="700"/>
      <c r="N21" s="698" t="s">
        <v>5</v>
      </c>
      <c r="O21" s="698"/>
      <c r="P21" s="698"/>
      <c r="Q21" s="698"/>
      <c r="R21" s="698"/>
    </row>
    <row r="22" spans="1:18">
      <c r="A22" s="694"/>
      <c r="B22" s="696"/>
      <c r="C22" s="696"/>
      <c r="D22" s="45" t="s">
        <v>6</v>
      </c>
      <c r="E22" s="46" t="s">
        <v>2</v>
      </c>
      <c r="F22" s="46" t="s">
        <v>7</v>
      </c>
      <c r="G22" s="46" t="s">
        <v>8</v>
      </c>
      <c r="H22" s="46" t="s">
        <v>9</v>
      </c>
      <c r="I22" s="46" t="s">
        <v>10</v>
      </c>
      <c r="J22" s="46" t="s">
        <v>2</v>
      </c>
      <c r="K22" s="46" t="s">
        <v>7</v>
      </c>
      <c r="L22" s="46" t="s">
        <v>8</v>
      </c>
      <c r="M22" s="47" t="s">
        <v>9</v>
      </c>
      <c r="N22" s="46" t="s">
        <v>10</v>
      </c>
      <c r="O22" s="46" t="s">
        <v>2</v>
      </c>
      <c r="P22" s="46" t="s">
        <v>7</v>
      </c>
      <c r="Q22" s="46" t="s">
        <v>8</v>
      </c>
      <c r="R22" s="46" t="s">
        <v>9</v>
      </c>
    </row>
    <row r="23" spans="1:18">
      <c r="A23" s="33" t="s">
        <v>23</v>
      </c>
      <c r="B23" s="73" t="s">
        <v>436</v>
      </c>
      <c r="C23" s="65"/>
      <c r="D23" s="31"/>
      <c r="E23" s="31"/>
      <c r="F23" s="31"/>
      <c r="G23" s="31"/>
      <c r="H23" s="31"/>
      <c r="I23" s="31"/>
      <c r="J23" s="31"/>
      <c r="K23" s="31"/>
      <c r="L23" s="31"/>
      <c r="M23" s="31"/>
      <c r="N23" s="31"/>
      <c r="O23" s="31"/>
      <c r="P23" s="31"/>
      <c r="Q23" s="31"/>
      <c r="R23" s="32"/>
    </row>
    <row r="24" spans="1:18">
      <c r="A24" s="34">
        <f>A4+1</f>
        <v>2</v>
      </c>
      <c r="B24" s="713" t="s">
        <v>441</v>
      </c>
      <c r="C24" s="66">
        <v>2.12</v>
      </c>
      <c r="D24" s="4"/>
      <c r="E24" s="66"/>
      <c r="F24" s="29"/>
      <c r="G24" s="26"/>
      <c r="H24" s="26"/>
      <c r="I24" s="6"/>
      <c r="J24" s="66"/>
      <c r="K24" s="29"/>
      <c r="L24" s="26"/>
      <c r="M24" s="26"/>
      <c r="N24" s="6"/>
      <c r="O24" s="6"/>
      <c r="P24" s="29"/>
      <c r="Q24" s="26"/>
      <c r="R24" s="26"/>
    </row>
    <row r="25" spans="1:18">
      <c r="A25" s="2"/>
      <c r="B25" s="714"/>
      <c r="C25" s="66" t="s">
        <v>127</v>
      </c>
      <c r="D25" s="4" t="s">
        <v>96</v>
      </c>
      <c r="E25" s="66" t="s">
        <v>81</v>
      </c>
      <c r="F25" s="29">
        <v>10</v>
      </c>
      <c r="G25" s="26">
        <f>sr</f>
        <v>1100</v>
      </c>
      <c r="H25" s="26">
        <f>F25*G25</f>
        <v>11000</v>
      </c>
      <c r="I25" s="7" t="s">
        <v>438</v>
      </c>
      <c r="J25" s="145" t="s">
        <v>125</v>
      </c>
      <c r="K25" s="88">
        <v>8.4000000000000005E-2</v>
      </c>
      <c r="L25" s="28">
        <f>timber</f>
        <v>93635.06</v>
      </c>
      <c r="M25" s="26">
        <f t="shared" ref="M25:M31" si="0">K25*L25</f>
        <v>7865.3450400000002</v>
      </c>
      <c r="N25" s="8" t="s">
        <v>294</v>
      </c>
      <c r="O25" s="6"/>
      <c r="P25" s="29"/>
      <c r="Q25" s="28"/>
      <c r="R25" s="26">
        <f>3%*H34</f>
        <v>355.5</v>
      </c>
    </row>
    <row r="26" spans="1:18">
      <c r="A26" s="2"/>
      <c r="B26" s="714"/>
      <c r="C26" s="66"/>
      <c r="D26" s="4" t="s">
        <v>97</v>
      </c>
      <c r="E26" s="66" t="s">
        <v>81</v>
      </c>
      <c r="F26" s="29">
        <v>1</v>
      </c>
      <c r="G26" s="26">
        <f>ur</f>
        <v>850</v>
      </c>
      <c r="H26" s="26">
        <f>F26*G26</f>
        <v>850</v>
      </c>
      <c r="I26" s="7" t="s">
        <v>442</v>
      </c>
      <c r="J26" s="145" t="s">
        <v>45</v>
      </c>
      <c r="K26" s="88">
        <v>6</v>
      </c>
      <c r="L26" s="28">
        <f>hinges</f>
        <v>23.45</v>
      </c>
      <c r="M26" s="26">
        <f t="shared" si="0"/>
        <v>140.69999999999999</v>
      </c>
      <c r="N26" s="8"/>
      <c r="O26" s="6"/>
      <c r="P26" s="29"/>
      <c r="Q26" s="28"/>
      <c r="R26" s="26"/>
    </row>
    <row r="27" spans="1:18">
      <c r="A27" s="2"/>
      <c r="B27" s="714"/>
      <c r="C27" s="66"/>
      <c r="D27" s="4"/>
      <c r="E27" s="66"/>
      <c r="F27" s="29"/>
      <c r="G27" s="26"/>
      <c r="H27" s="26"/>
      <c r="I27" s="7" t="s">
        <v>443</v>
      </c>
      <c r="J27" s="145" t="s">
        <v>45</v>
      </c>
      <c r="K27" s="88">
        <v>1</v>
      </c>
      <c r="L27" s="28">
        <f>Nut</f>
        <v>20.22</v>
      </c>
      <c r="M27" s="26">
        <f t="shared" si="0"/>
        <v>20.22</v>
      </c>
      <c r="N27" s="8"/>
      <c r="O27" s="6"/>
      <c r="P27" s="29"/>
      <c r="Q27" s="28"/>
      <c r="R27" s="28"/>
    </row>
    <row r="28" spans="1:18">
      <c r="A28" s="2"/>
      <c r="B28" s="126"/>
      <c r="C28" s="66"/>
      <c r="D28" s="4"/>
      <c r="E28" s="66"/>
      <c r="F28" s="29"/>
      <c r="G28" s="26"/>
      <c r="H28" s="26"/>
      <c r="I28" s="7" t="s">
        <v>444</v>
      </c>
      <c r="J28" s="145" t="s">
        <v>45</v>
      </c>
      <c r="K28" s="88">
        <v>1</v>
      </c>
      <c r="L28" s="28">
        <f>Nut</f>
        <v>20.22</v>
      </c>
      <c r="M28" s="26">
        <f t="shared" si="0"/>
        <v>20.22</v>
      </c>
      <c r="N28" s="8"/>
      <c r="O28" s="6"/>
      <c r="P28" s="29"/>
      <c r="Q28" s="28"/>
      <c r="R28" s="28"/>
    </row>
    <row r="29" spans="1:18">
      <c r="A29" s="2"/>
      <c r="B29" s="126"/>
      <c r="C29" s="66"/>
      <c r="D29" s="4"/>
      <c r="E29" s="66"/>
      <c r="F29" s="29"/>
      <c r="G29" s="26"/>
      <c r="H29" s="26"/>
      <c r="I29" s="7" t="s">
        <v>445</v>
      </c>
      <c r="J29" s="145" t="s">
        <v>45</v>
      </c>
      <c r="K29" s="88">
        <v>1</v>
      </c>
      <c r="L29" s="28">
        <f>locking</f>
        <v>177.24</v>
      </c>
      <c r="M29" s="26">
        <f t="shared" si="0"/>
        <v>177.24</v>
      </c>
      <c r="N29" s="8"/>
      <c r="O29" s="6"/>
      <c r="P29" s="29"/>
      <c r="Q29" s="28"/>
      <c r="R29" s="28"/>
    </row>
    <row r="30" spans="1:18">
      <c r="A30" s="2"/>
      <c r="B30" s="126"/>
      <c r="C30" s="66"/>
      <c r="D30" s="4"/>
      <c r="E30" s="66"/>
      <c r="F30" s="29"/>
      <c r="G30" s="26"/>
      <c r="H30" s="26"/>
      <c r="I30" s="7" t="s">
        <v>446</v>
      </c>
      <c r="J30" s="145" t="s">
        <v>45</v>
      </c>
      <c r="K30" s="88">
        <v>2</v>
      </c>
      <c r="L30" s="28">
        <f>handle</f>
        <v>30.67</v>
      </c>
      <c r="M30" s="26">
        <f t="shared" si="0"/>
        <v>61.34</v>
      </c>
      <c r="N30" s="8"/>
      <c r="O30" s="6"/>
      <c r="P30" s="29"/>
      <c r="Q30" s="28"/>
      <c r="R30" s="28"/>
    </row>
    <row r="31" spans="1:18">
      <c r="A31" s="2"/>
      <c r="B31" s="126"/>
      <c r="C31" s="66"/>
      <c r="D31" s="4"/>
      <c r="E31" s="66"/>
      <c r="F31" s="29"/>
      <c r="G31" s="26"/>
      <c r="H31" s="26"/>
      <c r="I31" s="7" t="s">
        <v>447</v>
      </c>
      <c r="J31" s="145" t="s">
        <v>45</v>
      </c>
      <c r="K31" s="88">
        <v>15</v>
      </c>
      <c r="L31" s="28">
        <f>screw</f>
        <v>10.06</v>
      </c>
      <c r="M31" s="26">
        <f t="shared" si="0"/>
        <v>150.9</v>
      </c>
      <c r="N31" s="8"/>
      <c r="O31" s="6"/>
      <c r="P31" s="29"/>
      <c r="Q31" s="28"/>
      <c r="R31" s="28"/>
    </row>
    <row r="32" spans="1:18">
      <c r="A32" s="2"/>
      <c r="B32" s="126"/>
      <c r="C32" s="66"/>
      <c r="D32" s="4"/>
      <c r="E32" s="66"/>
      <c r="F32" s="29"/>
      <c r="G32" s="26"/>
      <c r="H32" s="26"/>
      <c r="I32" s="7"/>
      <c r="J32" s="145"/>
      <c r="K32" s="29"/>
      <c r="L32" s="28"/>
      <c r="M32" s="26"/>
      <c r="N32" s="8"/>
      <c r="O32" s="6"/>
      <c r="P32" s="29"/>
      <c r="Q32" s="28"/>
      <c r="R32" s="28"/>
    </row>
    <row r="33" spans="1:18">
      <c r="A33" s="2"/>
      <c r="B33" s="5"/>
      <c r="C33" s="66"/>
      <c r="D33" s="4"/>
      <c r="E33" s="146"/>
      <c r="F33" s="30"/>
      <c r="G33" s="27"/>
      <c r="H33" s="27"/>
      <c r="I33" s="9"/>
      <c r="J33" s="147"/>
      <c r="K33" s="30"/>
      <c r="L33" s="28"/>
      <c r="M33" s="28"/>
      <c r="N33" s="8"/>
      <c r="O33" s="6"/>
      <c r="P33" s="30"/>
      <c r="Q33" s="28"/>
      <c r="R33" s="28"/>
    </row>
    <row r="34" spans="1:18">
      <c r="A34" s="2"/>
      <c r="B34" s="11"/>
      <c r="C34" s="66"/>
      <c r="D34" s="12"/>
      <c r="E34" s="59"/>
      <c r="F34" s="13"/>
      <c r="G34" s="13" t="s">
        <v>20</v>
      </c>
      <c r="H34" s="25">
        <f>SUM(H24:H33)</f>
        <v>11850</v>
      </c>
      <c r="I34" s="703"/>
      <c r="J34" s="703"/>
      <c r="K34" s="14"/>
      <c r="L34" s="13" t="s">
        <v>21</v>
      </c>
      <c r="M34" s="25">
        <f>SUM(M24:M33)</f>
        <v>8435.965040000001</v>
      </c>
      <c r="N34" s="3"/>
      <c r="O34" s="14"/>
      <c r="P34" s="14"/>
      <c r="Q34" s="13" t="s">
        <v>22</v>
      </c>
      <c r="R34" s="25">
        <f>SUM(R24:R33)</f>
        <v>355.5</v>
      </c>
    </row>
    <row r="35" spans="1:18">
      <c r="A35" s="2"/>
      <c r="B35" s="16" t="s">
        <v>13</v>
      </c>
      <c r="C35" s="67"/>
      <c r="D35" s="14"/>
      <c r="E35" s="14"/>
      <c r="F35" s="14"/>
      <c r="G35" s="13"/>
      <c r="H35" s="35">
        <f>M34+R34+H34</f>
        <v>20641.465040000003</v>
      </c>
      <c r="I35" s="17"/>
      <c r="J35" s="14"/>
      <c r="K35" s="14"/>
      <c r="L35" s="13"/>
      <c r="M35" s="15"/>
      <c r="N35" s="14"/>
      <c r="O35" s="14"/>
      <c r="P35" s="14"/>
      <c r="Q35" s="14"/>
      <c r="R35" s="17"/>
    </row>
    <row r="36" spans="1:18">
      <c r="A36" s="2"/>
      <c r="B36" s="11" t="s">
        <v>25</v>
      </c>
      <c r="C36" s="68"/>
      <c r="D36" s="4"/>
      <c r="E36" s="4"/>
      <c r="F36" s="4"/>
      <c r="G36" s="18"/>
      <c r="H36" s="36">
        <v>0</v>
      </c>
      <c r="I36" s="20"/>
      <c r="J36" s="4" t="s">
        <v>26</v>
      </c>
      <c r="K36" s="4"/>
      <c r="L36" s="18"/>
      <c r="M36" s="19"/>
      <c r="N36" s="4"/>
      <c r="O36" s="4"/>
      <c r="P36" s="4"/>
      <c r="Q36" s="4"/>
      <c r="R36" s="20"/>
    </row>
    <row r="37" spans="1:18">
      <c r="A37" s="23"/>
      <c r="B37" s="11" t="s">
        <v>14</v>
      </c>
      <c r="C37" s="68"/>
      <c r="D37" s="4"/>
      <c r="E37" s="4"/>
      <c r="F37" s="4"/>
      <c r="G37" s="18"/>
      <c r="H37" s="36">
        <f>SUM(H35:H36)</f>
        <v>20641.465040000003</v>
      </c>
      <c r="I37" s="20"/>
      <c r="J37" s="704"/>
      <c r="K37" s="705"/>
      <c r="L37" s="705"/>
      <c r="M37" s="705"/>
      <c r="N37" s="705"/>
      <c r="O37" s="705"/>
      <c r="P37" s="705"/>
      <c r="Q37" s="705"/>
      <c r="R37" s="706"/>
    </row>
    <row r="38" spans="1:18">
      <c r="A38" s="23"/>
      <c r="B38" s="11" t="s">
        <v>24</v>
      </c>
      <c r="C38" s="68"/>
      <c r="D38" s="4"/>
      <c r="E38" s="4"/>
      <c r="F38" s="4"/>
      <c r="G38" s="18"/>
      <c r="H38" s="36">
        <f>H37*15%</f>
        <v>3096.2197560000004</v>
      </c>
      <c r="I38" s="20"/>
      <c r="J38" s="707"/>
      <c r="K38" s="708"/>
      <c r="L38" s="708"/>
      <c r="M38" s="708"/>
      <c r="N38" s="708"/>
      <c r="O38" s="708"/>
      <c r="P38" s="708"/>
      <c r="Q38" s="708"/>
      <c r="R38" s="709"/>
    </row>
    <row r="39" spans="1:18">
      <c r="A39" s="23"/>
      <c r="B39" s="11" t="s">
        <v>15</v>
      </c>
      <c r="C39" s="68"/>
      <c r="D39" s="4"/>
      <c r="E39" s="4"/>
      <c r="F39" s="4"/>
      <c r="G39" s="21" t="s">
        <v>16</v>
      </c>
      <c r="H39" s="37">
        <f>H38+H37</f>
        <v>23737.684796000001</v>
      </c>
      <c r="I39" s="38" t="str">
        <f>CONCATENATE("per ",C24, C25)</f>
        <v>per 2.12sqm</v>
      </c>
      <c r="J39" s="707"/>
      <c r="K39" s="708"/>
      <c r="L39" s="708"/>
      <c r="M39" s="708"/>
      <c r="N39" s="708"/>
      <c r="O39" s="708"/>
      <c r="P39" s="708"/>
      <c r="Q39" s="708"/>
      <c r="R39" s="709"/>
    </row>
    <row r="40" spans="1:18">
      <c r="A40" s="23"/>
      <c r="B40" s="11"/>
      <c r="C40" s="4"/>
      <c r="D40" s="4"/>
      <c r="E40" s="4"/>
      <c r="F40" s="4"/>
      <c r="G40" s="21" t="s">
        <v>16</v>
      </c>
      <c r="H40" s="37">
        <f>H39/C24</f>
        <v>11197.021130188679</v>
      </c>
      <c r="I40" s="38" t="str">
        <f>CONCATENATE("per ",C25)</f>
        <v>per sqm</v>
      </c>
      <c r="J40" s="707"/>
      <c r="K40" s="708"/>
      <c r="L40" s="708"/>
      <c r="M40" s="708"/>
      <c r="N40" s="708"/>
      <c r="O40" s="708"/>
      <c r="P40" s="708"/>
      <c r="Q40" s="708"/>
      <c r="R40" s="709"/>
    </row>
    <row r="41" spans="1:18">
      <c r="A41" s="23"/>
      <c r="B41" s="11" t="s">
        <v>18</v>
      </c>
      <c r="C41" s="125" t="s">
        <v>19</v>
      </c>
      <c r="D41" s="4"/>
      <c r="E41" s="4"/>
      <c r="F41" s="4"/>
      <c r="G41" s="21" t="s">
        <v>16</v>
      </c>
      <c r="H41" s="37">
        <f>CEILING(H40,0.5)</f>
        <v>11197.5</v>
      </c>
      <c r="I41" s="38" t="str">
        <f>CONCATENATE("per ",C25)</f>
        <v>per sqm</v>
      </c>
      <c r="J41" s="707"/>
      <c r="K41" s="708"/>
      <c r="L41" s="708"/>
      <c r="M41" s="708"/>
      <c r="N41" s="708"/>
      <c r="O41" s="708"/>
      <c r="P41" s="708"/>
      <c r="Q41" s="708"/>
      <c r="R41" s="709"/>
    </row>
    <row r="42" spans="1:18">
      <c r="A42" s="23"/>
      <c r="B42" s="11"/>
      <c r="C42" s="68"/>
      <c r="D42" s="4"/>
      <c r="E42" s="4"/>
      <c r="F42" s="4"/>
      <c r="G42" s="24" t="s">
        <v>17</v>
      </c>
      <c r="H42" s="37">
        <f>H41/exr</f>
        <v>86.134615384615387</v>
      </c>
      <c r="I42" s="38" t="str">
        <f>CONCATENATE("per ",C25)</f>
        <v>per sqm</v>
      </c>
      <c r="J42" s="710"/>
      <c r="K42" s="711"/>
      <c r="L42" s="711"/>
      <c r="M42" s="711"/>
      <c r="N42" s="711"/>
      <c r="O42" s="711"/>
      <c r="P42" s="711"/>
      <c r="Q42" s="711"/>
      <c r="R42" s="712"/>
    </row>
    <row r="43" spans="1:18">
      <c r="A43" s="39"/>
      <c r="B43" s="40"/>
      <c r="C43" s="69"/>
      <c r="D43" s="41"/>
      <c r="E43" s="41"/>
      <c r="F43" s="41"/>
      <c r="G43" s="149" t="s">
        <v>460</v>
      </c>
      <c r="H43" s="150">
        <f>CEILING(SUM(M26,M27,M28,M29,M30,M31)/H35,0.0025)</f>
        <v>0.03</v>
      </c>
      <c r="I43" s="42"/>
      <c r="J43" s="43"/>
      <c r="K43" s="43"/>
      <c r="L43" s="43"/>
      <c r="M43" s="43"/>
      <c r="N43" s="43"/>
      <c r="O43" s="43"/>
      <c r="P43" s="43"/>
      <c r="Q43" s="43"/>
      <c r="R43" s="44"/>
    </row>
    <row r="45" spans="1:18">
      <c r="A45" s="693" t="s">
        <v>0</v>
      </c>
      <c r="B45" s="695" t="s">
        <v>1</v>
      </c>
      <c r="C45" s="695" t="s">
        <v>2</v>
      </c>
      <c r="D45" s="697" t="s">
        <v>3</v>
      </c>
      <c r="E45" s="698"/>
      <c r="F45" s="698"/>
      <c r="G45" s="698"/>
      <c r="H45" s="698"/>
      <c r="I45" s="699" t="s">
        <v>4</v>
      </c>
      <c r="J45" s="700"/>
      <c r="K45" s="700"/>
      <c r="L45" s="700"/>
      <c r="M45" s="700"/>
      <c r="N45" s="698" t="s">
        <v>5</v>
      </c>
      <c r="O45" s="698"/>
      <c r="P45" s="698"/>
      <c r="Q45" s="698"/>
      <c r="R45" s="698"/>
    </row>
    <row r="46" spans="1:18">
      <c r="A46" s="694"/>
      <c r="B46" s="696"/>
      <c r="C46" s="696"/>
      <c r="D46" s="45" t="s">
        <v>6</v>
      </c>
      <c r="E46" s="46" t="s">
        <v>2</v>
      </c>
      <c r="F46" s="46" t="s">
        <v>7</v>
      </c>
      <c r="G46" s="46" t="s">
        <v>8</v>
      </c>
      <c r="H46" s="46" t="s">
        <v>9</v>
      </c>
      <c r="I46" s="46" t="s">
        <v>10</v>
      </c>
      <c r="J46" s="46" t="s">
        <v>2</v>
      </c>
      <c r="K46" s="46" t="s">
        <v>7</v>
      </c>
      <c r="L46" s="46" t="s">
        <v>8</v>
      </c>
      <c r="M46" s="47" t="s">
        <v>9</v>
      </c>
      <c r="N46" s="46" t="s">
        <v>10</v>
      </c>
      <c r="O46" s="46" t="s">
        <v>2</v>
      </c>
      <c r="P46" s="46" t="s">
        <v>7</v>
      </c>
      <c r="Q46" s="46" t="s">
        <v>8</v>
      </c>
      <c r="R46" s="46" t="s">
        <v>9</v>
      </c>
    </row>
    <row r="47" spans="1:18">
      <c r="A47" s="33" t="s">
        <v>23</v>
      </c>
      <c r="B47" s="73" t="s">
        <v>436</v>
      </c>
      <c r="C47" s="65"/>
      <c r="D47" s="31"/>
      <c r="E47" s="31"/>
      <c r="F47" s="31"/>
      <c r="G47" s="31"/>
      <c r="H47" s="31"/>
      <c r="I47" s="31"/>
      <c r="J47" s="31"/>
      <c r="K47" s="31"/>
      <c r="L47" s="31"/>
      <c r="M47" s="31"/>
      <c r="N47" s="31"/>
      <c r="O47" s="31"/>
      <c r="P47" s="31"/>
      <c r="Q47" s="31"/>
      <c r="R47" s="32"/>
    </row>
    <row r="48" spans="1:18">
      <c r="A48" s="34">
        <f>A24+1</f>
        <v>3</v>
      </c>
      <c r="B48" s="713" t="s">
        <v>448</v>
      </c>
      <c r="C48" s="66">
        <v>2.12</v>
      </c>
      <c r="D48" s="4"/>
      <c r="E48" s="66"/>
      <c r="F48" s="29"/>
      <c r="G48" s="26"/>
      <c r="H48" s="26"/>
      <c r="I48" s="6"/>
      <c r="J48" s="66"/>
      <c r="K48" s="29"/>
      <c r="L48" s="26"/>
      <c r="M48" s="26"/>
      <c r="N48" s="6"/>
      <c r="O48" s="6"/>
      <c r="P48" s="29"/>
      <c r="Q48" s="26"/>
      <c r="R48" s="26"/>
    </row>
    <row r="49" spans="1:18">
      <c r="A49" s="2"/>
      <c r="B49" s="714"/>
      <c r="C49" s="66" t="s">
        <v>127</v>
      </c>
      <c r="D49" s="4" t="s">
        <v>96</v>
      </c>
      <c r="E49" s="66" t="s">
        <v>81</v>
      </c>
      <c r="F49" s="29">
        <v>9</v>
      </c>
      <c r="G49" s="26">
        <f>sr</f>
        <v>1100</v>
      </c>
      <c r="H49" s="26">
        <f>F49*G49</f>
        <v>9900</v>
      </c>
      <c r="I49" s="7" t="s">
        <v>438</v>
      </c>
      <c r="J49" s="145" t="s">
        <v>125</v>
      </c>
      <c r="K49" s="88">
        <v>4.9000000000000002E-2</v>
      </c>
      <c r="L49" s="28">
        <f>timber</f>
        <v>93635.06</v>
      </c>
      <c r="M49" s="26">
        <f t="shared" ref="M49:M54" si="1">K49*L49</f>
        <v>4588.1179400000001</v>
      </c>
      <c r="N49" s="8" t="s">
        <v>294</v>
      </c>
      <c r="O49" s="6"/>
      <c r="P49" s="29"/>
      <c r="Q49" s="28"/>
      <c r="R49" s="26">
        <f>3%*H58</f>
        <v>0</v>
      </c>
    </row>
    <row r="50" spans="1:18">
      <c r="A50" s="2"/>
      <c r="B50" s="714"/>
      <c r="C50" s="66"/>
      <c r="D50" s="4" t="s">
        <v>97</v>
      </c>
      <c r="E50" s="66" t="s">
        <v>81</v>
      </c>
      <c r="F50" s="29">
        <v>0.9</v>
      </c>
      <c r="G50" s="26">
        <f>ur</f>
        <v>850</v>
      </c>
      <c r="H50" s="26">
        <f>F50*G50</f>
        <v>765</v>
      </c>
      <c r="I50" s="7" t="s">
        <v>449</v>
      </c>
      <c r="J50" s="145" t="s">
        <v>421</v>
      </c>
      <c r="K50" s="88">
        <v>1.085</v>
      </c>
      <c r="L50" s="28">
        <f>glass</f>
        <v>762.71</v>
      </c>
      <c r="M50" s="26">
        <f t="shared" si="1"/>
        <v>827.54034999999999</v>
      </c>
      <c r="N50" s="8"/>
      <c r="O50" s="6"/>
      <c r="P50" s="29"/>
      <c r="Q50" s="28"/>
      <c r="R50" s="26"/>
    </row>
    <row r="51" spans="1:18">
      <c r="A51" s="2"/>
      <c r="B51" s="714"/>
      <c r="C51" s="66"/>
      <c r="D51" s="4"/>
      <c r="E51" s="66"/>
      <c r="F51" s="29"/>
      <c r="G51" s="26"/>
      <c r="H51" s="26"/>
      <c r="I51" s="7" t="s">
        <v>450</v>
      </c>
      <c r="J51" s="145" t="s">
        <v>45</v>
      </c>
      <c r="K51" s="88">
        <v>8</v>
      </c>
      <c r="L51" s="28">
        <f>hinges</f>
        <v>23.45</v>
      </c>
      <c r="M51" s="26">
        <f t="shared" si="1"/>
        <v>187.6</v>
      </c>
      <c r="N51" s="8"/>
      <c r="O51" s="6"/>
      <c r="P51" s="29"/>
      <c r="Q51" s="28"/>
      <c r="R51" s="28"/>
    </row>
    <row r="52" spans="1:18">
      <c r="A52" s="2"/>
      <c r="B52" s="126"/>
      <c r="C52" s="66"/>
      <c r="D52" s="4"/>
      <c r="E52" s="66"/>
      <c r="F52" s="29"/>
      <c r="G52" s="26"/>
      <c r="H52" s="26"/>
      <c r="I52" s="7" t="s">
        <v>451</v>
      </c>
      <c r="J52" s="145" t="s">
        <v>45</v>
      </c>
      <c r="K52" s="88">
        <v>4</v>
      </c>
      <c r="L52" s="28">
        <f>Nut</f>
        <v>20.22</v>
      </c>
      <c r="M52" s="26">
        <f t="shared" si="1"/>
        <v>80.88</v>
      </c>
      <c r="N52" s="8"/>
      <c r="O52" s="6"/>
      <c r="P52" s="29"/>
      <c r="Q52" s="28"/>
      <c r="R52" s="28"/>
    </row>
    <row r="53" spans="1:18">
      <c r="A53" s="2"/>
      <c r="B53" s="126"/>
      <c r="C53" s="66"/>
      <c r="D53" s="4"/>
      <c r="E53" s="66"/>
      <c r="F53" s="29"/>
      <c r="G53" s="26"/>
      <c r="H53" s="26"/>
      <c r="I53" s="7" t="s">
        <v>446</v>
      </c>
      <c r="J53" s="145" t="s">
        <v>45</v>
      </c>
      <c r="K53" s="88">
        <v>2</v>
      </c>
      <c r="L53" s="28">
        <f>handle</f>
        <v>30.67</v>
      </c>
      <c r="M53" s="26">
        <f t="shared" si="1"/>
        <v>61.34</v>
      </c>
      <c r="N53" s="8"/>
      <c r="O53" s="6"/>
      <c r="P53" s="29"/>
      <c r="Q53" s="28"/>
      <c r="R53" s="28"/>
    </row>
    <row r="54" spans="1:18">
      <c r="A54" s="2"/>
      <c r="B54" s="126"/>
      <c r="C54" s="66"/>
      <c r="D54" s="4"/>
      <c r="E54" s="66"/>
      <c r="F54" s="29"/>
      <c r="G54" s="26"/>
      <c r="H54" s="26"/>
      <c r="I54" s="7" t="s">
        <v>447</v>
      </c>
      <c r="J54" s="145" t="s">
        <v>45</v>
      </c>
      <c r="K54" s="88">
        <v>15</v>
      </c>
      <c r="L54" s="28">
        <f>screw</f>
        <v>10.06</v>
      </c>
      <c r="M54" s="26">
        <f t="shared" si="1"/>
        <v>150.9</v>
      </c>
      <c r="N54" s="8"/>
      <c r="O54" s="6"/>
      <c r="P54" s="29"/>
      <c r="Q54" s="28"/>
      <c r="R54" s="28"/>
    </row>
    <row r="55" spans="1:18">
      <c r="A55" s="2"/>
      <c r="B55" s="126"/>
      <c r="C55" s="66"/>
      <c r="D55" s="4"/>
      <c r="E55" s="66"/>
      <c r="F55" s="29"/>
      <c r="G55" s="26"/>
      <c r="H55" s="26"/>
      <c r="I55" s="7"/>
      <c r="J55" s="145"/>
      <c r="K55" s="88"/>
      <c r="L55" s="28"/>
      <c r="M55" s="26"/>
      <c r="N55" s="8"/>
      <c r="O55" s="6"/>
      <c r="P55" s="29"/>
      <c r="Q55" s="28"/>
      <c r="R55" s="28"/>
    </row>
    <row r="56" spans="1:18">
      <c r="A56" s="2"/>
      <c r="B56" s="126"/>
      <c r="C56" s="66"/>
      <c r="D56" s="4"/>
      <c r="E56" s="66"/>
      <c r="F56" s="29"/>
      <c r="G56" s="26"/>
      <c r="H56" s="26"/>
      <c r="I56" s="7"/>
      <c r="J56" s="145"/>
      <c r="K56" s="29"/>
      <c r="L56" s="28"/>
      <c r="M56" s="26"/>
      <c r="N56" s="8"/>
      <c r="O56" s="6"/>
      <c r="P56" s="29"/>
      <c r="Q56" s="28"/>
      <c r="R56" s="28"/>
    </row>
    <row r="57" spans="1:18">
      <c r="A57" s="2"/>
      <c r="B57" s="5"/>
      <c r="C57" s="66"/>
      <c r="D57" s="4"/>
      <c r="E57" s="146"/>
      <c r="F57" s="30"/>
      <c r="G57" s="27"/>
      <c r="H57" s="27"/>
      <c r="I57" s="9"/>
      <c r="J57" s="147"/>
      <c r="K57" s="30"/>
      <c r="L57" s="28"/>
      <c r="M57" s="28"/>
      <c r="N57" s="8"/>
      <c r="O57" s="6"/>
      <c r="P57" s="30"/>
      <c r="Q57" s="28"/>
      <c r="R57" s="28"/>
    </row>
    <row r="58" spans="1:18">
      <c r="A58" s="2"/>
      <c r="B58" s="11"/>
      <c r="C58" s="66"/>
      <c r="D58" s="12"/>
      <c r="E58" s="59"/>
      <c r="F58" s="13"/>
      <c r="G58" s="13" t="s">
        <v>20</v>
      </c>
      <c r="H58" s="25"/>
      <c r="I58" s="703"/>
      <c r="J58" s="703"/>
      <c r="K58" s="14"/>
      <c r="L58" s="13" t="s">
        <v>21</v>
      </c>
      <c r="M58" s="25">
        <f>SUM(M48:M57)</f>
        <v>5896.3782900000006</v>
      </c>
      <c r="N58" s="3"/>
      <c r="O58" s="14"/>
      <c r="P58" s="14"/>
      <c r="Q58" s="13" t="s">
        <v>22</v>
      </c>
      <c r="R58" s="25">
        <f>SUM(R48:R57)</f>
        <v>0</v>
      </c>
    </row>
    <row r="59" spans="1:18">
      <c r="A59" s="2"/>
      <c r="B59" s="16" t="s">
        <v>13</v>
      </c>
      <c r="C59" s="67"/>
      <c r="D59" s="14"/>
      <c r="E59" s="14"/>
      <c r="F59" s="14"/>
      <c r="G59" s="13"/>
      <c r="H59" s="35">
        <f>M58+R58+H58</f>
        <v>5896.3782900000006</v>
      </c>
      <c r="I59" s="17"/>
      <c r="J59" s="14"/>
      <c r="K59" s="14"/>
      <c r="L59" s="13"/>
      <c r="M59" s="15"/>
      <c r="N59" s="14"/>
      <c r="O59" s="14"/>
      <c r="P59" s="14"/>
      <c r="Q59" s="14"/>
      <c r="R59" s="17"/>
    </row>
    <row r="60" spans="1:18">
      <c r="A60" s="2"/>
      <c r="B60" s="11" t="s">
        <v>25</v>
      </c>
      <c r="C60" s="68"/>
      <c r="D60" s="4"/>
      <c r="E60" s="4"/>
      <c r="F60" s="4"/>
      <c r="G60" s="18"/>
      <c r="H60" s="36">
        <v>0</v>
      </c>
      <c r="I60" s="20"/>
      <c r="J60" s="4" t="s">
        <v>26</v>
      </c>
      <c r="K60" s="4"/>
      <c r="L60" s="18"/>
      <c r="M60" s="19"/>
      <c r="N60" s="4"/>
      <c r="O60" s="4"/>
      <c r="P60" s="4"/>
      <c r="Q60" s="4"/>
      <c r="R60" s="20"/>
    </row>
    <row r="61" spans="1:18">
      <c r="A61" s="23"/>
      <c r="B61" s="11" t="s">
        <v>14</v>
      </c>
      <c r="C61" s="68"/>
      <c r="D61" s="4"/>
      <c r="E61" s="4"/>
      <c r="F61" s="4"/>
      <c r="G61" s="18"/>
      <c r="H61" s="36">
        <f>SUM(H59:H60)</f>
        <v>5896.3782900000006</v>
      </c>
      <c r="I61" s="20"/>
      <c r="J61" s="704"/>
      <c r="K61" s="705"/>
      <c r="L61" s="705"/>
      <c r="M61" s="705"/>
      <c r="N61" s="705"/>
      <c r="O61" s="705"/>
      <c r="P61" s="705"/>
      <c r="Q61" s="705"/>
      <c r="R61" s="706"/>
    </row>
    <row r="62" spans="1:18">
      <c r="A62" s="23"/>
      <c r="B62" s="11" t="s">
        <v>24</v>
      </c>
      <c r="C62" s="68"/>
      <c r="D62" s="4"/>
      <c r="E62" s="4"/>
      <c r="F62" s="4"/>
      <c r="G62" s="18"/>
      <c r="H62" s="36">
        <f>H61*15%</f>
        <v>884.45674350000002</v>
      </c>
      <c r="I62" s="20"/>
      <c r="J62" s="707"/>
      <c r="K62" s="708"/>
      <c r="L62" s="708"/>
      <c r="M62" s="708"/>
      <c r="N62" s="708"/>
      <c r="O62" s="708"/>
      <c r="P62" s="708"/>
      <c r="Q62" s="708"/>
      <c r="R62" s="709"/>
    </row>
    <row r="63" spans="1:18">
      <c r="A63" s="23"/>
      <c r="B63" s="11" t="s">
        <v>15</v>
      </c>
      <c r="C63" s="68"/>
      <c r="D63" s="4"/>
      <c r="E63" s="4"/>
      <c r="F63" s="4"/>
      <c r="G63" s="21" t="s">
        <v>16</v>
      </c>
      <c r="H63" s="37">
        <f>H62+H61</f>
        <v>6780.8350335000005</v>
      </c>
      <c r="I63" s="38" t="str">
        <f>CONCATENATE("per ",C48, C49)</f>
        <v>per 2.12sqm</v>
      </c>
      <c r="J63" s="707"/>
      <c r="K63" s="708"/>
      <c r="L63" s="708"/>
      <c r="M63" s="708"/>
      <c r="N63" s="708"/>
      <c r="O63" s="708"/>
      <c r="P63" s="708"/>
      <c r="Q63" s="708"/>
      <c r="R63" s="709"/>
    </row>
    <row r="64" spans="1:18">
      <c r="A64" s="23"/>
      <c r="B64" s="11"/>
      <c r="C64" s="4"/>
      <c r="D64" s="4"/>
      <c r="E64" s="4"/>
      <c r="F64" s="4"/>
      <c r="G64" s="21" t="s">
        <v>16</v>
      </c>
      <c r="H64" s="37">
        <f>H63/C48</f>
        <v>3198.507091273585</v>
      </c>
      <c r="I64" s="38" t="str">
        <f>CONCATENATE("per ",C49)</f>
        <v>per sqm</v>
      </c>
      <c r="J64" s="707"/>
      <c r="K64" s="708"/>
      <c r="L64" s="708"/>
      <c r="M64" s="708"/>
      <c r="N64" s="708"/>
      <c r="O64" s="708"/>
      <c r="P64" s="708"/>
      <c r="Q64" s="708"/>
      <c r="R64" s="709"/>
    </row>
    <row r="65" spans="1:18">
      <c r="A65" s="23"/>
      <c r="B65" s="11" t="s">
        <v>18</v>
      </c>
      <c r="C65" s="125" t="s">
        <v>19</v>
      </c>
      <c r="D65" s="4"/>
      <c r="E65" s="4"/>
      <c r="F65" s="4"/>
      <c r="G65" s="21" t="s">
        <v>16</v>
      </c>
      <c r="H65" s="37">
        <f>CEILING(H64,0.5)</f>
        <v>3199</v>
      </c>
      <c r="I65" s="38" t="str">
        <f>CONCATENATE("per ",C49)</f>
        <v>per sqm</v>
      </c>
      <c r="J65" s="707"/>
      <c r="K65" s="708"/>
      <c r="L65" s="708"/>
      <c r="M65" s="708"/>
      <c r="N65" s="708"/>
      <c r="O65" s="708"/>
      <c r="P65" s="708"/>
      <c r="Q65" s="708"/>
      <c r="R65" s="709"/>
    </row>
    <row r="66" spans="1:18">
      <c r="A66" s="23"/>
      <c r="B66" s="11"/>
      <c r="C66" s="68"/>
      <c r="D66" s="4"/>
      <c r="E66" s="4"/>
      <c r="F66" s="4"/>
      <c r="G66" s="24" t="s">
        <v>17</v>
      </c>
      <c r="H66" s="37">
        <f>H65/exr</f>
        <v>24.607692307692307</v>
      </c>
      <c r="I66" s="38" t="str">
        <f>CONCATENATE("per ",C49)</f>
        <v>per sqm</v>
      </c>
      <c r="J66" s="710"/>
      <c r="K66" s="711"/>
      <c r="L66" s="711"/>
      <c r="M66" s="711"/>
      <c r="N66" s="711"/>
      <c r="O66" s="711"/>
      <c r="P66" s="711"/>
      <c r="Q66" s="711"/>
      <c r="R66" s="712"/>
    </row>
    <row r="67" spans="1:18">
      <c r="A67" s="39"/>
      <c r="B67" s="40"/>
      <c r="C67" s="69"/>
      <c r="D67" s="41"/>
      <c r="E67" s="41"/>
      <c r="F67" s="41"/>
      <c r="G67" s="149" t="s">
        <v>460</v>
      </c>
      <c r="H67" s="150">
        <f>CEILING(SUM(M50,M51,M52,M53,M54)/H59,0.0025)</f>
        <v>0.2225</v>
      </c>
      <c r="I67" s="42"/>
      <c r="J67" s="43"/>
      <c r="K67" s="43"/>
      <c r="L67" s="43"/>
      <c r="M67" s="43"/>
      <c r="N67" s="43"/>
      <c r="O67" s="43"/>
      <c r="P67" s="43"/>
      <c r="Q67" s="43"/>
      <c r="R67" s="44"/>
    </row>
    <row r="69" spans="1:18">
      <c r="A69" s="693" t="s">
        <v>0</v>
      </c>
      <c r="B69" s="695" t="s">
        <v>1</v>
      </c>
      <c r="C69" s="695" t="s">
        <v>2</v>
      </c>
      <c r="D69" s="697" t="s">
        <v>3</v>
      </c>
      <c r="E69" s="698"/>
      <c r="F69" s="698"/>
      <c r="G69" s="698"/>
      <c r="H69" s="698"/>
      <c r="I69" s="699" t="s">
        <v>4</v>
      </c>
      <c r="J69" s="700"/>
      <c r="K69" s="700"/>
      <c r="L69" s="700"/>
      <c r="M69" s="700"/>
      <c r="N69" s="698" t="s">
        <v>5</v>
      </c>
      <c r="O69" s="698"/>
      <c r="P69" s="698"/>
      <c r="Q69" s="698"/>
      <c r="R69" s="698"/>
    </row>
    <row r="70" spans="1:18">
      <c r="A70" s="694"/>
      <c r="B70" s="696"/>
      <c r="C70" s="696"/>
      <c r="D70" s="45" t="s">
        <v>6</v>
      </c>
      <c r="E70" s="46" t="s">
        <v>2</v>
      </c>
      <c r="F70" s="46" t="s">
        <v>7</v>
      </c>
      <c r="G70" s="46" t="s">
        <v>8</v>
      </c>
      <c r="H70" s="46" t="s">
        <v>9</v>
      </c>
      <c r="I70" s="46" t="s">
        <v>10</v>
      </c>
      <c r="J70" s="46" t="s">
        <v>2</v>
      </c>
      <c r="K70" s="46" t="s">
        <v>7</v>
      </c>
      <c r="L70" s="46" t="s">
        <v>8</v>
      </c>
      <c r="M70" s="47" t="s">
        <v>9</v>
      </c>
      <c r="N70" s="46" t="s">
        <v>10</v>
      </c>
      <c r="O70" s="46" t="s">
        <v>2</v>
      </c>
      <c r="P70" s="46" t="s">
        <v>7</v>
      </c>
      <c r="Q70" s="46" t="s">
        <v>8</v>
      </c>
      <c r="R70" s="46" t="s">
        <v>9</v>
      </c>
    </row>
    <row r="71" spans="1:18">
      <c r="A71" s="33" t="s">
        <v>23</v>
      </c>
      <c r="B71" s="73" t="s">
        <v>436</v>
      </c>
      <c r="C71" s="65"/>
      <c r="D71" s="31"/>
      <c r="E71" s="31"/>
      <c r="F71" s="31"/>
      <c r="G71" s="31"/>
      <c r="H71" s="31"/>
      <c r="I71" s="31"/>
      <c r="J71" s="31"/>
      <c r="K71" s="31"/>
      <c r="L71" s="31"/>
      <c r="M71" s="31"/>
      <c r="N71" s="31"/>
      <c r="O71" s="31"/>
      <c r="P71" s="31"/>
      <c r="Q71" s="31"/>
      <c r="R71" s="32"/>
    </row>
    <row r="72" spans="1:18">
      <c r="A72" s="34">
        <f>A48+1</f>
        <v>4</v>
      </c>
      <c r="B72" s="713" t="s">
        <v>452</v>
      </c>
      <c r="C72" s="66">
        <v>2.12</v>
      </c>
      <c r="D72" s="4"/>
      <c r="E72" s="66"/>
      <c r="F72" s="29"/>
      <c r="G72" s="26"/>
      <c r="H72" s="26"/>
      <c r="I72" s="6"/>
      <c r="J72" s="66"/>
      <c r="K72" s="29"/>
      <c r="L72" s="26"/>
      <c r="M72" s="26"/>
      <c r="N72" s="6"/>
      <c r="O72" s="6"/>
      <c r="P72" s="29"/>
      <c r="Q72" s="26"/>
      <c r="R72" s="26"/>
    </row>
    <row r="73" spans="1:18">
      <c r="A73" s="2"/>
      <c r="B73" s="714"/>
      <c r="C73" s="66" t="s">
        <v>127</v>
      </c>
      <c r="D73" s="4" t="s">
        <v>96</v>
      </c>
      <c r="E73" s="66" t="s">
        <v>81</v>
      </c>
      <c r="F73" s="29">
        <v>9</v>
      </c>
      <c r="G73" s="26">
        <f>sr</f>
        <v>1100</v>
      </c>
      <c r="H73" s="26">
        <f>F73*G73</f>
        <v>9900</v>
      </c>
      <c r="I73" s="7" t="s">
        <v>438</v>
      </c>
      <c r="J73" s="145" t="s">
        <v>125</v>
      </c>
      <c r="K73" s="88">
        <v>4.9000000000000002E-2</v>
      </c>
      <c r="L73" s="28">
        <f>timber</f>
        <v>93635.06</v>
      </c>
      <c r="M73" s="26">
        <f t="shared" ref="M73:M78" si="2">K73*L73</f>
        <v>4588.1179400000001</v>
      </c>
      <c r="N73" s="8" t="s">
        <v>294</v>
      </c>
      <c r="O73" s="6"/>
      <c r="P73" s="29"/>
      <c r="Q73" s="28"/>
      <c r="R73" s="26">
        <f>3%*H82</f>
        <v>319.95</v>
      </c>
    </row>
    <row r="74" spans="1:18">
      <c r="A74" s="2"/>
      <c r="B74" s="714"/>
      <c r="C74" s="66"/>
      <c r="D74" s="4" t="s">
        <v>97</v>
      </c>
      <c r="E74" s="66" t="s">
        <v>81</v>
      </c>
      <c r="F74" s="29">
        <v>0.9</v>
      </c>
      <c r="G74" s="26">
        <f>ur</f>
        <v>850</v>
      </c>
      <c r="H74" s="26">
        <f>F74*G74</f>
        <v>765</v>
      </c>
      <c r="I74" s="7" t="s">
        <v>453</v>
      </c>
      <c r="J74" s="145" t="s">
        <v>421</v>
      </c>
      <c r="K74" s="88">
        <v>2.13</v>
      </c>
      <c r="L74" s="28">
        <v>120</v>
      </c>
      <c r="M74" s="26">
        <f t="shared" si="2"/>
        <v>255.6</v>
      </c>
      <c r="N74" s="8"/>
      <c r="O74" s="6"/>
      <c r="P74" s="29"/>
      <c r="Q74" s="28"/>
      <c r="R74" s="26"/>
    </row>
    <row r="75" spans="1:18">
      <c r="A75" s="2"/>
      <c r="B75" s="714"/>
      <c r="C75" s="66"/>
      <c r="D75" s="4"/>
      <c r="E75" s="66"/>
      <c r="F75" s="29"/>
      <c r="G75" s="26"/>
      <c r="H75" s="26"/>
      <c r="I75" s="7" t="s">
        <v>450</v>
      </c>
      <c r="J75" s="145" t="s">
        <v>45</v>
      </c>
      <c r="K75" s="88">
        <v>8</v>
      </c>
      <c r="L75" s="28">
        <f>hinges</f>
        <v>23.45</v>
      </c>
      <c r="M75" s="26">
        <f t="shared" si="2"/>
        <v>187.6</v>
      </c>
      <c r="N75" s="8"/>
      <c r="O75" s="6"/>
      <c r="P75" s="29"/>
      <c r="Q75" s="28"/>
      <c r="R75" s="28"/>
    </row>
    <row r="76" spans="1:18">
      <c r="A76" s="2"/>
      <c r="B76" s="126"/>
      <c r="C76" s="66"/>
      <c r="D76" s="4"/>
      <c r="E76" s="66"/>
      <c r="F76" s="29"/>
      <c r="G76" s="26"/>
      <c r="H76" s="26"/>
      <c r="I76" s="7" t="s">
        <v>451</v>
      </c>
      <c r="J76" s="145" t="s">
        <v>45</v>
      </c>
      <c r="K76" s="88">
        <v>4</v>
      </c>
      <c r="L76" s="28">
        <f>Nut</f>
        <v>20.22</v>
      </c>
      <c r="M76" s="26">
        <f t="shared" si="2"/>
        <v>80.88</v>
      </c>
      <c r="N76" s="8"/>
      <c r="O76" s="6"/>
      <c r="P76" s="29"/>
      <c r="Q76" s="28"/>
      <c r="R76" s="28"/>
    </row>
    <row r="77" spans="1:18">
      <c r="A77" s="2"/>
      <c r="B77" s="126"/>
      <c r="C77" s="66"/>
      <c r="D77" s="4"/>
      <c r="E77" s="66"/>
      <c r="F77" s="29"/>
      <c r="G77" s="26"/>
      <c r="H77" s="26"/>
      <c r="I77" s="7" t="s">
        <v>446</v>
      </c>
      <c r="J77" s="145" t="s">
        <v>45</v>
      </c>
      <c r="K77" s="88">
        <v>2</v>
      </c>
      <c r="L77" s="28">
        <f>handle</f>
        <v>30.67</v>
      </c>
      <c r="M77" s="26">
        <f t="shared" si="2"/>
        <v>61.34</v>
      </c>
      <c r="N77" s="8"/>
      <c r="O77" s="6"/>
      <c r="P77" s="29"/>
      <c r="Q77" s="28"/>
      <c r="R77" s="28"/>
    </row>
    <row r="78" spans="1:18">
      <c r="A78" s="2"/>
      <c r="B78" s="126"/>
      <c r="C78" s="66"/>
      <c r="D78" s="4"/>
      <c r="E78" s="66"/>
      <c r="F78" s="29"/>
      <c r="G78" s="26"/>
      <c r="H78" s="26"/>
      <c r="I78" s="7" t="s">
        <v>447</v>
      </c>
      <c r="J78" s="145" t="s">
        <v>45</v>
      </c>
      <c r="K78" s="88">
        <v>15</v>
      </c>
      <c r="L78" s="28">
        <f>screw</f>
        <v>10.06</v>
      </c>
      <c r="M78" s="26">
        <f t="shared" si="2"/>
        <v>150.9</v>
      </c>
      <c r="N78" s="8"/>
      <c r="O78" s="6"/>
      <c r="P78" s="29"/>
      <c r="Q78" s="28"/>
      <c r="R78" s="28"/>
    </row>
    <row r="79" spans="1:18">
      <c r="A79" s="2"/>
      <c r="B79" s="126"/>
      <c r="C79" s="66"/>
      <c r="D79" s="4"/>
      <c r="E79" s="66"/>
      <c r="F79" s="29"/>
      <c r="G79" s="26"/>
      <c r="H79" s="26"/>
      <c r="I79" s="7"/>
      <c r="J79" s="145"/>
      <c r="K79" s="88"/>
      <c r="L79" s="28"/>
      <c r="M79" s="26"/>
      <c r="N79" s="8"/>
      <c r="O79" s="6"/>
      <c r="P79" s="29"/>
      <c r="Q79" s="28"/>
      <c r="R79" s="28"/>
    </row>
    <row r="80" spans="1:18">
      <c r="A80" s="2"/>
      <c r="B80" s="126"/>
      <c r="C80" s="66"/>
      <c r="D80" s="4"/>
      <c r="E80" s="66"/>
      <c r="F80" s="29"/>
      <c r="G80" s="26"/>
      <c r="H80" s="26"/>
      <c r="I80" s="7"/>
      <c r="J80" s="145"/>
      <c r="K80" s="29"/>
      <c r="L80" s="28"/>
      <c r="M80" s="26"/>
      <c r="N80" s="8"/>
      <c r="O80" s="6"/>
      <c r="P80" s="29"/>
      <c r="Q80" s="28"/>
      <c r="R80" s="28"/>
    </row>
    <row r="81" spans="1:18">
      <c r="A81" s="2"/>
      <c r="B81" s="5"/>
      <c r="C81" s="66"/>
      <c r="D81" s="4"/>
      <c r="E81" s="146"/>
      <c r="F81" s="30"/>
      <c r="G81" s="27"/>
      <c r="H81" s="27"/>
      <c r="I81" s="9"/>
      <c r="J81" s="147"/>
      <c r="K81" s="30"/>
      <c r="L81" s="28"/>
      <c r="M81" s="28"/>
      <c r="N81" s="8"/>
      <c r="O81" s="6"/>
      <c r="P81" s="30"/>
      <c r="Q81" s="28"/>
      <c r="R81" s="28"/>
    </row>
    <row r="82" spans="1:18">
      <c r="A82" s="2"/>
      <c r="B82" s="11"/>
      <c r="C82" s="66"/>
      <c r="D82" s="12"/>
      <c r="E82" s="59"/>
      <c r="F82" s="13"/>
      <c r="G82" s="13" t="s">
        <v>20</v>
      </c>
      <c r="H82" s="25">
        <f>SUM(H72:H81)</f>
        <v>10665</v>
      </c>
      <c r="I82" s="703"/>
      <c r="J82" s="703"/>
      <c r="K82" s="14"/>
      <c r="L82" s="13" t="s">
        <v>21</v>
      </c>
      <c r="M82" s="25">
        <f>SUM(M72:M81)</f>
        <v>5324.4379400000007</v>
      </c>
      <c r="N82" s="3"/>
      <c r="O82" s="14"/>
      <c r="P82" s="14"/>
      <c r="Q82" s="13" t="s">
        <v>22</v>
      </c>
      <c r="R82" s="25">
        <f>SUM(R72:R81)</f>
        <v>319.95</v>
      </c>
    </row>
    <row r="83" spans="1:18">
      <c r="A83" s="2"/>
      <c r="B83" s="16" t="s">
        <v>13</v>
      </c>
      <c r="C83" s="67"/>
      <c r="D83" s="14"/>
      <c r="E83" s="14"/>
      <c r="F83" s="14"/>
      <c r="G83" s="13"/>
      <c r="H83" s="35">
        <f>M82+R82+H82</f>
        <v>16309.387940000001</v>
      </c>
      <c r="I83" s="17"/>
      <c r="J83" s="14"/>
      <c r="K83" s="14"/>
      <c r="L83" s="13"/>
      <c r="M83" s="15"/>
      <c r="N83" s="14"/>
      <c r="O83" s="14"/>
      <c r="P83" s="14"/>
      <c r="Q83" s="14"/>
      <c r="R83" s="17"/>
    </row>
    <row r="84" spans="1:18">
      <c r="A84" s="2"/>
      <c r="B84" s="11" t="s">
        <v>25</v>
      </c>
      <c r="C84" s="68"/>
      <c r="D84" s="4"/>
      <c r="E84" s="4"/>
      <c r="F84" s="4"/>
      <c r="G84" s="18"/>
      <c r="H84" s="36">
        <v>0</v>
      </c>
      <c r="I84" s="20"/>
      <c r="J84" s="4" t="s">
        <v>26</v>
      </c>
      <c r="K84" s="4"/>
      <c r="L84" s="18"/>
      <c r="M84" s="19"/>
      <c r="N84" s="4"/>
      <c r="O84" s="4"/>
      <c r="P84" s="4"/>
      <c r="Q84" s="4"/>
      <c r="R84" s="20"/>
    </row>
    <row r="85" spans="1:18">
      <c r="A85" s="23"/>
      <c r="B85" s="11" t="s">
        <v>14</v>
      </c>
      <c r="C85" s="68"/>
      <c r="D85" s="4"/>
      <c r="E85" s="4"/>
      <c r="F85" s="4"/>
      <c r="G85" s="18"/>
      <c r="H85" s="36">
        <f>SUM(H83:H84)</f>
        <v>16309.387940000001</v>
      </c>
      <c r="I85" s="20"/>
      <c r="J85" s="704"/>
      <c r="K85" s="705"/>
      <c r="L85" s="705"/>
      <c r="M85" s="705"/>
      <c r="N85" s="705"/>
      <c r="O85" s="705"/>
      <c r="P85" s="705"/>
      <c r="Q85" s="705"/>
      <c r="R85" s="706"/>
    </row>
    <row r="86" spans="1:18">
      <c r="A86" s="23"/>
      <c r="B86" s="11" t="s">
        <v>24</v>
      </c>
      <c r="C86" s="68"/>
      <c r="D86" s="4"/>
      <c r="E86" s="4"/>
      <c r="F86" s="4"/>
      <c r="G86" s="18"/>
      <c r="H86" s="36">
        <f>H85*15%</f>
        <v>2446.408191</v>
      </c>
      <c r="I86" s="20"/>
      <c r="J86" s="707"/>
      <c r="K86" s="708"/>
      <c r="L86" s="708"/>
      <c r="M86" s="708"/>
      <c r="N86" s="708"/>
      <c r="O86" s="708"/>
      <c r="P86" s="708"/>
      <c r="Q86" s="708"/>
      <c r="R86" s="709"/>
    </row>
    <row r="87" spans="1:18">
      <c r="A87" s="23"/>
      <c r="B87" s="11" t="s">
        <v>15</v>
      </c>
      <c r="C87" s="68"/>
      <c r="D87" s="4"/>
      <c r="E87" s="4"/>
      <c r="F87" s="4"/>
      <c r="G87" s="21" t="s">
        <v>16</v>
      </c>
      <c r="H87" s="37">
        <f>H86+H85</f>
        <v>18755.796130999999</v>
      </c>
      <c r="I87" s="38" t="str">
        <f>CONCATENATE("per ",C72, C73)</f>
        <v>per 2.12sqm</v>
      </c>
      <c r="J87" s="707"/>
      <c r="K87" s="708"/>
      <c r="L87" s="708"/>
      <c r="M87" s="708"/>
      <c r="N87" s="708"/>
      <c r="O87" s="708"/>
      <c r="P87" s="708"/>
      <c r="Q87" s="708"/>
      <c r="R87" s="709"/>
    </row>
    <row r="88" spans="1:18">
      <c r="A88" s="23"/>
      <c r="B88" s="11"/>
      <c r="C88" s="4"/>
      <c r="D88" s="4"/>
      <c r="E88" s="4"/>
      <c r="F88" s="4"/>
      <c r="G88" s="21" t="s">
        <v>16</v>
      </c>
      <c r="H88" s="37">
        <f>H87/C72</f>
        <v>8847.0736466981125</v>
      </c>
      <c r="I88" s="38" t="str">
        <f>CONCATENATE("per ",C73)</f>
        <v>per sqm</v>
      </c>
      <c r="J88" s="707"/>
      <c r="K88" s="708"/>
      <c r="L88" s="708"/>
      <c r="M88" s="708"/>
      <c r="N88" s="708"/>
      <c r="O88" s="708"/>
      <c r="P88" s="708"/>
      <c r="Q88" s="708"/>
      <c r="R88" s="709"/>
    </row>
    <row r="89" spans="1:18">
      <c r="A89" s="23"/>
      <c r="B89" s="11" t="s">
        <v>18</v>
      </c>
      <c r="C89" s="125" t="s">
        <v>19</v>
      </c>
      <c r="D89" s="4"/>
      <c r="E89" s="4"/>
      <c r="F89" s="4"/>
      <c r="G89" s="21" t="s">
        <v>16</v>
      </c>
      <c r="H89" s="37">
        <f>CEILING(H88,0.5)</f>
        <v>8847.5</v>
      </c>
      <c r="I89" s="38" t="str">
        <f>CONCATENATE("per ",C73)</f>
        <v>per sqm</v>
      </c>
      <c r="J89" s="707"/>
      <c r="K89" s="708"/>
      <c r="L89" s="708"/>
      <c r="M89" s="708"/>
      <c r="N89" s="708"/>
      <c r="O89" s="708"/>
      <c r="P89" s="708"/>
      <c r="Q89" s="708"/>
      <c r="R89" s="709"/>
    </row>
    <row r="90" spans="1:18">
      <c r="A90" s="23"/>
      <c r="B90" s="11"/>
      <c r="C90" s="68"/>
      <c r="D90" s="4"/>
      <c r="E90" s="4"/>
      <c r="F90" s="4"/>
      <c r="G90" s="24" t="s">
        <v>17</v>
      </c>
      <c r="H90" s="37">
        <f>H89/exr</f>
        <v>68.057692307692307</v>
      </c>
      <c r="I90" s="38" t="str">
        <f>CONCATENATE("per ",C73)</f>
        <v>per sqm</v>
      </c>
      <c r="J90" s="710"/>
      <c r="K90" s="711"/>
      <c r="L90" s="711"/>
      <c r="M90" s="711"/>
      <c r="N90" s="711"/>
      <c r="O90" s="711"/>
      <c r="P90" s="711"/>
      <c r="Q90" s="711"/>
      <c r="R90" s="712"/>
    </row>
    <row r="91" spans="1:18">
      <c r="A91" s="39"/>
      <c r="B91" s="40"/>
      <c r="C91" s="69"/>
      <c r="D91" s="41"/>
      <c r="E91" s="41"/>
      <c r="F91" s="41"/>
      <c r="G91" s="149" t="s">
        <v>460</v>
      </c>
      <c r="H91" s="150">
        <f>CEILING(SUM(M74,M75,M76,M77,M78)/H83,0.0025)</f>
        <v>4.7500000000000001E-2</v>
      </c>
      <c r="I91" s="42"/>
      <c r="J91" s="43"/>
      <c r="K91" s="43"/>
      <c r="L91" s="43"/>
      <c r="M91" s="43"/>
      <c r="N91" s="43"/>
      <c r="O91" s="43"/>
      <c r="P91" s="43"/>
      <c r="Q91" s="43"/>
      <c r="R91" s="44"/>
    </row>
  </sheetData>
  <mergeCells count="36">
    <mergeCell ref="B72:B75"/>
    <mergeCell ref="I82:J82"/>
    <mergeCell ref="J85:R90"/>
    <mergeCell ref="B48:B51"/>
    <mergeCell ref="I58:J58"/>
    <mergeCell ref="J61:R66"/>
    <mergeCell ref="N69:R69"/>
    <mergeCell ref="A69:A70"/>
    <mergeCell ref="B69:B70"/>
    <mergeCell ref="C69:C70"/>
    <mergeCell ref="D69:H69"/>
    <mergeCell ref="I69:M69"/>
    <mergeCell ref="N45:R45"/>
    <mergeCell ref="B24:B27"/>
    <mergeCell ref="I34:J34"/>
    <mergeCell ref="A21:A22"/>
    <mergeCell ref="B21:B22"/>
    <mergeCell ref="C21:C22"/>
    <mergeCell ref="D21:H21"/>
    <mergeCell ref="I21:M21"/>
    <mergeCell ref="N21:R21"/>
    <mergeCell ref="J37:R42"/>
    <mergeCell ref="A45:A46"/>
    <mergeCell ref="B45:B46"/>
    <mergeCell ref="C45:C46"/>
    <mergeCell ref="D45:H45"/>
    <mergeCell ref="I45:M45"/>
    <mergeCell ref="B4:B7"/>
    <mergeCell ref="I10:J10"/>
    <mergeCell ref="J13:R18"/>
    <mergeCell ref="A1:A2"/>
    <mergeCell ref="B1:B2"/>
    <mergeCell ref="C1:C2"/>
    <mergeCell ref="D1:H1"/>
    <mergeCell ref="I1:M1"/>
    <mergeCell ref="N1:R1"/>
  </mergeCells>
  <printOptions horizontalCentered="1"/>
  <pageMargins left="0.7" right="0.7" top="0.75" bottom="0.75" header="0.3" footer="0.3"/>
  <pageSetup paperSize="9" scale="65" orientation="landscape" r:id="rId1"/>
  <headerFooter>
    <oddHeader>&amp;L&amp;"Gill Sans MT,Italic"&amp;9Hydro Consult
Nyadi Hydropower Project&amp;C&amp;"Gill Sans MT,Regular"RATE ANALYSIS&amp;R&amp;"Gill Sans MT,Italic"&amp;9&amp;A</oddHeader>
    <oddFooter>&amp;R&amp;"Gill Sans MT,Italic"&amp;9Page &amp;P of &amp;N</oddFooter>
  </headerFooter>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9"/>
  <sheetViews>
    <sheetView workbookViewId="0">
      <selection sqref="A1:A2"/>
    </sheetView>
  </sheetViews>
  <sheetFormatPr defaultColWidth="9.140625" defaultRowHeight="15.75"/>
  <cols>
    <col min="1" max="1" width="10.7109375" style="1" customWidth="1"/>
    <col min="2" max="2" width="33" style="1" customWidth="1"/>
    <col min="3" max="3" width="5.28515625" style="1" customWidth="1"/>
    <col min="4" max="4" width="9.140625" style="1"/>
    <col min="5" max="5" width="5.28515625" style="1" customWidth="1"/>
    <col min="6" max="7" width="9.28515625" style="1" bestFit="1" customWidth="1"/>
    <col min="8" max="8" width="10.7109375" style="1" customWidth="1"/>
    <col min="9" max="9" width="20.140625" style="1" customWidth="1"/>
    <col min="10" max="10" width="5.28515625" style="1" customWidth="1"/>
    <col min="11" max="11" width="9.28515625" style="1" bestFit="1" customWidth="1"/>
    <col min="12" max="12" width="9.42578125" style="1" bestFit="1" customWidth="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554</v>
      </c>
      <c r="C3" s="31"/>
      <c r="D3" s="31"/>
      <c r="E3" s="31"/>
      <c r="F3" s="31"/>
      <c r="G3" s="31"/>
      <c r="H3" s="31"/>
      <c r="I3" s="31"/>
      <c r="J3" s="31"/>
      <c r="K3" s="31"/>
      <c r="L3" s="31"/>
      <c r="M3" s="31"/>
      <c r="N3" s="31"/>
      <c r="O3" s="31"/>
      <c r="P3" s="31"/>
      <c r="Q3" s="31"/>
      <c r="R3" s="32"/>
    </row>
    <row r="4" spans="1:18" ht="15.75" customHeight="1">
      <c r="A4" s="34">
        <v>1</v>
      </c>
      <c r="B4" s="713" t="s">
        <v>555</v>
      </c>
      <c r="C4" s="66">
        <v>0.75</v>
      </c>
      <c r="D4" s="4"/>
      <c r="E4" s="6"/>
      <c r="F4" s="29"/>
      <c r="G4" s="26"/>
      <c r="H4" s="26"/>
      <c r="I4" s="6"/>
      <c r="J4" s="6"/>
      <c r="K4" s="29"/>
      <c r="L4" s="26"/>
      <c r="M4" s="26"/>
      <c r="N4" s="6"/>
      <c r="O4" s="6"/>
      <c r="P4" s="29"/>
      <c r="Q4" s="26"/>
      <c r="R4" s="26"/>
    </row>
    <row r="5" spans="1:18">
      <c r="A5" s="2"/>
      <c r="B5" s="714"/>
      <c r="C5" s="124" t="s">
        <v>11</v>
      </c>
      <c r="D5" s="4" t="s">
        <v>96</v>
      </c>
      <c r="E5" s="6" t="s">
        <v>81</v>
      </c>
      <c r="F5" s="29">
        <v>1.25</v>
      </c>
      <c r="G5" s="26">
        <f>sr</f>
        <v>1100</v>
      </c>
      <c r="H5" s="26">
        <f>F5*G5</f>
        <v>1375</v>
      </c>
      <c r="I5" s="7" t="s">
        <v>300</v>
      </c>
      <c r="J5" s="8" t="s">
        <v>32</v>
      </c>
      <c r="K5" s="29">
        <v>0.26</v>
      </c>
      <c r="L5" s="28">
        <f>cement</f>
        <v>24049.69</v>
      </c>
      <c r="M5" s="26">
        <f>K5*L5</f>
        <v>6252.9193999999998</v>
      </c>
      <c r="N5" s="8" t="s">
        <v>294</v>
      </c>
      <c r="O5" s="6"/>
      <c r="P5" s="29"/>
      <c r="Q5" s="28"/>
      <c r="R5" s="26">
        <f>3%*H10</f>
        <v>117.75</v>
      </c>
    </row>
    <row r="6" spans="1:18">
      <c r="A6" s="2"/>
      <c r="B6" s="714"/>
      <c r="C6" s="6"/>
      <c r="D6" s="4" t="s">
        <v>97</v>
      </c>
      <c r="E6" s="6" t="s">
        <v>81</v>
      </c>
      <c r="F6" s="29">
        <v>3</v>
      </c>
      <c r="G6" s="26">
        <f>ur</f>
        <v>850</v>
      </c>
      <c r="H6" s="26">
        <f>F6*G6</f>
        <v>2550</v>
      </c>
      <c r="I6" s="7" t="s">
        <v>301</v>
      </c>
      <c r="J6" s="8" t="s">
        <v>11</v>
      </c>
      <c r="K6" s="29">
        <v>0.34</v>
      </c>
      <c r="L6" s="28">
        <f>sand</f>
        <v>1050</v>
      </c>
      <c r="M6" s="26">
        <f>K6*L6</f>
        <v>357</v>
      </c>
      <c r="N6" s="8"/>
      <c r="O6" s="6"/>
      <c r="P6" s="29"/>
      <c r="Q6" s="28"/>
      <c r="R6" s="26"/>
    </row>
    <row r="7" spans="1:18">
      <c r="A7" s="2"/>
      <c r="B7" s="714"/>
      <c r="C7" s="6"/>
      <c r="D7" s="4"/>
      <c r="E7" s="6"/>
      <c r="F7" s="29"/>
      <c r="G7" s="26"/>
      <c r="H7" s="26"/>
      <c r="I7" s="7" t="s">
        <v>399</v>
      </c>
      <c r="J7" s="8" t="s">
        <v>11</v>
      </c>
      <c r="K7" s="29">
        <v>0.68</v>
      </c>
      <c r="L7" s="28">
        <f>Agg_10</f>
        <v>2950</v>
      </c>
      <c r="M7" s="26">
        <f>K7*L7</f>
        <v>2006.0000000000002</v>
      </c>
      <c r="N7" s="8"/>
      <c r="O7" s="6"/>
      <c r="P7" s="29"/>
      <c r="Q7" s="28"/>
      <c r="R7" s="26"/>
    </row>
    <row r="8" spans="1:18">
      <c r="A8" s="2"/>
      <c r="B8" s="714"/>
      <c r="C8" s="6"/>
      <c r="D8" s="4"/>
      <c r="E8" s="6"/>
      <c r="F8" s="29"/>
      <c r="G8" s="26"/>
      <c r="H8" s="26"/>
      <c r="I8" s="7"/>
      <c r="J8" s="8"/>
      <c r="K8" s="29"/>
      <c r="L8" s="28"/>
      <c r="M8" s="28"/>
      <c r="N8" s="8"/>
      <c r="O8" s="6"/>
      <c r="P8" s="29"/>
      <c r="Q8" s="28"/>
      <c r="R8" s="28"/>
    </row>
    <row r="9" spans="1:18">
      <c r="A9" s="2"/>
      <c r="B9" s="5"/>
      <c r="C9" s="6"/>
      <c r="D9" s="4"/>
      <c r="E9" s="9"/>
      <c r="F9" s="30"/>
      <c r="G9" s="27"/>
      <c r="H9" s="27"/>
      <c r="I9" s="9"/>
      <c r="J9" s="10"/>
      <c r="K9" s="30"/>
      <c r="L9" s="28"/>
      <c r="M9" s="28"/>
      <c r="N9" s="8"/>
      <c r="O9" s="6"/>
      <c r="P9" s="30"/>
      <c r="Q9" s="28"/>
      <c r="R9" s="28"/>
    </row>
    <row r="10" spans="1:18">
      <c r="A10" s="2"/>
      <c r="B10" s="11"/>
      <c r="C10" s="6"/>
      <c r="D10" s="12"/>
      <c r="E10" s="59"/>
      <c r="F10" s="13"/>
      <c r="G10" s="13" t="s">
        <v>20</v>
      </c>
      <c r="H10" s="25">
        <f>SUM(H4:H9)</f>
        <v>3925</v>
      </c>
      <c r="I10" s="703"/>
      <c r="J10" s="703"/>
      <c r="K10" s="14"/>
      <c r="L10" s="13" t="s">
        <v>21</v>
      </c>
      <c r="M10" s="25">
        <f>SUM(M4:M9)</f>
        <v>8615.9194000000007</v>
      </c>
      <c r="N10" s="3"/>
      <c r="O10" s="14"/>
      <c r="P10" s="14"/>
      <c r="Q10" s="13" t="s">
        <v>22</v>
      </c>
      <c r="R10" s="25">
        <f>SUM(R4:R9)</f>
        <v>117.75</v>
      </c>
    </row>
    <row r="11" spans="1:18">
      <c r="A11" s="2"/>
      <c r="B11" s="16" t="s">
        <v>13</v>
      </c>
      <c r="C11" s="14"/>
      <c r="D11" s="14"/>
      <c r="E11" s="14"/>
      <c r="F11" s="14"/>
      <c r="G11" s="13"/>
      <c r="H11" s="35">
        <f>M10+R10+H10</f>
        <v>12658.669400000001</v>
      </c>
      <c r="I11" s="17"/>
      <c r="J11" s="14"/>
      <c r="K11" s="14"/>
      <c r="L11" s="13"/>
      <c r="M11" s="15"/>
      <c r="N11" s="14"/>
      <c r="O11" s="14"/>
      <c r="P11" s="14"/>
      <c r="Q11" s="14"/>
      <c r="R11" s="17"/>
    </row>
    <row r="12" spans="1:18">
      <c r="A12" s="2"/>
      <c r="B12" s="11" t="s">
        <v>25</v>
      </c>
      <c r="C12" s="4"/>
      <c r="D12" s="4"/>
      <c r="E12" s="4"/>
      <c r="F12" s="4"/>
      <c r="G12" s="18"/>
      <c r="H12" s="36">
        <v>0</v>
      </c>
      <c r="I12" s="20"/>
      <c r="J12" s="4" t="s">
        <v>26</v>
      </c>
      <c r="K12" s="4"/>
      <c r="L12" s="18"/>
      <c r="M12" s="19"/>
      <c r="N12" s="4"/>
      <c r="O12" s="4"/>
      <c r="P12" s="4"/>
      <c r="Q12" s="4"/>
      <c r="R12" s="20"/>
    </row>
    <row r="13" spans="1:18">
      <c r="A13" s="23"/>
      <c r="B13" s="11" t="s">
        <v>14</v>
      </c>
      <c r="C13" s="4"/>
      <c r="D13" s="4"/>
      <c r="E13" s="4"/>
      <c r="F13" s="4"/>
      <c r="G13" s="18"/>
      <c r="H13" s="36">
        <f>SUM(H11:H12)</f>
        <v>12658.669400000001</v>
      </c>
      <c r="I13" s="20"/>
      <c r="J13" s="741"/>
      <c r="K13" s="742"/>
      <c r="L13" s="742"/>
      <c r="M13" s="742"/>
      <c r="N13" s="742"/>
      <c r="O13" s="742"/>
      <c r="P13" s="742"/>
      <c r="Q13" s="742"/>
      <c r="R13" s="743"/>
    </row>
    <row r="14" spans="1:18">
      <c r="A14" s="23"/>
      <c r="B14" s="11" t="s">
        <v>24</v>
      </c>
      <c r="C14" s="4"/>
      <c r="D14" s="4"/>
      <c r="E14" s="4"/>
      <c r="F14" s="4"/>
      <c r="G14" s="18"/>
      <c r="H14" s="36">
        <f>H13*15%</f>
        <v>1898.8004100000001</v>
      </c>
      <c r="I14" s="20"/>
      <c r="J14" s="744"/>
      <c r="K14" s="745"/>
      <c r="L14" s="745"/>
      <c r="M14" s="745"/>
      <c r="N14" s="745"/>
      <c r="O14" s="745"/>
      <c r="P14" s="745"/>
      <c r="Q14" s="745"/>
      <c r="R14" s="746"/>
    </row>
    <row r="15" spans="1:18">
      <c r="A15" s="23"/>
      <c r="B15" s="11" t="s">
        <v>15</v>
      </c>
      <c r="C15" s="4"/>
      <c r="D15" s="4"/>
      <c r="E15" s="4"/>
      <c r="F15" s="4"/>
      <c r="G15" s="21" t="s">
        <v>16</v>
      </c>
      <c r="H15" s="37">
        <f>H14+H13</f>
        <v>14557.469810000001</v>
      </c>
      <c r="I15" s="38" t="str">
        <f>CONCATENATE("per ",C4, C5)</f>
        <v>per 0.75cum</v>
      </c>
      <c r="J15" s="744"/>
      <c r="K15" s="745"/>
      <c r="L15" s="745"/>
      <c r="M15" s="745"/>
      <c r="N15" s="745"/>
      <c r="O15" s="745"/>
      <c r="P15" s="745"/>
      <c r="Q15" s="745"/>
      <c r="R15" s="746"/>
    </row>
    <row r="16" spans="1:18">
      <c r="A16" s="23"/>
      <c r="B16" s="11"/>
      <c r="C16" s="4"/>
      <c r="D16" s="4"/>
      <c r="E16" s="4"/>
      <c r="F16" s="4"/>
      <c r="G16" s="21" t="s">
        <v>16</v>
      </c>
      <c r="H16" s="37">
        <f>H15/C4</f>
        <v>19409.959746666667</v>
      </c>
      <c r="I16" s="38" t="str">
        <f>CONCATENATE("per ",C5)</f>
        <v>per cum</v>
      </c>
      <c r="J16" s="744"/>
      <c r="K16" s="745"/>
      <c r="L16" s="745"/>
      <c r="M16" s="745"/>
      <c r="N16" s="745"/>
      <c r="O16" s="745"/>
      <c r="P16" s="745"/>
      <c r="Q16" s="745"/>
      <c r="R16" s="746"/>
    </row>
    <row r="17" spans="1:18">
      <c r="A17" s="23"/>
      <c r="B17" s="11" t="s">
        <v>18</v>
      </c>
      <c r="C17" s="4" t="s">
        <v>19</v>
      </c>
      <c r="D17" s="4"/>
      <c r="E17" s="4"/>
      <c r="F17" s="4"/>
      <c r="G17" s="21" t="s">
        <v>16</v>
      </c>
      <c r="H17" s="37">
        <f>CEILING(H16,0.5)</f>
        <v>19410</v>
      </c>
      <c r="I17" s="38" t="str">
        <f>CONCATENATE("per ",C5)</f>
        <v>per cum</v>
      </c>
      <c r="J17" s="744"/>
      <c r="K17" s="745"/>
      <c r="L17" s="745"/>
      <c r="M17" s="745"/>
      <c r="N17" s="745"/>
      <c r="O17" s="745"/>
      <c r="P17" s="745"/>
      <c r="Q17" s="745"/>
      <c r="R17" s="746"/>
    </row>
    <row r="18" spans="1:18">
      <c r="A18" s="23"/>
      <c r="B18" s="11"/>
      <c r="C18" s="4"/>
      <c r="D18" s="4"/>
      <c r="E18" s="4"/>
      <c r="F18" s="4"/>
      <c r="G18" s="24" t="s">
        <v>17</v>
      </c>
      <c r="H18" s="37">
        <f>H17/exr</f>
        <v>149.30769230769232</v>
      </c>
      <c r="I18" s="38" t="str">
        <f>CONCATENATE("per ",C5)</f>
        <v>per cum</v>
      </c>
      <c r="J18" s="747"/>
      <c r="K18" s="748"/>
      <c r="L18" s="748"/>
      <c r="M18" s="748"/>
      <c r="N18" s="748"/>
      <c r="O18" s="748"/>
      <c r="P18" s="748"/>
      <c r="Q18" s="748"/>
      <c r="R18" s="749"/>
    </row>
    <row r="19" spans="1:18">
      <c r="A19" s="39"/>
      <c r="B19" s="40"/>
      <c r="C19" s="41"/>
      <c r="D19" s="41"/>
      <c r="E19" s="41"/>
      <c r="F19" s="41"/>
      <c r="G19" s="149" t="s">
        <v>460</v>
      </c>
      <c r="H19" s="150">
        <f>CEILING(SUM(M5)/H11,0.0025)</f>
        <v>0.495</v>
      </c>
      <c r="I19" s="42"/>
      <c r="J19" s="43"/>
      <c r="K19" s="43"/>
      <c r="L19" s="43"/>
      <c r="M19" s="43"/>
      <c r="N19" s="43"/>
      <c r="O19" s="43"/>
      <c r="P19" s="43"/>
      <c r="Q19" s="43"/>
      <c r="R19" s="44"/>
    </row>
    <row r="20" spans="1:18">
      <c r="A20" s="22"/>
      <c r="B20" s="22"/>
      <c r="C20" s="22"/>
      <c r="D20" s="22"/>
      <c r="E20" s="22"/>
      <c r="F20" s="22"/>
      <c r="G20" s="22"/>
      <c r="H20" s="22"/>
      <c r="I20" s="22"/>
      <c r="J20" s="22"/>
      <c r="K20" s="22"/>
      <c r="L20" s="22"/>
      <c r="M20" s="22"/>
      <c r="N20" s="22"/>
      <c r="O20" s="22"/>
      <c r="P20" s="22"/>
      <c r="Q20" s="22"/>
      <c r="R20" s="22"/>
    </row>
    <row r="21" spans="1:18">
      <c r="A21" s="693" t="s">
        <v>0</v>
      </c>
      <c r="B21" s="695" t="s">
        <v>1</v>
      </c>
      <c r="C21" s="695" t="s">
        <v>2</v>
      </c>
      <c r="D21" s="697" t="s">
        <v>3</v>
      </c>
      <c r="E21" s="698"/>
      <c r="F21" s="698"/>
      <c r="G21" s="698"/>
      <c r="H21" s="698"/>
      <c r="I21" s="699" t="s">
        <v>4</v>
      </c>
      <c r="J21" s="700"/>
      <c r="K21" s="700"/>
      <c r="L21" s="700"/>
      <c r="M21" s="700"/>
      <c r="N21" s="698" t="s">
        <v>5</v>
      </c>
      <c r="O21" s="698"/>
      <c r="P21" s="698"/>
      <c r="Q21" s="698"/>
      <c r="R21" s="698"/>
    </row>
    <row r="22" spans="1:18">
      <c r="A22" s="694"/>
      <c r="B22" s="696"/>
      <c r="C22" s="696"/>
      <c r="D22" s="45" t="s">
        <v>6</v>
      </c>
      <c r="E22" s="46" t="s">
        <v>2</v>
      </c>
      <c r="F22" s="46" t="s">
        <v>7</v>
      </c>
      <c r="G22" s="46" t="s">
        <v>8</v>
      </c>
      <c r="H22" s="46" t="s">
        <v>9</v>
      </c>
      <c r="I22" s="46" t="s">
        <v>10</v>
      </c>
      <c r="J22" s="46" t="s">
        <v>2</v>
      </c>
      <c r="K22" s="46" t="s">
        <v>7</v>
      </c>
      <c r="L22" s="46" t="s">
        <v>8</v>
      </c>
      <c r="M22" s="47" t="s">
        <v>9</v>
      </c>
      <c r="N22" s="46" t="s">
        <v>10</v>
      </c>
      <c r="O22" s="46" t="s">
        <v>2</v>
      </c>
      <c r="P22" s="46" t="s">
        <v>7</v>
      </c>
      <c r="Q22" s="46" t="s">
        <v>8</v>
      </c>
      <c r="R22" s="46" t="s">
        <v>9</v>
      </c>
    </row>
    <row r="23" spans="1:18">
      <c r="A23" s="33" t="s">
        <v>23</v>
      </c>
      <c r="B23" s="73" t="s">
        <v>554</v>
      </c>
      <c r="C23" s="31"/>
      <c r="D23" s="31"/>
      <c r="E23" s="31"/>
      <c r="F23" s="31"/>
      <c r="G23" s="31"/>
      <c r="H23" s="31"/>
      <c r="I23" s="31"/>
      <c r="J23" s="31"/>
      <c r="K23" s="31"/>
      <c r="L23" s="31"/>
      <c r="M23" s="31"/>
      <c r="N23" s="31"/>
      <c r="O23" s="31"/>
      <c r="P23" s="31"/>
      <c r="Q23" s="31"/>
      <c r="R23" s="32"/>
    </row>
    <row r="24" spans="1:18">
      <c r="A24" s="34">
        <f>A4+1</f>
        <v>2</v>
      </c>
      <c r="B24" s="713" t="s">
        <v>556</v>
      </c>
      <c r="C24" s="66">
        <v>10</v>
      </c>
      <c r="D24" s="4"/>
      <c r="E24" s="6"/>
      <c r="F24" s="29"/>
      <c r="G24" s="26"/>
      <c r="H24" s="26"/>
      <c r="I24" s="6"/>
      <c r="J24" s="6"/>
      <c r="K24" s="29"/>
      <c r="L24" s="26"/>
      <c r="M24" s="26"/>
      <c r="N24" s="6"/>
      <c r="O24" s="6"/>
      <c r="P24" s="29"/>
      <c r="Q24" s="26"/>
      <c r="R24" s="26"/>
    </row>
    <row r="25" spans="1:18">
      <c r="A25" s="2"/>
      <c r="B25" s="714"/>
      <c r="C25" s="124" t="s">
        <v>127</v>
      </c>
      <c r="D25" s="4" t="s">
        <v>96</v>
      </c>
      <c r="E25" s="6" t="s">
        <v>81</v>
      </c>
      <c r="F25" s="29">
        <v>1</v>
      </c>
      <c r="G25" s="26">
        <f>sr</f>
        <v>1100</v>
      </c>
      <c r="H25" s="26">
        <f>F25*G25</f>
        <v>1100</v>
      </c>
      <c r="I25" s="7" t="s">
        <v>300</v>
      </c>
      <c r="J25" s="8" t="s">
        <v>32</v>
      </c>
      <c r="K25" s="29">
        <v>5.3199999999999997E-2</v>
      </c>
      <c r="L25" s="28">
        <f>cement</f>
        <v>24049.69</v>
      </c>
      <c r="M25" s="26">
        <f>K25*L25</f>
        <v>1279.4435079999998</v>
      </c>
      <c r="N25" s="8" t="s">
        <v>294</v>
      </c>
      <c r="O25" s="6"/>
      <c r="P25" s="29"/>
      <c r="Q25" s="28"/>
      <c r="R25" s="26">
        <f>3%*H30</f>
        <v>58.5</v>
      </c>
    </row>
    <row r="26" spans="1:18">
      <c r="A26" s="2"/>
      <c r="B26" s="714"/>
      <c r="C26" s="6"/>
      <c r="D26" s="4" t="s">
        <v>97</v>
      </c>
      <c r="E26" s="6" t="s">
        <v>81</v>
      </c>
      <c r="F26" s="29">
        <v>1</v>
      </c>
      <c r="G26" s="26">
        <f>ur</f>
        <v>850</v>
      </c>
      <c r="H26" s="26">
        <f>F26*G26</f>
        <v>850</v>
      </c>
      <c r="I26" s="7"/>
      <c r="J26" s="8"/>
      <c r="K26" s="29"/>
      <c r="L26" s="28"/>
      <c r="M26" s="26">
        <f>K26*L26</f>
        <v>0</v>
      </c>
      <c r="N26" s="8"/>
      <c r="O26" s="6"/>
      <c r="P26" s="29"/>
      <c r="Q26" s="28"/>
      <c r="R26" s="26"/>
    </row>
    <row r="27" spans="1:18">
      <c r="A27" s="2"/>
      <c r="B27" s="714"/>
      <c r="C27" s="6"/>
      <c r="D27" s="4"/>
      <c r="E27" s="6"/>
      <c r="F27" s="29"/>
      <c r="G27" s="26"/>
      <c r="H27" s="26"/>
      <c r="I27" s="7"/>
      <c r="J27" s="8"/>
      <c r="K27" s="29"/>
      <c r="L27" s="28"/>
      <c r="M27" s="26">
        <f>K27*L27</f>
        <v>0</v>
      </c>
      <c r="N27" s="8"/>
      <c r="O27" s="6"/>
      <c r="P27" s="29"/>
      <c r="Q27" s="28"/>
      <c r="R27" s="26"/>
    </row>
    <row r="28" spans="1:18">
      <c r="A28" s="2"/>
      <c r="B28" s="714"/>
      <c r="C28" s="6"/>
      <c r="D28" s="4"/>
      <c r="E28" s="6"/>
      <c r="F28" s="29"/>
      <c r="G28" s="26"/>
      <c r="H28" s="26"/>
      <c r="I28" s="7"/>
      <c r="J28" s="8"/>
      <c r="K28" s="29"/>
      <c r="L28" s="28"/>
      <c r="M28" s="28"/>
      <c r="N28" s="8"/>
      <c r="O28" s="6"/>
      <c r="P28" s="29"/>
      <c r="Q28" s="28"/>
      <c r="R28" s="28"/>
    </row>
    <row r="29" spans="1:18">
      <c r="A29" s="2"/>
      <c r="B29" s="5"/>
      <c r="C29" s="6"/>
      <c r="D29" s="4"/>
      <c r="E29" s="9"/>
      <c r="F29" s="30"/>
      <c r="G29" s="27"/>
      <c r="H29" s="27"/>
      <c r="I29" s="9"/>
      <c r="J29" s="10"/>
      <c r="K29" s="30"/>
      <c r="L29" s="28"/>
      <c r="M29" s="28"/>
      <c r="N29" s="8"/>
      <c r="O29" s="6"/>
      <c r="P29" s="30"/>
      <c r="Q29" s="28"/>
      <c r="R29" s="28"/>
    </row>
    <row r="30" spans="1:18">
      <c r="A30" s="2"/>
      <c r="B30" s="11"/>
      <c r="C30" s="6"/>
      <c r="D30" s="12"/>
      <c r="E30" s="59"/>
      <c r="F30" s="13"/>
      <c r="G30" s="13" t="s">
        <v>20</v>
      </c>
      <c r="H30" s="25">
        <f>SUM(H24:H29)</f>
        <v>1950</v>
      </c>
      <c r="I30" s="703"/>
      <c r="J30" s="703"/>
      <c r="K30" s="14"/>
      <c r="L30" s="13" t="s">
        <v>21</v>
      </c>
      <c r="M30" s="25">
        <f>SUM(M24:M29)</f>
        <v>1279.4435079999998</v>
      </c>
      <c r="N30" s="3"/>
      <c r="O30" s="14"/>
      <c r="P30" s="14"/>
      <c r="Q30" s="13" t="s">
        <v>22</v>
      </c>
      <c r="R30" s="25">
        <f>SUM(R24:R29)</f>
        <v>58.5</v>
      </c>
    </row>
    <row r="31" spans="1:18">
      <c r="A31" s="2"/>
      <c r="B31" s="16" t="s">
        <v>13</v>
      </c>
      <c r="C31" s="14"/>
      <c r="D31" s="14"/>
      <c r="E31" s="14"/>
      <c r="F31" s="14"/>
      <c r="G31" s="13"/>
      <c r="H31" s="35">
        <f>M30+R30+H30</f>
        <v>3287.9435079999998</v>
      </c>
      <c r="I31" s="17"/>
      <c r="J31" s="14"/>
      <c r="K31" s="14"/>
      <c r="L31" s="13"/>
      <c r="M31" s="15"/>
      <c r="N31" s="14"/>
      <c r="O31" s="14"/>
      <c r="P31" s="14"/>
      <c r="Q31" s="14"/>
      <c r="R31" s="17"/>
    </row>
    <row r="32" spans="1:18">
      <c r="A32" s="2"/>
      <c r="B32" s="11" t="s">
        <v>25</v>
      </c>
      <c r="C32" s="4"/>
      <c r="D32" s="4"/>
      <c r="E32" s="4"/>
      <c r="F32" s="4"/>
      <c r="G32" s="18"/>
      <c r="H32" s="36">
        <v>0</v>
      </c>
      <c r="I32" s="20"/>
      <c r="J32" s="4" t="s">
        <v>26</v>
      </c>
      <c r="K32" s="4"/>
      <c r="L32" s="18"/>
      <c r="M32" s="19"/>
      <c r="N32" s="4"/>
      <c r="O32" s="4"/>
      <c r="P32" s="4"/>
      <c r="Q32" s="4"/>
      <c r="R32" s="20"/>
    </row>
    <row r="33" spans="1:18">
      <c r="A33" s="23"/>
      <c r="B33" s="11" t="s">
        <v>14</v>
      </c>
      <c r="C33" s="4"/>
      <c r="D33" s="4"/>
      <c r="E33" s="4"/>
      <c r="F33" s="4"/>
      <c r="G33" s="18"/>
      <c r="H33" s="36">
        <f>SUM(H31:H32)</f>
        <v>3287.9435079999998</v>
      </c>
      <c r="I33" s="20"/>
      <c r="J33" s="741"/>
      <c r="K33" s="742"/>
      <c r="L33" s="742"/>
      <c r="M33" s="742"/>
      <c r="N33" s="742"/>
      <c r="O33" s="742"/>
      <c r="P33" s="742"/>
      <c r="Q33" s="742"/>
      <c r="R33" s="743"/>
    </row>
    <row r="34" spans="1:18">
      <c r="A34" s="23"/>
      <c r="B34" s="11" t="s">
        <v>24</v>
      </c>
      <c r="C34" s="4"/>
      <c r="D34" s="4"/>
      <c r="E34" s="4"/>
      <c r="F34" s="4"/>
      <c r="G34" s="18"/>
      <c r="H34" s="36">
        <f>H33*15%</f>
        <v>493.19152619999994</v>
      </c>
      <c r="I34" s="20"/>
      <c r="J34" s="744"/>
      <c r="K34" s="745"/>
      <c r="L34" s="745"/>
      <c r="M34" s="745"/>
      <c r="N34" s="745"/>
      <c r="O34" s="745"/>
      <c r="P34" s="745"/>
      <c r="Q34" s="745"/>
      <c r="R34" s="746"/>
    </row>
    <row r="35" spans="1:18">
      <c r="A35" s="23"/>
      <c r="B35" s="11" t="s">
        <v>15</v>
      </c>
      <c r="C35" s="4"/>
      <c r="D35" s="4"/>
      <c r="E35" s="4"/>
      <c r="F35" s="4"/>
      <c r="G35" s="21" t="s">
        <v>16</v>
      </c>
      <c r="H35" s="37">
        <f>H34+H33</f>
        <v>3781.1350341999996</v>
      </c>
      <c r="I35" s="38" t="str">
        <f>CONCATENATE("per ",C24, C25)</f>
        <v>per 10sqm</v>
      </c>
      <c r="J35" s="744"/>
      <c r="K35" s="745"/>
      <c r="L35" s="745"/>
      <c r="M35" s="745"/>
      <c r="N35" s="745"/>
      <c r="O35" s="745"/>
      <c r="P35" s="745"/>
      <c r="Q35" s="745"/>
      <c r="R35" s="746"/>
    </row>
    <row r="36" spans="1:18">
      <c r="A36" s="23"/>
      <c r="B36" s="11"/>
      <c r="C36" s="4"/>
      <c r="D36" s="4"/>
      <c r="E36" s="4"/>
      <c r="F36" s="4"/>
      <c r="G36" s="21" t="s">
        <v>16</v>
      </c>
      <c r="H36" s="37">
        <f>H35/C24</f>
        <v>378.11350341999997</v>
      </c>
      <c r="I36" s="38" t="str">
        <f>CONCATENATE("per ",C25)</f>
        <v>per sqm</v>
      </c>
      <c r="J36" s="744"/>
      <c r="K36" s="745"/>
      <c r="L36" s="745"/>
      <c r="M36" s="745"/>
      <c r="N36" s="745"/>
      <c r="O36" s="745"/>
      <c r="P36" s="745"/>
      <c r="Q36" s="745"/>
      <c r="R36" s="746"/>
    </row>
    <row r="37" spans="1:18">
      <c r="A37" s="23"/>
      <c r="B37" s="11" t="s">
        <v>18</v>
      </c>
      <c r="C37" s="4" t="s">
        <v>19</v>
      </c>
      <c r="D37" s="4"/>
      <c r="E37" s="4"/>
      <c r="F37" s="4"/>
      <c r="G37" s="21" t="s">
        <v>16</v>
      </c>
      <c r="H37" s="37">
        <f>CEILING(H36,0.5)</f>
        <v>378.5</v>
      </c>
      <c r="I37" s="38" t="str">
        <f>CONCATENATE("per ",C25)</f>
        <v>per sqm</v>
      </c>
      <c r="J37" s="744"/>
      <c r="K37" s="745"/>
      <c r="L37" s="745"/>
      <c r="M37" s="745"/>
      <c r="N37" s="745"/>
      <c r="O37" s="745"/>
      <c r="P37" s="745"/>
      <c r="Q37" s="745"/>
      <c r="R37" s="746"/>
    </row>
    <row r="38" spans="1:18">
      <c r="A38" s="23"/>
      <c r="B38" s="11"/>
      <c r="C38" s="4"/>
      <c r="D38" s="4"/>
      <c r="E38" s="4"/>
      <c r="F38" s="4"/>
      <c r="G38" s="24" t="s">
        <v>17</v>
      </c>
      <c r="H38" s="37">
        <f>H37/exr</f>
        <v>2.9115384615384614</v>
      </c>
      <c r="I38" s="38" t="str">
        <f>CONCATENATE("per ",C25)</f>
        <v>per sqm</v>
      </c>
      <c r="J38" s="747"/>
      <c r="K38" s="748"/>
      <c r="L38" s="748"/>
      <c r="M38" s="748"/>
      <c r="N38" s="748"/>
      <c r="O38" s="748"/>
      <c r="P38" s="748"/>
      <c r="Q38" s="748"/>
      <c r="R38" s="749"/>
    </row>
    <row r="39" spans="1:18">
      <c r="A39" s="39"/>
      <c r="B39" s="40"/>
      <c r="C39" s="41"/>
      <c r="D39" s="41"/>
      <c r="E39" s="41"/>
      <c r="F39" s="41"/>
      <c r="G39" s="149" t="s">
        <v>460</v>
      </c>
      <c r="H39" s="150">
        <f>CEILING(SUM(M25)/H31,0.0025)</f>
        <v>0.39</v>
      </c>
      <c r="I39" s="42"/>
      <c r="J39" s="43"/>
      <c r="K39" s="43"/>
      <c r="L39" s="43"/>
      <c r="M39" s="43"/>
      <c r="N39" s="43"/>
      <c r="O39" s="43"/>
      <c r="P39" s="43"/>
      <c r="Q39" s="43"/>
      <c r="R39" s="44"/>
    </row>
  </sheetData>
  <mergeCells count="18">
    <mergeCell ref="A21:A22"/>
    <mergeCell ref="B21:B22"/>
    <mergeCell ref="C21:C22"/>
    <mergeCell ref="N1:R1"/>
    <mergeCell ref="A1:A2"/>
    <mergeCell ref="B1:B2"/>
    <mergeCell ref="C1:C2"/>
    <mergeCell ref="D1:H1"/>
    <mergeCell ref="I1:M1"/>
    <mergeCell ref="I30:J30"/>
    <mergeCell ref="J33:R38"/>
    <mergeCell ref="B4:B8"/>
    <mergeCell ref="I10:J10"/>
    <mergeCell ref="J13:R18"/>
    <mergeCell ref="N21:R21"/>
    <mergeCell ref="D21:H21"/>
    <mergeCell ref="I21:M21"/>
    <mergeCell ref="B24:B28"/>
  </mergeCells>
  <printOptions horizontalCentered="1"/>
  <pageMargins left="0.7" right="0.7" top="0.75" bottom="0.75" header="0.3" footer="0.3"/>
  <pageSetup paperSize="9" scale="66" orientation="landscape" r:id="rId1"/>
  <headerFooter>
    <oddHeader>&amp;L&amp;"Gill Sans MT,Italic"&amp;9Hydro Consult
Nyadi Hydropower Project&amp;C&amp;"Gill Sans MT,Regular"RATE ANALYSIS&amp;R&amp;"Gill Sans MT,Italic"&amp;9&amp;A</oddHeader>
    <oddFooter>&amp;R&amp;"Gill Sans MT,Italic"&amp;9Page &amp;P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workbookViewId="0">
      <selection sqref="A1:A2"/>
    </sheetView>
  </sheetViews>
  <sheetFormatPr defaultColWidth="9.140625" defaultRowHeight="15.75"/>
  <cols>
    <col min="1" max="1" width="10.7109375" style="1" customWidth="1"/>
    <col min="2" max="2" width="33" style="1" customWidth="1"/>
    <col min="3" max="3" width="5.28515625" style="1" customWidth="1"/>
    <col min="4" max="4" width="9.140625" style="1"/>
    <col min="5" max="5" width="5.28515625" style="1" customWidth="1"/>
    <col min="6" max="7" width="9.28515625" style="1" bestFit="1" customWidth="1"/>
    <col min="8" max="8" width="10.7109375" style="1" customWidth="1"/>
    <col min="9" max="9" width="20.140625" style="1" customWidth="1"/>
    <col min="10" max="10" width="5.28515625" style="1" customWidth="1"/>
    <col min="11" max="11" width="9.28515625" style="1" bestFit="1" customWidth="1"/>
    <col min="12" max="12" width="9.42578125" style="1" bestFit="1" customWidth="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892</v>
      </c>
      <c r="C3" s="31"/>
      <c r="D3" s="31"/>
      <c r="E3" s="31"/>
      <c r="F3" s="31"/>
      <c r="G3" s="31"/>
      <c r="H3" s="31"/>
      <c r="I3" s="31"/>
      <c r="J3" s="31"/>
      <c r="K3" s="31"/>
      <c r="L3" s="31"/>
      <c r="M3" s="31"/>
      <c r="N3" s="31"/>
      <c r="O3" s="31"/>
      <c r="P3" s="31"/>
      <c r="Q3" s="31"/>
      <c r="R3" s="32"/>
    </row>
    <row r="4" spans="1:18" ht="15.75" customHeight="1">
      <c r="A4" s="34">
        <v>1</v>
      </c>
      <c r="B4" s="713" t="s">
        <v>893</v>
      </c>
      <c r="C4" s="66">
        <v>1</v>
      </c>
      <c r="D4" s="4"/>
      <c r="E4" s="6"/>
      <c r="F4" s="29"/>
      <c r="G4" s="26"/>
      <c r="H4" s="26"/>
      <c r="I4" s="6"/>
      <c r="J4" s="6"/>
      <c r="K4" s="29"/>
      <c r="L4" s="26"/>
      <c r="M4" s="26"/>
      <c r="N4" s="6"/>
      <c r="O4" s="6"/>
      <c r="P4" s="29"/>
      <c r="Q4" s="26"/>
      <c r="R4" s="26"/>
    </row>
    <row r="5" spans="1:18">
      <c r="A5" s="2"/>
      <c r="B5" s="714"/>
      <c r="C5" s="124" t="s">
        <v>11</v>
      </c>
      <c r="D5" s="4" t="s">
        <v>96</v>
      </c>
      <c r="E5" s="6" t="s">
        <v>81</v>
      </c>
      <c r="F5" s="29">
        <v>0.7</v>
      </c>
      <c r="G5" s="26">
        <f>sr</f>
        <v>1100</v>
      </c>
      <c r="H5" s="26">
        <f>F5*G5</f>
        <v>770</v>
      </c>
      <c r="I5" s="7" t="s">
        <v>894</v>
      </c>
      <c r="J5" s="8" t="s">
        <v>11</v>
      </c>
      <c r="K5" s="29">
        <v>1.1000000000000001</v>
      </c>
      <c r="L5" s="28">
        <f>stone</f>
        <v>1000</v>
      </c>
      <c r="M5" s="26">
        <f>K5*L5</f>
        <v>1100</v>
      </c>
      <c r="N5" s="8" t="s">
        <v>363</v>
      </c>
      <c r="O5" s="6" t="s">
        <v>101</v>
      </c>
      <c r="P5" s="29">
        <v>0.45</v>
      </c>
      <c r="Q5" s="28">
        <f>hydraulic_jack</f>
        <v>346.11</v>
      </c>
      <c r="R5" s="26">
        <f>P5*Q5</f>
        <v>155.74950000000001</v>
      </c>
    </row>
    <row r="6" spans="1:18">
      <c r="A6" s="2"/>
      <c r="B6" s="714"/>
      <c r="C6" s="6"/>
      <c r="D6" s="4" t="s">
        <v>97</v>
      </c>
      <c r="E6" s="6" t="s">
        <v>81</v>
      </c>
      <c r="F6" s="29">
        <v>2.1</v>
      </c>
      <c r="G6" s="26">
        <f>ur</f>
        <v>850</v>
      </c>
      <c r="H6" s="26">
        <f>F6*G6</f>
        <v>1785</v>
      </c>
      <c r="I6" s="7" t="s">
        <v>70</v>
      </c>
      <c r="J6" s="8" t="s">
        <v>250</v>
      </c>
      <c r="K6" s="29">
        <v>0.01</v>
      </c>
      <c r="L6" s="28">
        <f>petrol</f>
        <v>188.6</v>
      </c>
      <c r="M6" s="26">
        <f>K6*L6</f>
        <v>1.8859999999999999</v>
      </c>
      <c r="N6" s="8" t="s">
        <v>895</v>
      </c>
      <c r="O6" s="6" t="s">
        <v>101</v>
      </c>
      <c r="P6" s="29">
        <v>0.45</v>
      </c>
      <c r="Q6" s="28">
        <f>power_winch</f>
        <v>194.69</v>
      </c>
      <c r="R6" s="26">
        <f>P6*Q6</f>
        <v>87.610500000000002</v>
      </c>
    </row>
    <row r="7" spans="1:18">
      <c r="A7" s="2"/>
      <c r="B7" s="714"/>
      <c r="C7" s="6"/>
      <c r="D7" s="4"/>
      <c r="E7" s="6"/>
      <c r="F7" s="29"/>
      <c r="G7" s="26"/>
      <c r="H7" s="26"/>
      <c r="I7" s="7"/>
      <c r="J7" s="8"/>
      <c r="K7" s="29"/>
      <c r="L7" s="28"/>
      <c r="M7" s="26"/>
      <c r="N7" s="8"/>
      <c r="O7" s="6"/>
      <c r="P7" s="29"/>
      <c r="Q7" s="28"/>
      <c r="R7" s="26"/>
    </row>
    <row r="8" spans="1:18">
      <c r="A8" s="2"/>
      <c r="B8" s="714"/>
      <c r="C8" s="6"/>
      <c r="D8" s="4"/>
      <c r="E8" s="6"/>
      <c r="F8" s="29"/>
      <c r="G8" s="26"/>
      <c r="H8" s="26"/>
      <c r="I8" s="7"/>
      <c r="J8" s="8"/>
      <c r="K8" s="29"/>
      <c r="L8" s="28"/>
      <c r="M8" s="28"/>
      <c r="N8" s="8"/>
      <c r="O8" s="6"/>
      <c r="P8" s="29"/>
      <c r="Q8" s="28"/>
      <c r="R8" s="28"/>
    </row>
    <row r="9" spans="1:18">
      <c r="A9" s="2"/>
      <c r="B9" s="5"/>
      <c r="C9" s="6"/>
      <c r="D9" s="4"/>
      <c r="E9" s="9"/>
      <c r="F9" s="30"/>
      <c r="G9" s="27"/>
      <c r="H9" s="27"/>
      <c r="I9" s="9"/>
      <c r="J9" s="10"/>
      <c r="K9" s="30"/>
      <c r="L9" s="28"/>
      <c r="M9" s="28"/>
      <c r="N9" s="8"/>
      <c r="O9" s="6"/>
      <c r="P9" s="30"/>
      <c r="Q9" s="28"/>
      <c r="R9" s="28"/>
    </row>
    <row r="10" spans="1:18">
      <c r="A10" s="2"/>
      <c r="B10" s="11"/>
      <c r="C10" s="6"/>
      <c r="D10" s="12"/>
      <c r="E10" s="544"/>
      <c r="F10" s="13"/>
      <c r="G10" s="13" t="s">
        <v>20</v>
      </c>
      <c r="H10" s="25">
        <f>SUM(H4:H9)</f>
        <v>2555</v>
      </c>
      <c r="I10" s="703"/>
      <c r="J10" s="703"/>
      <c r="K10" s="14"/>
      <c r="L10" s="13" t="s">
        <v>21</v>
      </c>
      <c r="M10" s="25">
        <f>SUM(M4:M9)</f>
        <v>1101.886</v>
      </c>
      <c r="N10" s="3"/>
      <c r="O10" s="14"/>
      <c r="P10" s="14"/>
      <c r="Q10" s="13" t="s">
        <v>22</v>
      </c>
      <c r="R10" s="25">
        <f>SUM(R4:R9)</f>
        <v>243.36</v>
      </c>
    </row>
    <row r="11" spans="1:18">
      <c r="A11" s="2"/>
      <c r="B11" s="16" t="s">
        <v>13</v>
      </c>
      <c r="C11" s="14"/>
      <c r="D11" s="14"/>
      <c r="E11" s="14"/>
      <c r="F11" s="14"/>
      <c r="G11" s="13"/>
      <c r="H11" s="35">
        <f>M10+R10+H10</f>
        <v>3900.2460000000001</v>
      </c>
      <c r="I11" s="17"/>
      <c r="J11" s="14"/>
      <c r="K11" s="14"/>
      <c r="L11" s="13"/>
      <c r="M11" s="15"/>
      <c r="N11" s="14"/>
      <c r="O11" s="14"/>
      <c r="P11" s="14"/>
      <c r="Q11" s="14"/>
      <c r="R11" s="17"/>
    </row>
    <row r="12" spans="1:18">
      <c r="A12" s="2"/>
      <c r="B12" s="11" t="s">
        <v>25</v>
      </c>
      <c r="C12" s="4"/>
      <c r="D12" s="4"/>
      <c r="E12" s="4"/>
      <c r="F12" s="4"/>
      <c r="G12" s="18"/>
      <c r="H12" s="36">
        <v>0</v>
      </c>
      <c r="I12" s="20"/>
      <c r="J12" s="4" t="s">
        <v>26</v>
      </c>
      <c r="K12" s="4"/>
      <c r="L12" s="18"/>
      <c r="M12" s="19"/>
      <c r="N12" s="4"/>
      <c r="O12" s="4"/>
      <c r="P12" s="4"/>
      <c r="Q12" s="4"/>
      <c r="R12" s="20"/>
    </row>
    <row r="13" spans="1:18">
      <c r="A13" s="23"/>
      <c r="B13" s="11" t="s">
        <v>14</v>
      </c>
      <c r="C13" s="4"/>
      <c r="D13" s="4"/>
      <c r="E13" s="4"/>
      <c r="F13" s="4"/>
      <c r="G13" s="18"/>
      <c r="H13" s="36">
        <f>SUM(H11:H12)</f>
        <v>3900.2460000000001</v>
      </c>
      <c r="I13" s="20"/>
      <c r="J13" s="741"/>
      <c r="K13" s="742"/>
      <c r="L13" s="742"/>
      <c r="M13" s="742"/>
      <c r="N13" s="742"/>
      <c r="O13" s="742"/>
      <c r="P13" s="742"/>
      <c r="Q13" s="742"/>
      <c r="R13" s="743"/>
    </row>
    <row r="14" spans="1:18">
      <c r="A14" s="23"/>
      <c r="B14" s="11" t="s">
        <v>24</v>
      </c>
      <c r="C14" s="4"/>
      <c r="D14" s="4"/>
      <c r="E14" s="4"/>
      <c r="F14" s="4"/>
      <c r="G14" s="18"/>
      <c r="H14" s="36">
        <f>H13*15%</f>
        <v>585.03689999999995</v>
      </c>
      <c r="I14" s="20"/>
      <c r="J14" s="744"/>
      <c r="K14" s="745"/>
      <c r="L14" s="745"/>
      <c r="M14" s="745"/>
      <c r="N14" s="745"/>
      <c r="O14" s="745"/>
      <c r="P14" s="745"/>
      <c r="Q14" s="745"/>
      <c r="R14" s="746"/>
    </row>
    <row r="15" spans="1:18">
      <c r="A15" s="23"/>
      <c r="B15" s="11" t="s">
        <v>15</v>
      </c>
      <c r="C15" s="4"/>
      <c r="D15" s="4"/>
      <c r="E15" s="4"/>
      <c r="F15" s="4"/>
      <c r="G15" s="21" t="s">
        <v>16</v>
      </c>
      <c r="H15" s="37">
        <f>H14+H13</f>
        <v>4485.2829000000002</v>
      </c>
      <c r="I15" s="38" t="str">
        <f>CONCATENATE("per ",C4, C5)</f>
        <v>per 1cum</v>
      </c>
      <c r="J15" s="744"/>
      <c r="K15" s="745"/>
      <c r="L15" s="745"/>
      <c r="M15" s="745"/>
      <c r="N15" s="745"/>
      <c r="O15" s="745"/>
      <c r="P15" s="745"/>
      <c r="Q15" s="745"/>
      <c r="R15" s="746"/>
    </row>
    <row r="16" spans="1:18">
      <c r="A16" s="23"/>
      <c r="B16" s="11"/>
      <c r="C16" s="4"/>
      <c r="D16" s="4"/>
      <c r="E16" s="4"/>
      <c r="F16" s="4"/>
      <c r="G16" s="21" t="s">
        <v>16</v>
      </c>
      <c r="H16" s="37">
        <f>H15/C4</f>
        <v>4485.2829000000002</v>
      </c>
      <c r="I16" s="38" t="str">
        <f>CONCATENATE("per ",C5)</f>
        <v>per cum</v>
      </c>
      <c r="J16" s="744"/>
      <c r="K16" s="745"/>
      <c r="L16" s="745"/>
      <c r="M16" s="745"/>
      <c r="N16" s="745"/>
      <c r="O16" s="745"/>
      <c r="P16" s="745"/>
      <c r="Q16" s="745"/>
      <c r="R16" s="746"/>
    </row>
    <row r="17" spans="1:18">
      <c r="A17" s="23"/>
      <c r="B17" s="11" t="s">
        <v>18</v>
      </c>
      <c r="C17" s="4" t="s">
        <v>19</v>
      </c>
      <c r="D17" s="4"/>
      <c r="E17" s="4"/>
      <c r="F17" s="4"/>
      <c r="G17" s="21" t="s">
        <v>16</v>
      </c>
      <c r="H17" s="37">
        <f>CEILING(H16,0.5)</f>
        <v>4485.5</v>
      </c>
      <c r="I17" s="38" t="str">
        <f>CONCATENATE("per ",C5)</f>
        <v>per cum</v>
      </c>
      <c r="J17" s="744"/>
      <c r="K17" s="745"/>
      <c r="L17" s="745"/>
      <c r="M17" s="745"/>
      <c r="N17" s="745"/>
      <c r="O17" s="745"/>
      <c r="P17" s="745"/>
      <c r="Q17" s="745"/>
      <c r="R17" s="746"/>
    </row>
    <row r="18" spans="1:18">
      <c r="A18" s="23"/>
      <c r="B18" s="11"/>
      <c r="C18" s="4"/>
      <c r="D18" s="4"/>
      <c r="E18" s="4"/>
      <c r="F18" s="4"/>
      <c r="G18" s="24" t="s">
        <v>17</v>
      </c>
      <c r="H18" s="37">
        <f>H17/exr</f>
        <v>34.503846153846155</v>
      </c>
      <c r="I18" s="38" t="str">
        <f>CONCATENATE("per ",C5)</f>
        <v>per cum</v>
      </c>
      <c r="J18" s="747"/>
      <c r="K18" s="748"/>
      <c r="L18" s="748"/>
      <c r="M18" s="748"/>
      <c r="N18" s="748"/>
      <c r="O18" s="748"/>
      <c r="P18" s="748"/>
      <c r="Q18" s="748"/>
      <c r="R18" s="749"/>
    </row>
    <row r="19" spans="1:18">
      <c r="A19" s="39"/>
      <c r="B19" s="40"/>
      <c r="C19" s="41"/>
      <c r="D19" s="41"/>
      <c r="E19" s="41"/>
      <c r="F19" s="41"/>
      <c r="G19" s="149" t="s">
        <v>460</v>
      </c>
      <c r="H19" s="150">
        <f>CEILING(SUM(M5)/H11,0.0025)</f>
        <v>0.28250000000000003</v>
      </c>
      <c r="I19" s="42"/>
      <c r="J19" s="43"/>
      <c r="K19" s="43"/>
      <c r="L19" s="43"/>
      <c r="M19" s="43"/>
      <c r="N19" s="43"/>
      <c r="O19" s="43"/>
      <c r="P19" s="43"/>
      <c r="Q19" s="43"/>
      <c r="R19" s="44"/>
    </row>
    <row r="20" spans="1:18">
      <c r="A20" s="22"/>
      <c r="B20" s="22"/>
      <c r="C20" s="22"/>
      <c r="D20" s="22"/>
      <c r="E20" s="22"/>
      <c r="F20" s="22"/>
      <c r="G20" s="22"/>
      <c r="H20" s="22"/>
      <c r="I20" s="22"/>
      <c r="J20" s="22"/>
      <c r="K20" s="22"/>
      <c r="L20" s="22"/>
      <c r="M20" s="22"/>
      <c r="N20" s="22"/>
      <c r="O20" s="22"/>
      <c r="P20" s="22"/>
      <c r="Q20" s="22"/>
      <c r="R20" s="22"/>
    </row>
    <row r="21" spans="1:18">
      <c r="A21" s="693" t="s">
        <v>0</v>
      </c>
      <c r="B21" s="695" t="s">
        <v>1</v>
      </c>
      <c r="C21" s="695" t="s">
        <v>2</v>
      </c>
      <c r="D21" s="697" t="s">
        <v>3</v>
      </c>
      <c r="E21" s="698"/>
      <c r="F21" s="698"/>
      <c r="G21" s="698"/>
      <c r="H21" s="698"/>
      <c r="I21" s="699" t="s">
        <v>4</v>
      </c>
      <c r="J21" s="700"/>
      <c r="K21" s="700"/>
      <c r="L21" s="700"/>
      <c r="M21" s="700"/>
      <c r="N21" s="698" t="s">
        <v>5</v>
      </c>
      <c r="O21" s="698"/>
      <c r="P21" s="698"/>
      <c r="Q21" s="698"/>
      <c r="R21" s="698"/>
    </row>
    <row r="22" spans="1:18">
      <c r="A22" s="694"/>
      <c r="B22" s="696"/>
      <c r="C22" s="696"/>
      <c r="D22" s="45" t="s">
        <v>6</v>
      </c>
      <c r="E22" s="46" t="s">
        <v>2</v>
      </c>
      <c r="F22" s="46" t="s">
        <v>7</v>
      </c>
      <c r="G22" s="46" t="s">
        <v>8</v>
      </c>
      <c r="H22" s="46" t="s">
        <v>9</v>
      </c>
      <c r="I22" s="46" t="s">
        <v>10</v>
      </c>
      <c r="J22" s="46" t="s">
        <v>2</v>
      </c>
      <c r="K22" s="46" t="s">
        <v>7</v>
      </c>
      <c r="L22" s="46" t="s">
        <v>8</v>
      </c>
      <c r="M22" s="47" t="s">
        <v>9</v>
      </c>
      <c r="N22" s="46" t="s">
        <v>10</v>
      </c>
      <c r="O22" s="46" t="s">
        <v>2</v>
      </c>
      <c r="P22" s="46" t="s">
        <v>7</v>
      </c>
      <c r="Q22" s="46" t="s">
        <v>8</v>
      </c>
      <c r="R22" s="46" t="s">
        <v>9</v>
      </c>
    </row>
    <row r="23" spans="1:18">
      <c r="A23" s="33" t="s">
        <v>23</v>
      </c>
      <c r="B23" s="73" t="s">
        <v>892</v>
      </c>
      <c r="C23" s="31"/>
      <c r="D23" s="31"/>
      <c r="E23" s="31"/>
      <c r="F23" s="31"/>
      <c r="G23" s="31"/>
      <c r="H23" s="31"/>
      <c r="I23" s="31"/>
      <c r="J23" s="31"/>
      <c r="K23" s="31"/>
      <c r="L23" s="31"/>
      <c r="M23" s="31"/>
      <c r="N23" s="31"/>
      <c r="O23" s="31"/>
      <c r="P23" s="31"/>
      <c r="Q23" s="31"/>
      <c r="R23" s="32"/>
    </row>
    <row r="24" spans="1:18">
      <c r="A24" s="34">
        <f>A4+1</f>
        <v>2</v>
      </c>
      <c r="B24" s="713" t="s">
        <v>896</v>
      </c>
      <c r="C24" s="66">
        <v>1</v>
      </c>
      <c r="D24" s="4"/>
      <c r="E24" s="6"/>
      <c r="F24" s="29"/>
      <c r="G24" s="26"/>
      <c r="H24" s="26"/>
      <c r="I24" s="6"/>
      <c r="J24" s="6"/>
      <c r="K24" s="29"/>
      <c r="L24" s="26"/>
      <c r="M24" s="26"/>
      <c r="N24" s="6"/>
      <c r="O24" s="6"/>
      <c r="P24" s="29"/>
      <c r="Q24" s="26"/>
      <c r="R24" s="26"/>
    </row>
    <row r="25" spans="1:18">
      <c r="A25" s="2"/>
      <c r="B25" s="714"/>
      <c r="C25" s="124" t="s">
        <v>11</v>
      </c>
      <c r="D25" s="4" t="s">
        <v>96</v>
      </c>
      <c r="E25" s="6" t="s">
        <v>81</v>
      </c>
      <c r="F25" s="29">
        <v>0.7</v>
      </c>
      <c r="G25" s="26">
        <f>sr</f>
        <v>1100</v>
      </c>
      <c r="H25" s="26">
        <f>F25*G25</f>
        <v>770</v>
      </c>
      <c r="I25" s="7" t="s">
        <v>894</v>
      </c>
      <c r="J25" s="8" t="s">
        <v>11</v>
      </c>
      <c r="K25" s="29">
        <v>1.1000000000000001</v>
      </c>
      <c r="L25" s="28">
        <f>stone</f>
        <v>1000</v>
      </c>
      <c r="M25" s="26">
        <f>K25*L25</f>
        <v>1100</v>
      </c>
      <c r="N25" s="8"/>
      <c r="O25" s="6"/>
      <c r="P25" s="29"/>
      <c r="Q25" s="28"/>
      <c r="R25" s="26"/>
    </row>
    <row r="26" spans="1:18">
      <c r="A26" s="2"/>
      <c r="B26" s="714"/>
      <c r="C26" s="6"/>
      <c r="D26" s="4" t="s">
        <v>97</v>
      </c>
      <c r="E26" s="6" t="s">
        <v>81</v>
      </c>
      <c r="F26" s="29">
        <v>5</v>
      </c>
      <c r="G26" s="26">
        <f>ur</f>
        <v>850</v>
      </c>
      <c r="H26" s="26">
        <f>F26*G26</f>
        <v>4250</v>
      </c>
      <c r="I26" s="7"/>
      <c r="J26" s="8"/>
      <c r="K26" s="29"/>
      <c r="L26" s="28"/>
      <c r="M26" s="26">
        <f>K26*L26</f>
        <v>0</v>
      </c>
      <c r="N26" s="8"/>
      <c r="O26" s="6"/>
      <c r="P26" s="29"/>
      <c r="Q26" s="28"/>
      <c r="R26" s="26"/>
    </row>
    <row r="27" spans="1:18">
      <c r="A27" s="2"/>
      <c r="B27" s="714"/>
      <c r="C27" s="6"/>
      <c r="D27" s="4"/>
      <c r="E27" s="6"/>
      <c r="F27" s="29"/>
      <c r="G27" s="26"/>
      <c r="H27" s="26"/>
      <c r="I27" s="7"/>
      <c r="J27" s="8"/>
      <c r="K27" s="29"/>
      <c r="L27" s="28"/>
      <c r="M27" s="26">
        <f>K27*L27</f>
        <v>0</v>
      </c>
      <c r="N27" s="8"/>
      <c r="O27" s="6"/>
      <c r="P27" s="29"/>
      <c r="Q27" s="28"/>
      <c r="R27" s="26"/>
    </row>
    <row r="28" spans="1:18">
      <c r="A28" s="2"/>
      <c r="B28" s="714"/>
      <c r="C28" s="6"/>
      <c r="D28" s="4"/>
      <c r="E28" s="6"/>
      <c r="F28" s="29"/>
      <c r="G28" s="26"/>
      <c r="H28" s="26"/>
      <c r="I28" s="7"/>
      <c r="J28" s="8"/>
      <c r="K28" s="29"/>
      <c r="L28" s="28"/>
      <c r="M28" s="28"/>
      <c r="N28" s="8"/>
      <c r="O28" s="6"/>
      <c r="P28" s="29"/>
      <c r="Q28" s="28"/>
      <c r="R28" s="28"/>
    </row>
    <row r="29" spans="1:18">
      <c r="A29" s="2"/>
      <c r="B29" s="5"/>
      <c r="C29" s="6"/>
      <c r="D29" s="4"/>
      <c r="E29" s="9"/>
      <c r="F29" s="30"/>
      <c r="G29" s="27"/>
      <c r="H29" s="27"/>
      <c r="I29" s="9"/>
      <c r="J29" s="10"/>
      <c r="K29" s="30"/>
      <c r="L29" s="28"/>
      <c r="M29" s="28"/>
      <c r="N29" s="8"/>
      <c r="O29" s="6"/>
      <c r="P29" s="30"/>
      <c r="Q29" s="28"/>
      <c r="R29" s="28"/>
    </row>
    <row r="30" spans="1:18">
      <c r="A30" s="2"/>
      <c r="B30" s="11"/>
      <c r="C30" s="6"/>
      <c r="D30" s="12"/>
      <c r="E30" s="544"/>
      <c r="F30" s="13"/>
      <c r="G30" s="13" t="s">
        <v>20</v>
      </c>
      <c r="H30" s="25">
        <f>SUM(H24:H29)</f>
        <v>5020</v>
      </c>
      <c r="I30" s="703"/>
      <c r="J30" s="703"/>
      <c r="K30" s="14"/>
      <c r="L30" s="13" t="s">
        <v>21</v>
      </c>
      <c r="M30" s="25">
        <f>SUM(M24:M29)</f>
        <v>1100</v>
      </c>
      <c r="N30" s="3"/>
      <c r="O30" s="14"/>
      <c r="P30" s="14"/>
      <c r="Q30" s="13" t="s">
        <v>22</v>
      </c>
      <c r="R30" s="25">
        <f>SUM(R24:R29)</f>
        <v>0</v>
      </c>
    </row>
    <row r="31" spans="1:18">
      <c r="A31" s="2"/>
      <c r="B31" s="16" t="s">
        <v>13</v>
      </c>
      <c r="C31" s="14"/>
      <c r="D31" s="14"/>
      <c r="E31" s="14"/>
      <c r="F31" s="14"/>
      <c r="G31" s="13"/>
      <c r="H31" s="35">
        <f>M30+R30+H30</f>
        <v>6120</v>
      </c>
      <c r="I31" s="17"/>
      <c r="J31" s="14"/>
      <c r="K31" s="14"/>
      <c r="L31" s="13"/>
      <c r="M31" s="15"/>
      <c r="N31" s="14"/>
      <c r="O31" s="14"/>
      <c r="P31" s="14"/>
      <c r="Q31" s="14"/>
      <c r="R31" s="17"/>
    </row>
    <row r="32" spans="1:18">
      <c r="A32" s="2"/>
      <c r="B32" s="11" t="s">
        <v>25</v>
      </c>
      <c r="C32" s="4"/>
      <c r="D32" s="4"/>
      <c r="E32" s="4"/>
      <c r="F32" s="4"/>
      <c r="G32" s="18"/>
      <c r="H32" s="36">
        <v>0</v>
      </c>
      <c r="I32" s="20"/>
      <c r="J32" s="4" t="s">
        <v>26</v>
      </c>
      <c r="K32" s="4"/>
      <c r="L32" s="18"/>
      <c r="M32" s="19"/>
      <c r="N32" s="4"/>
      <c r="O32" s="4"/>
      <c r="P32" s="4"/>
      <c r="Q32" s="4"/>
      <c r="R32" s="20"/>
    </row>
    <row r="33" spans="1:18">
      <c r="A33" s="23"/>
      <c r="B33" s="11" t="s">
        <v>14</v>
      </c>
      <c r="C33" s="4"/>
      <c r="D33" s="4"/>
      <c r="E33" s="4"/>
      <c r="F33" s="4"/>
      <c r="G33" s="18"/>
      <c r="H33" s="36">
        <f>SUM(H31:H32)</f>
        <v>6120</v>
      </c>
      <c r="I33" s="20"/>
      <c r="J33" s="741"/>
      <c r="K33" s="742"/>
      <c r="L33" s="742"/>
      <c r="M33" s="742"/>
      <c r="N33" s="742"/>
      <c r="O33" s="742"/>
      <c r="P33" s="742"/>
      <c r="Q33" s="742"/>
      <c r="R33" s="743"/>
    </row>
    <row r="34" spans="1:18">
      <c r="A34" s="23"/>
      <c r="B34" s="11" t="s">
        <v>24</v>
      </c>
      <c r="C34" s="4"/>
      <c r="D34" s="4"/>
      <c r="E34" s="4"/>
      <c r="F34" s="4"/>
      <c r="G34" s="18"/>
      <c r="H34" s="36">
        <f>H33*15%</f>
        <v>918</v>
      </c>
      <c r="I34" s="20"/>
      <c r="J34" s="744"/>
      <c r="K34" s="745"/>
      <c r="L34" s="745"/>
      <c r="M34" s="745"/>
      <c r="N34" s="745"/>
      <c r="O34" s="745"/>
      <c r="P34" s="745"/>
      <c r="Q34" s="745"/>
      <c r="R34" s="746"/>
    </row>
    <row r="35" spans="1:18">
      <c r="A35" s="23"/>
      <c r="B35" s="11" t="s">
        <v>15</v>
      </c>
      <c r="C35" s="4"/>
      <c r="D35" s="4"/>
      <c r="E35" s="4"/>
      <c r="F35" s="4"/>
      <c r="G35" s="21" t="s">
        <v>16</v>
      </c>
      <c r="H35" s="37">
        <f>H34+H33</f>
        <v>7038</v>
      </c>
      <c r="I35" s="38" t="str">
        <f>CONCATENATE("per ",C24, C25)</f>
        <v>per 1cum</v>
      </c>
      <c r="J35" s="744"/>
      <c r="K35" s="745"/>
      <c r="L35" s="745"/>
      <c r="M35" s="745"/>
      <c r="N35" s="745"/>
      <c r="O35" s="745"/>
      <c r="P35" s="745"/>
      <c r="Q35" s="745"/>
      <c r="R35" s="746"/>
    </row>
    <row r="36" spans="1:18">
      <c r="A36" s="23"/>
      <c r="B36" s="11"/>
      <c r="C36" s="4"/>
      <c r="D36" s="4"/>
      <c r="E36" s="4"/>
      <c r="F36" s="4"/>
      <c r="G36" s="21" t="s">
        <v>16</v>
      </c>
      <c r="H36" s="37">
        <f>H35/C24</f>
        <v>7038</v>
      </c>
      <c r="I36" s="38" t="str">
        <f>CONCATENATE("per ",C25)</f>
        <v>per cum</v>
      </c>
      <c r="J36" s="744"/>
      <c r="K36" s="745"/>
      <c r="L36" s="745"/>
      <c r="M36" s="745"/>
      <c r="N36" s="745"/>
      <c r="O36" s="745"/>
      <c r="P36" s="745"/>
      <c r="Q36" s="745"/>
      <c r="R36" s="746"/>
    </row>
    <row r="37" spans="1:18">
      <c r="A37" s="23"/>
      <c r="B37" s="11" t="s">
        <v>18</v>
      </c>
      <c r="C37" s="4" t="s">
        <v>19</v>
      </c>
      <c r="D37" s="4"/>
      <c r="E37" s="4"/>
      <c r="F37" s="4"/>
      <c r="G37" s="21" t="s">
        <v>16</v>
      </c>
      <c r="H37" s="37">
        <f>CEILING(H36,0.5)</f>
        <v>7038</v>
      </c>
      <c r="I37" s="38" t="str">
        <f>CONCATENATE("per ",C25)</f>
        <v>per cum</v>
      </c>
      <c r="J37" s="744"/>
      <c r="K37" s="745"/>
      <c r="L37" s="745"/>
      <c r="M37" s="745"/>
      <c r="N37" s="745"/>
      <c r="O37" s="745"/>
      <c r="P37" s="745"/>
      <c r="Q37" s="745"/>
      <c r="R37" s="746"/>
    </row>
    <row r="38" spans="1:18">
      <c r="A38" s="23"/>
      <c r="B38" s="11"/>
      <c r="C38" s="4"/>
      <c r="D38" s="4"/>
      <c r="E38" s="4"/>
      <c r="F38" s="4"/>
      <c r="G38" s="24" t="s">
        <v>17</v>
      </c>
      <c r="H38" s="37">
        <f>H37/exr</f>
        <v>54.138461538461542</v>
      </c>
      <c r="I38" s="38" t="str">
        <f>CONCATENATE("per ",C25)</f>
        <v>per cum</v>
      </c>
      <c r="J38" s="747"/>
      <c r="K38" s="748"/>
      <c r="L38" s="748"/>
      <c r="M38" s="748"/>
      <c r="N38" s="748"/>
      <c r="O38" s="748"/>
      <c r="P38" s="748"/>
      <c r="Q38" s="748"/>
      <c r="R38" s="749"/>
    </row>
    <row r="39" spans="1:18">
      <c r="A39" s="39"/>
      <c r="B39" s="40"/>
      <c r="C39" s="41"/>
      <c r="D39" s="41"/>
      <c r="E39" s="41"/>
      <c r="F39" s="41"/>
      <c r="G39" s="149" t="s">
        <v>460</v>
      </c>
      <c r="H39" s="150">
        <f>CEILING(SUM(M25)/H31,0.0025)</f>
        <v>0.18</v>
      </c>
      <c r="I39" s="42"/>
      <c r="J39" s="43"/>
      <c r="K39" s="43"/>
      <c r="L39" s="43"/>
      <c r="M39" s="43"/>
      <c r="N39" s="43"/>
      <c r="O39" s="43"/>
      <c r="P39" s="43"/>
      <c r="Q39" s="43"/>
      <c r="R39" s="44"/>
    </row>
    <row r="41" spans="1:18">
      <c r="A41" s="693" t="s">
        <v>0</v>
      </c>
      <c r="B41" s="695" t="s">
        <v>1</v>
      </c>
      <c r="C41" s="695" t="s">
        <v>2</v>
      </c>
      <c r="D41" s="697" t="s">
        <v>3</v>
      </c>
      <c r="E41" s="698"/>
      <c r="F41" s="698"/>
      <c r="G41" s="698"/>
      <c r="H41" s="698"/>
      <c r="I41" s="699" t="s">
        <v>4</v>
      </c>
      <c r="J41" s="700"/>
      <c r="K41" s="700"/>
      <c r="L41" s="700"/>
      <c r="M41" s="700"/>
      <c r="N41" s="698" t="s">
        <v>5</v>
      </c>
      <c r="O41" s="698"/>
      <c r="P41" s="698"/>
      <c r="Q41" s="698"/>
      <c r="R41" s="698"/>
    </row>
    <row r="42" spans="1:18">
      <c r="A42" s="694"/>
      <c r="B42" s="696"/>
      <c r="C42" s="696"/>
      <c r="D42" s="45" t="s">
        <v>6</v>
      </c>
      <c r="E42" s="46" t="s">
        <v>2</v>
      </c>
      <c r="F42" s="46" t="s">
        <v>7</v>
      </c>
      <c r="G42" s="46" t="s">
        <v>8</v>
      </c>
      <c r="H42" s="46" t="s">
        <v>9</v>
      </c>
      <c r="I42" s="46" t="s">
        <v>10</v>
      </c>
      <c r="J42" s="46" t="s">
        <v>2</v>
      </c>
      <c r="K42" s="46" t="s">
        <v>7</v>
      </c>
      <c r="L42" s="46" t="s">
        <v>8</v>
      </c>
      <c r="M42" s="47" t="s">
        <v>9</v>
      </c>
      <c r="N42" s="46" t="s">
        <v>10</v>
      </c>
      <c r="O42" s="46" t="s">
        <v>2</v>
      </c>
      <c r="P42" s="46" t="s">
        <v>7</v>
      </c>
      <c r="Q42" s="46" t="s">
        <v>8</v>
      </c>
      <c r="R42" s="46" t="s">
        <v>9</v>
      </c>
    </row>
    <row r="43" spans="1:18">
      <c r="A43" s="33" t="s">
        <v>23</v>
      </c>
      <c r="B43" s="73" t="s">
        <v>367</v>
      </c>
      <c r="C43" s="31"/>
      <c r="D43" s="31"/>
      <c r="E43" s="31"/>
      <c r="F43" s="31"/>
      <c r="G43" s="31"/>
      <c r="H43" s="31"/>
      <c r="I43" s="31"/>
      <c r="J43" s="31"/>
      <c r="K43" s="31"/>
      <c r="L43" s="31"/>
      <c r="M43" s="31"/>
      <c r="N43" s="31"/>
      <c r="O43" s="31"/>
      <c r="P43" s="31"/>
      <c r="Q43" s="31"/>
      <c r="R43" s="32"/>
    </row>
    <row r="44" spans="1:18">
      <c r="A44" s="34">
        <f>A24+1</f>
        <v>3</v>
      </c>
      <c r="B44" s="713" t="s">
        <v>897</v>
      </c>
      <c r="C44" s="66">
        <v>1</v>
      </c>
      <c r="D44" s="4"/>
      <c r="E44" s="6"/>
      <c r="F44" s="29"/>
      <c r="G44" s="26"/>
      <c r="H44" s="26"/>
      <c r="I44" s="6"/>
      <c r="J44" s="6"/>
      <c r="K44" s="29"/>
      <c r="L44" s="26"/>
      <c r="M44" s="26"/>
      <c r="N44" s="6"/>
      <c r="O44" s="6"/>
      <c r="P44" s="29"/>
      <c r="Q44" s="26"/>
      <c r="R44" s="26"/>
    </row>
    <row r="45" spans="1:18">
      <c r="A45" s="2"/>
      <c r="B45" s="714"/>
      <c r="C45" s="124" t="s">
        <v>11</v>
      </c>
      <c r="D45" s="4" t="s">
        <v>96</v>
      </c>
      <c r="E45" s="6" t="s">
        <v>81</v>
      </c>
      <c r="F45" s="29">
        <v>0.7</v>
      </c>
      <c r="G45" s="26">
        <f>sr</f>
        <v>1100</v>
      </c>
      <c r="H45" s="26">
        <f>F45*G45</f>
        <v>770</v>
      </c>
      <c r="I45" s="7" t="s">
        <v>894</v>
      </c>
      <c r="J45" s="8" t="s">
        <v>11</v>
      </c>
      <c r="K45" s="29">
        <v>1.1000000000000001</v>
      </c>
      <c r="L45" s="28">
        <f>stone</f>
        <v>1000</v>
      </c>
      <c r="M45" s="26">
        <f>K45*L45</f>
        <v>1100</v>
      </c>
      <c r="N45" s="8" t="s">
        <v>898</v>
      </c>
      <c r="O45" s="6" t="s">
        <v>101</v>
      </c>
      <c r="P45" s="29">
        <v>0.15</v>
      </c>
      <c r="Q45" s="28">
        <f>crane</f>
        <v>3785.6</v>
      </c>
      <c r="R45" s="26">
        <f>P45*Q45</f>
        <v>567.83999999999992</v>
      </c>
    </row>
    <row r="46" spans="1:18">
      <c r="A46" s="2"/>
      <c r="B46" s="714"/>
      <c r="C46" s="6"/>
      <c r="D46" s="4" t="s">
        <v>97</v>
      </c>
      <c r="E46" s="6" t="s">
        <v>81</v>
      </c>
      <c r="F46" s="29">
        <v>2.1</v>
      </c>
      <c r="G46" s="26">
        <f>ur</f>
        <v>850</v>
      </c>
      <c r="H46" s="26">
        <f>F46*G46</f>
        <v>1785</v>
      </c>
      <c r="I46" s="7" t="s">
        <v>67</v>
      </c>
      <c r="J46" s="8" t="s">
        <v>250</v>
      </c>
      <c r="K46" s="29">
        <v>2.5</v>
      </c>
      <c r="L46" s="28">
        <f>diesel</f>
        <v>177.6</v>
      </c>
      <c r="M46" s="26">
        <f>K46*L46</f>
        <v>444</v>
      </c>
      <c r="N46" s="8"/>
      <c r="O46" s="6"/>
      <c r="P46" s="29"/>
      <c r="Q46" s="28"/>
      <c r="R46" s="26"/>
    </row>
    <row r="47" spans="1:18">
      <c r="A47" s="2"/>
      <c r="B47" s="714"/>
      <c r="C47" s="6"/>
      <c r="D47" s="4"/>
      <c r="E47" s="6"/>
      <c r="F47" s="29"/>
      <c r="G47" s="26"/>
      <c r="H47" s="26"/>
      <c r="I47" s="7"/>
      <c r="J47" s="8"/>
      <c r="K47" s="29"/>
      <c r="L47" s="28"/>
      <c r="M47" s="26">
        <f>K47*L47</f>
        <v>0</v>
      </c>
      <c r="N47" s="8"/>
      <c r="O47" s="6"/>
      <c r="P47" s="29"/>
      <c r="Q47" s="28"/>
      <c r="R47" s="26"/>
    </row>
    <row r="48" spans="1:18">
      <c r="A48" s="2"/>
      <c r="B48" s="714"/>
      <c r="C48" s="6"/>
      <c r="D48" s="4"/>
      <c r="E48" s="6"/>
      <c r="F48" s="29"/>
      <c r="G48" s="26"/>
      <c r="H48" s="26"/>
      <c r="I48" s="7"/>
      <c r="J48" s="8"/>
      <c r="K48" s="29"/>
      <c r="L48" s="28"/>
      <c r="M48" s="28"/>
      <c r="N48" s="8"/>
      <c r="O48" s="6"/>
      <c r="P48" s="29"/>
      <c r="Q48" s="28"/>
      <c r="R48" s="28"/>
    </row>
    <row r="49" spans="1:18">
      <c r="A49" s="2"/>
      <c r="B49" s="5"/>
      <c r="C49" s="6"/>
      <c r="D49" s="4"/>
      <c r="E49" s="9"/>
      <c r="F49" s="30"/>
      <c r="G49" s="27"/>
      <c r="H49" s="27"/>
      <c r="I49" s="9"/>
      <c r="J49" s="10"/>
      <c r="K49" s="30"/>
      <c r="L49" s="28"/>
      <c r="M49" s="28"/>
      <c r="N49" s="8"/>
      <c r="O49" s="6"/>
      <c r="P49" s="30"/>
      <c r="Q49" s="28"/>
      <c r="R49" s="28"/>
    </row>
    <row r="50" spans="1:18">
      <c r="A50" s="2"/>
      <c r="B50" s="11"/>
      <c r="C50" s="6"/>
      <c r="D50" s="12"/>
      <c r="E50" s="544"/>
      <c r="F50" s="13"/>
      <c r="G50" s="13" t="s">
        <v>20</v>
      </c>
      <c r="H50" s="25">
        <f>SUM(H44:H49)</f>
        <v>2555</v>
      </c>
      <c r="I50" s="703"/>
      <c r="J50" s="703"/>
      <c r="K50" s="14"/>
      <c r="L50" s="13" t="s">
        <v>21</v>
      </c>
      <c r="M50" s="25">
        <f>SUM(M44:M49)</f>
        <v>1544</v>
      </c>
      <c r="N50" s="3"/>
      <c r="O50" s="14"/>
      <c r="P50" s="14"/>
      <c r="Q50" s="13" t="s">
        <v>22</v>
      </c>
      <c r="R50" s="25">
        <f>SUM(R44:R49)</f>
        <v>567.83999999999992</v>
      </c>
    </row>
    <row r="51" spans="1:18">
      <c r="A51" s="2"/>
      <c r="B51" s="16" t="s">
        <v>13</v>
      </c>
      <c r="C51" s="14"/>
      <c r="D51" s="14"/>
      <c r="E51" s="14"/>
      <c r="F51" s="14"/>
      <c r="G51" s="13"/>
      <c r="H51" s="35">
        <f>M50+R50+H50</f>
        <v>4666.84</v>
      </c>
      <c r="I51" s="17"/>
      <c r="J51" s="14"/>
      <c r="K51" s="14"/>
      <c r="L51" s="13"/>
      <c r="M51" s="15"/>
      <c r="N51" s="14"/>
      <c r="O51" s="14"/>
      <c r="P51" s="14"/>
      <c r="Q51" s="14"/>
      <c r="R51" s="17"/>
    </row>
    <row r="52" spans="1:18">
      <c r="A52" s="2"/>
      <c r="B52" s="11" t="s">
        <v>25</v>
      </c>
      <c r="C52" s="4"/>
      <c r="D52" s="4"/>
      <c r="E52" s="4"/>
      <c r="F52" s="4"/>
      <c r="G52" s="18"/>
      <c r="H52" s="36">
        <v>0</v>
      </c>
      <c r="I52" s="20"/>
      <c r="J52" s="4" t="s">
        <v>26</v>
      </c>
      <c r="K52" s="4"/>
      <c r="L52" s="18"/>
      <c r="M52" s="19"/>
      <c r="N52" s="4"/>
      <c r="O52" s="4"/>
      <c r="P52" s="4"/>
      <c r="Q52" s="4"/>
      <c r="R52" s="20"/>
    </row>
    <row r="53" spans="1:18">
      <c r="A53" s="23"/>
      <c r="B53" s="11" t="s">
        <v>14</v>
      </c>
      <c r="C53" s="4"/>
      <c r="D53" s="4"/>
      <c r="E53" s="4"/>
      <c r="F53" s="4"/>
      <c r="G53" s="18"/>
      <c r="H53" s="36">
        <f>SUM(H51:H52)</f>
        <v>4666.84</v>
      </c>
      <c r="I53" s="20"/>
      <c r="J53" s="741"/>
      <c r="K53" s="742"/>
      <c r="L53" s="742"/>
      <c r="M53" s="742"/>
      <c r="N53" s="742"/>
      <c r="O53" s="742"/>
      <c r="P53" s="742"/>
      <c r="Q53" s="742"/>
      <c r="R53" s="743"/>
    </row>
    <row r="54" spans="1:18">
      <c r="A54" s="23"/>
      <c r="B54" s="11" t="s">
        <v>24</v>
      </c>
      <c r="C54" s="4"/>
      <c r="D54" s="4"/>
      <c r="E54" s="4"/>
      <c r="F54" s="4"/>
      <c r="G54" s="18"/>
      <c r="H54" s="36">
        <f>H53*15%</f>
        <v>700.02599999999995</v>
      </c>
      <c r="I54" s="20"/>
      <c r="J54" s="744"/>
      <c r="K54" s="745"/>
      <c r="L54" s="745"/>
      <c r="M54" s="745"/>
      <c r="N54" s="745"/>
      <c r="O54" s="745"/>
      <c r="P54" s="745"/>
      <c r="Q54" s="745"/>
      <c r="R54" s="746"/>
    </row>
    <row r="55" spans="1:18">
      <c r="A55" s="23"/>
      <c r="B55" s="11" t="s">
        <v>15</v>
      </c>
      <c r="C55" s="4"/>
      <c r="D55" s="4"/>
      <c r="E55" s="4"/>
      <c r="F55" s="4"/>
      <c r="G55" s="21" t="s">
        <v>16</v>
      </c>
      <c r="H55" s="37">
        <f>H54+H53</f>
        <v>5366.866</v>
      </c>
      <c r="I55" s="38" t="str">
        <f>CONCATENATE("per ",C44, C45)</f>
        <v>per 1cum</v>
      </c>
      <c r="J55" s="744"/>
      <c r="K55" s="745"/>
      <c r="L55" s="745"/>
      <c r="M55" s="745"/>
      <c r="N55" s="745"/>
      <c r="O55" s="745"/>
      <c r="P55" s="745"/>
      <c r="Q55" s="745"/>
      <c r="R55" s="746"/>
    </row>
    <row r="56" spans="1:18">
      <c r="A56" s="23"/>
      <c r="B56" s="11"/>
      <c r="C56" s="4"/>
      <c r="D56" s="4"/>
      <c r="E56" s="4"/>
      <c r="F56" s="4"/>
      <c r="G56" s="21" t="s">
        <v>16</v>
      </c>
      <c r="H56" s="37">
        <f>H55/C44</f>
        <v>5366.866</v>
      </c>
      <c r="I56" s="38" t="str">
        <f>CONCATENATE("per ",C45)</f>
        <v>per cum</v>
      </c>
      <c r="J56" s="744"/>
      <c r="K56" s="745"/>
      <c r="L56" s="745"/>
      <c r="M56" s="745"/>
      <c r="N56" s="745"/>
      <c r="O56" s="745"/>
      <c r="P56" s="745"/>
      <c r="Q56" s="745"/>
      <c r="R56" s="746"/>
    </row>
    <row r="57" spans="1:18">
      <c r="A57" s="23"/>
      <c r="B57" s="11" t="s">
        <v>18</v>
      </c>
      <c r="C57" s="4" t="s">
        <v>19</v>
      </c>
      <c r="D57" s="4"/>
      <c r="E57" s="4"/>
      <c r="F57" s="4"/>
      <c r="G57" s="21" t="s">
        <v>16</v>
      </c>
      <c r="H57" s="37">
        <f>CEILING(H56,0.5)</f>
        <v>5367</v>
      </c>
      <c r="I57" s="38" t="str">
        <f>CONCATENATE("per ",C45)</f>
        <v>per cum</v>
      </c>
      <c r="J57" s="744"/>
      <c r="K57" s="745"/>
      <c r="L57" s="745"/>
      <c r="M57" s="745"/>
      <c r="N57" s="745"/>
      <c r="O57" s="745"/>
      <c r="P57" s="745"/>
      <c r="Q57" s="745"/>
      <c r="R57" s="746"/>
    </row>
    <row r="58" spans="1:18">
      <c r="A58" s="23"/>
      <c r="B58" s="11"/>
      <c r="C58" s="4"/>
      <c r="D58" s="4"/>
      <c r="E58" s="4"/>
      <c r="F58" s="4"/>
      <c r="G58" s="24" t="s">
        <v>17</v>
      </c>
      <c r="H58" s="37">
        <f>H57/exr</f>
        <v>41.284615384615385</v>
      </c>
      <c r="I58" s="38" t="str">
        <f>CONCATENATE("per ",C45)</f>
        <v>per cum</v>
      </c>
      <c r="J58" s="747"/>
      <c r="K58" s="748"/>
      <c r="L58" s="748"/>
      <c r="M58" s="748"/>
      <c r="N58" s="748"/>
      <c r="O58" s="748"/>
      <c r="P58" s="748"/>
      <c r="Q58" s="748"/>
      <c r="R58" s="749"/>
    </row>
    <row r="59" spans="1:18">
      <c r="A59" s="39"/>
      <c r="B59" s="40"/>
      <c r="C59" s="41"/>
      <c r="D59" s="41"/>
      <c r="E59" s="41"/>
      <c r="F59" s="41"/>
      <c r="G59" s="149" t="s">
        <v>460</v>
      </c>
      <c r="H59" s="150">
        <f>CEILING(SUM(M45)/H51,0.0025)</f>
        <v>0.23750000000000002</v>
      </c>
      <c r="I59" s="42"/>
      <c r="J59" s="43"/>
      <c r="K59" s="43"/>
      <c r="L59" s="43"/>
      <c r="M59" s="43"/>
      <c r="N59" s="43"/>
      <c r="O59" s="43"/>
      <c r="P59" s="43"/>
      <c r="Q59" s="43"/>
      <c r="R59" s="44"/>
    </row>
  </sheetData>
  <mergeCells count="27">
    <mergeCell ref="B44:B48"/>
    <mergeCell ref="I50:J50"/>
    <mergeCell ref="J53:R58"/>
    <mergeCell ref="B24:B28"/>
    <mergeCell ref="I30:J30"/>
    <mergeCell ref="J33:R38"/>
    <mergeCell ref="N41:R41"/>
    <mergeCell ref="A41:A42"/>
    <mergeCell ref="B41:B42"/>
    <mergeCell ref="C41:C42"/>
    <mergeCell ref="D41:H41"/>
    <mergeCell ref="I41:M41"/>
    <mergeCell ref="B4:B8"/>
    <mergeCell ref="I10:J10"/>
    <mergeCell ref="J13:R18"/>
    <mergeCell ref="A21:A22"/>
    <mergeCell ref="B21:B22"/>
    <mergeCell ref="C21:C22"/>
    <mergeCell ref="D21:H21"/>
    <mergeCell ref="I21:M21"/>
    <mergeCell ref="N21:R21"/>
    <mergeCell ref="N1:R1"/>
    <mergeCell ref="A1:A2"/>
    <mergeCell ref="B1:B2"/>
    <mergeCell ref="C1:C2"/>
    <mergeCell ref="D1:H1"/>
    <mergeCell ref="I1:M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selection sqref="A1:A2"/>
    </sheetView>
  </sheetViews>
  <sheetFormatPr defaultColWidth="9.140625" defaultRowHeight="15.75"/>
  <cols>
    <col min="1" max="1" width="10.7109375" style="1" customWidth="1"/>
    <col min="2" max="2" width="33" style="1" customWidth="1"/>
    <col min="3" max="3" width="5.28515625" style="1" customWidth="1"/>
    <col min="4" max="4" width="9.140625" style="1"/>
    <col min="5" max="5" width="5.28515625" style="1" customWidth="1"/>
    <col min="6" max="7" width="9.28515625" style="1" bestFit="1" customWidth="1"/>
    <col min="8" max="8" width="10.7109375" style="1" customWidth="1"/>
    <col min="9" max="9" width="20.140625" style="1" customWidth="1"/>
    <col min="10" max="10" width="5.28515625" style="1" customWidth="1"/>
    <col min="11" max="11" width="9.28515625" style="1" bestFit="1" customWidth="1"/>
    <col min="12" max="12" width="9.42578125" style="1" bestFit="1" customWidth="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899</v>
      </c>
      <c r="C3" s="31"/>
      <c r="D3" s="31"/>
      <c r="E3" s="31"/>
      <c r="F3" s="31"/>
      <c r="G3" s="31"/>
      <c r="H3" s="31"/>
      <c r="I3" s="31"/>
      <c r="J3" s="31"/>
      <c r="K3" s="31"/>
      <c r="L3" s="31"/>
      <c r="M3" s="31"/>
      <c r="N3" s="31"/>
      <c r="O3" s="31"/>
      <c r="P3" s="31"/>
      <c r="Q3" s="31"/>
      <c r="R3" s="32"/>
    </row>
    <row r="4" spans="1:18" ht="15.75" customHeight="1">
      <c r="A4" s="34">
        <v>1</v>
      </c>
      <c r="B4" s="713" t="s">
        <v>907</v>
      </c>
      <c r="C4" s="66">
        <v>1</v>
      </c>
      <c r="D4" s="4"/>
      <c r="E4" s="6"/>
      <c r="F4" s="29"/>
      <c r="G4" s="26"/>
      <c r="H4" s="26"/>
      <c r="I4" s="6"/>
      <c r="J4" s="6"/>
      <c r="K4" s="29"/>
      <c r="L4" s="26"/>
      <c r="M4" s="26"/>
      <c r="N4" s="6"/>
      <c r="O4" s="6"/>
      <c r="P4" s="29"/>
      <c r="Q4" s="26"/>
      <c r="R4" s="26"/>
    </row>
    <row r="5" spans="1:18">
      <c r="A5" s="2"/>
      <c r="B5" s="714"/>
      <c r="C5" s="124" t="s">
        <v>47</v>
      </c>
      <c r="D5" s="4" t="s">
        <v>78</v>
      </c>
      <c r="E5" s="6" t="s">
        <v>81</v>
      </c>
      <c r="F5" s="29">
        <v>0.1</v>
      </c>
      <c r="G5" s="26">
        <f>er</f>
        <v>1750</v>
      </c>
      <c r="H5" s="26">
        <f>F5*G5</f>
        <v>175</v>
      </c>
      <c r="I5" s="7" t="s">
        <v>902</v>
      </c>
      <c r="J5" s="8" t="s">
        <v>800</v>
      </c>
      <c r="K5" s="29">
        <v>0.1</v>
      </c>
      <c r="L5" s="28">
        <f>Drillbit_32</f>
        <v>3709.37</v>
      </c>
      <c r="M5" s="26">
        <f>K5*L5</f>
        <v>370.93700000000001</v>
      </c>
      <c r="N5" s="8" t="s">
        <v>904</v>
      </c>
      <c r="O5" s="6" t="s">
        <v>101</v>
      </c>
      <c r="P5" s="29">
        <v>2.56</v>
      </c>
      <c r="Q5" s="28">
        <f>rockdriller_pneumatic</f>
        <v>324.48</v>
      </c>
      <c r="R5" s="26">
        <f>P5*Q5</f>
        <v>830.66880000000003</v>
      </c>
    </row>
    <row r="6" spans="1:18">
      <c r="A6" s="2"/>
      <c r="B6" s="714"/>
      <c r="C6" s="6"/>
      <c r="D6" s="4" t="s">
        <v>900</v>
      </c>
      <c r="E6" s="6" t="s">
        <v>81</v>
      </c>
      <c r="F6" s="29">
        <v>0.3</v>
      </c>
      <c r="G6" s="26">
        <f>tech</f>
        <v>1100</v>
      </c>
      <c r="H6" s="26">
        <f>F6*G6</f>
        <v>330</v>
      </c>
      <c r="I6" s="7" t="s">
        <v>67</v>
      </c>
      <c r="J6" s="8" t="s">
        <v>250</v>
      </c>
      <c r="K6" s="29">
        <v>12</v>
      </c>
      <c r="L6" s="28">
        <f>diesel</f>
        <v>177.6</v>
      </c>
      <c r="M6" s="26">
        <f t="shared" ref="M6:M8" si="0">K6*L6</f>
        <v>2131.1999999999998</v>
      </c>
      <c r="N6" s="8"/>
      <c r="O6" s="6"/>
      <c r="P6" s="29"/>
      <c r="Q6" s="28"/>
      <c r="R6" s="26">
        <f>P6*Q6</f>
        <v>0</v>
      </c>
    </row>
    <row r="7" spans="1:18">
      <c r="A7" s="2"/>
      <c r="B7" s="714"/>
      <c r="C7" s="6"/>
      <c r="D7" s="4" t="s">
        <v>89</v>
      </c>
      <c r="E7" s="6" t="s">
        <v>81</v>
      </c>
      <c r="F7" s="29">
        <v>0.3</v>
      </c>
      <c r="G7" s="26">
        <f>dr</f>
        <v>1100</v>
      </c>
      <c r="H7" s="26">
        <f t="shared" ref="H7:H9" si="1">F7*G7</f>
        <v>330</v>
      </c>
      <c r="I7" s="7" t="s">
        <v>903</v>
      </c>
      <c r="J7" s="8" t="s">
        <v>47</v>
      </c>
      <c r="K7" s="29">
        <v>1</v>
      </c>
      <c r="L7" s="28">
        <v>200</v>
      </c>
      <c r="M7" s="26">
        <f t="shared" si="0"/>
        <v>200</v>
      </c>
      <c r="N7" s="8"/>
      <c r="O7" s="6"/>
      <c r="P7" s="29"/>
      <c r="Q7" s="28"/>
      <c r="R7" s="26"/>
    </row>
    <row r="8" spans="1:18">
      <c r="A8" s="2"/>
      <c r="B8" s="714"/>
      <c r="C8" s="6"/>
      <c r="D8" s="4" t="s">
        <v>86</v>
      </c>
      <c r="E8" s="6" t="s">
        <v>81</v>
      </c>
      <c r="F8" s="29">
        <v>0.6</v>
      </c>
      <c r="G8" s="26">
        <f>hr</f>
        <v>750</v>
      </c>
      <c r="H8" s="26">
        <f t="shared" si="1"/>
        <v>450</v>
      </c>
      <c r="I8" s="7" t="s">
        <v>255</v>
      </c>
      <c r="J8" s="8" t="s">
        <v>250</v>
      </c>
      <c r="K8" s="29">
        <v>1500</v>
      </c>
      <c r="L8" s="28"/>
      <c r="M8" s="26">
        <f t="shared" si="0"/>
        <v>0</v>
      </c>
      <c r="N8" s="8"/>
      <c r="O8" s="6"/>
      <c r="P8" s="29"/>
      <c r="Q8" s="28"/>
      <c r="R8" s="28"/>
    </row>
    <row r="9" spans="1:18">
      <c r="A9" s="2"/>
      <c r="B9" s="126" t="s">
        <v>906</v>
      </c>
      <c r="C9" s="6"/>
      <c r="D9" s="4" t="s">
        <v>901</v>
      </c>
      <c r="E9" s="9" t="s">
        <v>81</v>
      </c>
      <c r="F9" s="29">
        <v>2</v>
      </c>
      <c r="G9" s="26">
        <f>ur</f>
        <v>850</v>
      </c>
      <c r="H9" s="26">
        <f t="shared" si="1"/>
        <v>1700</v>
      </c>
      <c r="I9" s="7"/>
      <c r="J9" s="8"/>
      <c r="K9" s="29"/>
      <c r="L9" s="28"/>
      <c r="M9" s="28"/>
      <c r="N9" s="8"/>
      <c r="O9" s="6"/>
      <c r="P9" s="29"/>
      <c r="Q9" s="28"/>
      <c r="R9" s="28"/>
    </row>
    <row r="10" spans="1:18">
      <c r="A10" s="2"/>
      <c r="B10" s="5"/>
      <c r="C10" s="6"/>
      <c r="D10" s="4"/>
      <c r="E10" s="9"/>
      <c r="F10" s="30"/>
      <c r="G10" s="27"/>
      <c r="H10" s="27"/>
      <c r="I10" s="9"/>
      <c r="J10" s="10"/>
      <c r="K10" s="30"/>
      <c r="L10" s="28"/>
      <c r="M10" s="28"/>
      <c r="N10" s="8"/>
      <c r="O10" s="6"/>
      <c r="P10" s="30"/>
      <c r="Q10" s="28"/>
      <c r="R10" s="28"/>
    </row>
    <row r="11" spans="1:18">
      <c r="A11" s="2"/>
      <c r="B11" s="11"/>
      <c r="C11" s="6"/>
      <c r="D11" s="12"/>
      <c r="E11" s="544"/>
      <c r="F11" s="13"/>
      <c r="G11" s="13" t="s">
        <v>20</v>
      </c>
      <c r="H11" s="25">
        <f>SUM(H4:H10)</f>
        <v>2985</v>
      </c>
      <c r="I11" s="703"/>
      <c r="J11" s="703"/>
      <c r="K11" s="14"/>
      <c r="L11" s="13" t="s">
        <v>21</v>
      </c>
      <c r="M11" s="25">
        <f>SUM(M4:M10)</f>
        <v>2702.1369999999997</v>
      </c>
      <c r="N11" s="3"/>
      <c r="O11" s="14"/>
      <c r="P11" s="14"/>
      <c r="Q11" s="13" t="s">
        <v>22</v>
      </c>
      <c r="R11" s="25">
        <f>SUM(R4:R10)</f>
        <v>830.66880000000003</v>
      </c>
    </row>
    <row r="12" spans="1:18">
      <c r="A12" s="2"/>
      <c r="B12" s="16" t="s">
        <v>13</v>
      </c>
      <c r="C12" s="14"/>
      <c r="D12" s="14"/>
      <c r="E12" s="14"/>
      <c r="F12" s="14"/>
      <c r="G12" s="13"/>
      <c r="H12" s="35">
        <f>M11+R11+H11</f>
        <v>6517.8058000000001</v>
      </c>
      <c r="I12" s="17"/>
      <c r="J12" s="14"/>
      <c r="K12" s="14"/>
      <c r="L12" s="13"/>
      <c r="M12" s="15"/>
      <c r="N12" s="14"/>
      <c r="O12" s="14"/>
      <c r="P12" s="14"/>
      <c r="Q12" s="14"/>
      <c r="R12" s="17"/>
    </row>
    <row r="13" spans="1:18">
      <c r="A13" s="2"/>
      <c r="B13" s="11" t="s">
        <v>25</v>
      </c>
      <c r="C13" s="4"/>
      <c r="D13" s="4"/>
      <c r="E13" s="4"/>
      <c r="F13" s="4"/>
      <c r="G13" s="18"/>
      <c r="H13" s="36">
        <v>0</v>
      </c>
      <c r="I13" s="20"/>
      <c r="J13" s="4" t="s">
        <v>26</v>
      </c>
      <c r="K13" s="4"/>
      <c r="L13" s="18"/>
      <c r="M13" s="19"/>
      <c r="N13" s="4"/>
      <c r="O13" s="4"/>
      <c r="P13" s="4"/>
      <c r="Q13" s="4"/>
      <c r="R13" s="20"/>
    </row>
    <row r="14" spans="1:18">
      <c r="A14" s="23"/>
      <c r="B14" s="11" t="s">
        <v>14</v>
      </c>
      <c r="C14" s="4"/>
      <c r="D14" s="4"/>
      <c r="E14" s="4"/>
      <c r="F14" s="4"/>
      <c r="G14" s="18"/>
      <c r="H14" s="36">
        <f>SUM(H12:H13)</f>
        <v>6517.8058000000001</v>
      </c>
      <c r="I14" s="20"/>
      <c r="J14" s="741"/>
      <c r="K14" s="742"/>
      <c r="L14" s="742"/>
      <c r="M14" s="742"/>
      <c r="N14" s="742"/>
      <c r="O14" s="742"/>
      <c r="P14" s="742"/>
      <c r="Q14" s="742"/>
      <c r="R14" s="743"/>
    </row>
    <row r="15" spans="1:18">
      <c r="A15" s="23"/>
      <c r="B15" s="11" t="s">
        <v>24</v>
      </c>
      <c r="C15" s="4"/>
      <c r="D15" s="4"/>
      <c r="E15" s="4"/>
      <c r="F15" s="4"/>
      <c r="G15" s="18"/>
      <c r="H15" s="36">
        <f>H14*15%</f>
        <v>977.67086999999992</v>
      </c>
      <c r="I15" s="20"/>
      <c r="J15" s="744"/>
      <c r="K15" s="745"/>
      <c r="L15" s="745"/>
      <c r="M15" s="745"/>
      <c r="N15" s="745"/>
      <c r="O15" s="745"/>
      <c r="P15" s="745"/>
      <c r="Q15" s="745"/>
      <c r="R15" s="746"/>
    </row>
    <row r="16" spans="1:18">
      <c r="A16" s="23"/>
      <c r="B16" s="11" t="s">
        <v>15</v>
      </c>
      <c r="C16" s="4"/>
      <c r="D16" s="4"/>
      <c r="E16" s="4"/>
      <c r="F16" s="4"/>
      <c r="G16" s="21" t="s">
        <v>16</v>
      </c>
      <c r="H16" s="37">
        <f>H15+H14</f>
        <v>7495.47667</v>
      </c>
      <c r="I16" s="38" t="str">
        <f>CONCATENATE("per ",C4, C5)</f>
        <v>per 1m</v>
      </c>
      <c r="J16" s="744"/>
      <c r="K16" s="745"/>
      <c r="L16" s="745"/>
      <c r="M16" s="745"/>
      <c r="N16" s="745"/>
      <c r="O16" s="745"/>
      <c r="P16" s="745"/>
      <c r="Q16" s="745"/>
      <c r="R16" s="746"/>
    </row>
    <row r="17" spans="1:18">
      <c r="A17" s="23"/>
      <c r="B17" s="11"/>
      <c r="C17" s="4"/>
      <c r="D17" s="4"/>
      <c r="E17" s="4"/>
      <c r="F17" s="4"/>
      <c r="G17" s="21" t="s">
        <v>16</v>
      </c>
      <c r="H17" s="37">
        <f>H16/C4</f>
        <v>7495.47667</v>
      </c>
      <c r="I17" s="38" t="str">
        <f>CONCATENATE("per ",C5)</f>
        <v>per m</v>
      </c>
      <c r="J17" s="744"/>
      <c r="K17" s="745"/>
      <c r="L17" s="745"/>
      <c r="M17" s="745"/>
      <c r="N17" s="745"/>
      <c r="O17" s="745"/>
      <c r="P17" s="745"/>
      <c r="Q17" s="745"/>
      <c r="R17" s="746"/>
    </row>
    <row r="18" spans="1:18">
      <c r="A18" s="23"/>
      <c r="B18" s="11" t="s">
        <v>18</v>
      </c>
      <c r="C18" s="4" t="s">
        <v>19</v>
      </c>
      <c r="D18" s="4"/>
      <c r="E18" s="4"/>
      <c r="F18" s="4"/>
      <c r="G18" s="21" t="s">
        <v>16</v>
      </c>
      <c r="H18" s="37">
        <f>CEILING(H17,0.5)</f>
        <v>7495.5</v>
      </c>
      <c r="I18" s="38" t="str">
        <f>CONCATENATE("per ",C5)</f>
        <v>per m</v>
      </c>
      <c r="J18" s="744"/>
      <c r="K18" s="745"/>
      <c r="L18" s="745"/>
      <c r="M18" s="745"/>
      <c r="N18" s="745"/>
      <c r="O18" s="745"/>
      <c r="P18" s="745"/>
      <c r="Q18" s="745"/>
      <c r="R18" s="746"/>
    </row>
    <row r="19" spans="1:18">
      <c r="A19" s="23"/>
      <c r="B19" s="11"/>
      <c r="C19" s="4"/>
      <c r="D19" s="4"/>
      <c r="E19" s="4"/>
      <c r="F19" s="4"/>
      <c r="G19" s="24" t="s">
        <v>17</v>
      </c>
      <c r="H19" s="37">
        <f>H18/exr</f>
        <v>57.657692307692308</v>
      </c>
      <c r="I19" s="38" t="str">
        <f>CONCATENATE("per ",C5)</f>
        <v>per m</v>
      </c>
      <c r="J19" s="747"/>
      <c r="K19" s="748"/>
      <c r="L19" s="748"/>
      <c r="M19" s="748"/>
      <c r="N19" s="748"/>
      <c r="O19" s="748"/>
      <c r="P19" s="748"/>
      <c r="Q19" s="748"/>
      <c r="R19" s="749"/>
    </row>
    <row r="20" spans="1:18">
      <c r="A20" s="39"/>
      <c r="B20" s="40"/>
      <c r="C20" s="41"/>
      <c r="D20" s="41"/>
      <c r="E20" s="41"/>
      <c r="F20" s="41"/>
      <c r="G20" s="149" t="s">
        <v>460</v>
      </c>
      <c r="H20" s="150">
        <f>CEILING(SUM(M5)/H12,0.0025)</f>
        <v>5.7500000000000002E-2</v>
      </c>
      <c r="I20" s="42"/>
      <c r="J20" s="43"/>
      <c r="K20" s="43"/>
      <c r="L20" s="43"/>
      <c r="M20" s="43"/>
      <c r="N20" s="43"/>
      <c r="O20" s="43"/>
      <c r="P20" s="43"/>
      <c r="Q20" s="43"/>
      <c r="R20" s="44"/>
    </row>
    <row r="21" spans="1:18">
      <c r="A21" s="22"/>
      <c r="B21" s="22"/>
      <c r="C21" s="22"/>
      <c r="D21" s="22"/>
      <c r="E21" s="22"/>
      <c r="F21" s="22"/>
      <c r="G21" s="22"/>
      <c r="H21" s="22"/>
      <c r="I21" s="22"/>
      <c r="J21" s="22"/>
      <c r="K21" s="22"/>
      <c r="L21" s="22"/>
      <c r="M21" s="22"/>
      <c r="N21" s="22"/>
      <c r="O21" s="22"/>
      <c r="P21" s="22"/>
      <c r="Q21" s="22"/>
      <c r="R21" s="22"/>
    </row>
    <row r="22" spans="1:18">
      <c r="A22" s="693" t="s">
        <v>0</v>
      </c>
      <c r="B22" s="695" t="s">
        <v>1</v>
      </c>
      <c r="C22" s="695" t="s">
        <v>2</v>
      </c>
      <c r="D22" s="697" t="s">
        <v>3</v>
      </c>
      <c r="E22" s="698"/>
      <c r="F22" s="698"/>
      <c r="G22" s="698"/>
      <c r="H22" s="698"/>
      <c r="I22" s="699" t="s">
        <v>4</v>
      </c>
      <c r="J22" s="700"/>
      <c r="K22" s="700"/>
      <c r="L22" s="700"/>
      <c r="M22" s="700"/>
      <c r="N22" s="698" t="s">
        <v>5</v>
      </c>
      <c r="O22" s="698"/>
      <c r="P22" s="698"/>
      <c r="Q22" s="698"/>
      <c r="R22" s="698"/>
    </row>
    <row r="23" spans="1:18">
      <c r="A23" s="694"/>
      <c r="B23" s="696"/>
      <c r="C23" s="696"/>
      <c r="D23" s="45" t="s">
        <v>6</v>
      </c>
      <c r="E23" s="46" t="s">
        <v>2</v>
      </c>
      <c r="F23" s="46" t="s">
        <v>7</v>
      </c>
      <c r="G23" s="46" t="s">
        <v>8</v>
      </c>
      <c r="H23" s="46" t="s">
        <v>9</v>
      </c>
      <c r="I23" s="46" t="s">
        <v>10</v>
      </c>
      <c r="J23" s="46" t="s">
        <v>2</v>
      </c>
      <c r="K23" s="46" t="s">
        <v>7</v>
      </c>
      <c r="L23" s="46" t="s">
        <v>8</v>
      </c>
      <c r="M23" s="47" t="s">
        <v>9</v>
      </c>
      <c r="N23" s="46" t="s">
        <v>10</v>
      </c>
      <c r="O23" s="46" t="s">
        <v>2</v>
      </c>
      <c r="P23" s="46" t="s">
        <v>7</v>
      </c>
      <c r="Q23" s="46" t="s">
        <v>8</v>
      </c>
      <c r="R23" s="46" t="s">
        <v>9</v>
      </c>
    </row>
    <row r="24" spans="1:18">
      <c r="A24" s="33" t="s">
        <v>23</v>
      </c>
      <c r="B24" s="73" t="s">
        <v>899</v>
      </c>
      <c r="C24" s="31"/>
      <c r="D24" s="31"/>
      <c r="E24" s="31"/>
      <c r="F24" s="31"/>
      <c r="G24" s="31"/>
      <c r="H24" s="31"/>
      <c r="I24" s="31"/>
      <c r="J24" s="31"/>
      <c r="K24" s="31"/>
      <c r="L24" s="31"/>
      <c r="M24" s="31"/>
      <c r="N24" s="31"/>
      <c r="O24" s="31"/>
      <c r="P24" s="31"/>
      <c r="Q24" s="31"/>
      <c r="R24" s="32"/>
    </row>
    <row r="25" spans="1:18" ht="15.75" customHeight="1">
      <c r="A25" s="34">
        <f>A4+1</f>
        <v>2</v>
      </c>
      <c r="B25" s="713" t="s">
        <v>909</v>
      </c>
      <c r="C25" s="66">
        <v>1</v>
      </c>
      <c r="D25" s="4"/>
      <c r="E25" s="6"/>
      <c r="F25" s="29"/>
      <c r="G25" s="26"/>
      <c r="H25" s="26"/>
      <c r="I25" s="6"/>
      <c r="J25" s="6"/>
      <c r="K25" s="29"/>
      <c r="L25" s="26"/>
      <c r="M25" s="26"/>
      <c r="N25" s="6"/>
      <c r="O25" s="6"/>
      <c r="P25" s="29"/>
      <c r="Q25" s="26"/>
      <c r="R25" s="26"/>
    </row>
    <row r="26" spans="1:18">
      <c r="A26" s="2"/>
      <c r="B26" s="714"/>
      <c r="C26" s="124" t="s">
        <v>47</v>
      </c>
      <c r="D26" s="4" t="s">
        <v>78</v>
      </c>
      <c r="E26" s="6" t="s">
        <v>81</v>
      </c>
      <c r="F26" s="29">
        <v>0.2</v>
      </c>
      <c r="G26" s="26">
        <f>er</f>
        <v>1750</v>
      </c>
      <c r="H26" s="26">
        <f>F26*G26</f>
        <v>350</v>
      </c>
      <c r="I26" s="7" t="s">
        <v>902</v>
      </c>
      <c r="J26" s="8" t="s">
        <v>800</v>
      </c>
      <c r="K26" s="29">
        <v>0.6</v>
      </c>
      <c r="L26" s="28">
        <f>Drillbit_32</f>
        <v>3709.37</v>
      </c>
      <c r="M26" s="26">
        <f>K26*L26</f>
        <v>2225.6219999999998</v>
      </c>
      <c r="N26" s="553" t="s">
        <v>904</v>
      </c>
      <c r="O26" s="6" t="s">
        <v>101</v>
      </c>
      <c r="P26" s="29">
        <v>3.45</v>
      </c>
      <c r="Q26" s="28">
        <f>rockdriller_pneumatic</f>
        <v>324.48</v>
      </c>
      <c r="R26" s="26"/>
    </row>
    <row r="27" spans="1:18">
      <c r="A27" s="2"/>
      <c r="B27" s="714"/>
      <c r="C27" s="6"/>
      <c r="D27" s="4" t="s">
        <v>900</v>
      </c>
      <c r="E27" s="6" t="s">
        <v>81</v>
      </c>
      <c r="F27" s="29">
        <v>1</v>
      </c>
      <c r="G27" s="26">
        <f>tech</f>
        <v>1100</v>
      </c>
      <c r="H27" s="26">
        <f>F27*G27</f>
        <v>1100</v>
      </c>
      <c r="I27" s="7" t="s">
        <v>67</v>
      </c>
      <c r="J27" s="8" t="s">
        <v>250</v>
      </c>
      <c r="K27" s="29">
        <v>18</v>
      </c>
      <c r="L27" s="28">
        <f>diesel</f>
        <v>177.6</v>
      </c>
      <c r="M27" s="26">
        <f>K27*L27</f>
        <v>3196.7999999999997</v>
      </c>
      <c r="N27" s="8"/>
      <c r="O27" s="6"/>
      <c r="P27" s="29"/>
      <c r="Q27" s="28"/>
      <c r="R27" s="26"/>
    </row>
    <row r="28" spans="1:18">
      <c r="A28" s="2"/>
      <c r="B28" s="714"/>
      <c r="C28" s="6"/>
      <c r="D28" s="4" t="s">
        <v>89</v>
      </c>
      <c r="E28" s="6" t="s">
        <v>81</v>
      </c>
      <c r="F28" s="29">
        <v>1</v>
      </c>
      <c r="G28" s="26">
        <f>dr</f>
        <v>1100</v>
      </c>
      <c r="H28" s="26">
        <f t="shared" ref="H28:H30" si="2">F28*G28</f>
        <v>1100</v>
      </c>
      <c r="I28" s="7" t="s">
        <v>903</v>
      </c>
      <c r="J28" s="8" t="s">
        <v>47</v>
      </c>
      <c r="K28" s="29">
        <v>1</v>
      </c>
      <c r="L28" s="28">
        <v>200</v>
      </c>
      <c r="M28" s="26">
        <f>K28*L28</f>
        <v>200</v>
      </c>
      <c r="N28" s="8"/>
      <c r="O28" s="6"/>
      <c r="P28" s="29"/>
      <c r="Q28" s="28"/>
      <c r="R28" s="26"/>
    </row>
    <row r="29" spans="1:18">
      <c r="A29" s="2"/>
      <c r="B29" s="714"/>
      <c r="C29" s="6"/>
      <c r="D29" s="4" t="s">
        <v>86</v>
      </c>
      <c r="E29" s="6" t="s">
        <v>81</v>
      </c>
      <c r="F29" s="29">
        <v>2</v>
      </c>
      <c r="G29" s="26">
        <f>hr</f>
        <v>750</v>
      </c>
      <c r="H29" s="26">
        <f t="shared" si="2"/>
        <v>1500</v>
      </c>
      <c r="I29" s="7" t="s">
        <v>255</v>
      </c>
      <c r="J29" s="8" t="s">
        <v>250</v>
      </c>
      <c r="K29" s="29">
        <v>4000</v>
      </c>
      <c r="L29" s="28"/>
      <c r="M29" s="28"/>
      <c r="N29" s="8"/>
      <c r="O29" s="6"/>
      <c r="P29" s="29"/>
      <c r="Q29" s="28"/>
      <c r="R29" s="28"/>
    </row>
    <row r="30" spans="1:18" ht="31.5">
      <c r="A30" s="2"/>
      <c r="B30" s="126" t="s">
        <v>908</v>
      </c>
      <c r="C30" s="6"/>
      <c r="D30" s="4" t="s">
        <v>901</v>
      </c>
      <c r="E30" s="9" t="s">
        <v>81</v>
      </c>
      <c r="F30" s="29">
        <v>4</v>
      </c>
      <c r="G30" s="26">
        <f>ur</f>
        <v>850</v>
      </c>
      <c r="H30" s="26">
        <f t="shared" si="2"/>
        <v>3400</v>
      </c>
      <c r="I30" s="7"/>
      <c r="J30" s="8"/>
      <c r="K30" s="29"/>
      <c r="L30" s="28"/>
      <c r="M30" s="28"/>
      <c r="N30" s="8"/>
      <c r="O30" s="6"/>
      <c r="P30" s="29"/>
      <c r="Q30" s="28"/>
      <c r="R30" s="28"/>
    </row>
    <row r="31" spans="1:18">
      <c r="A31" s="2"/>
      <c r="B31" s="5"/>
      <c r="C31" s="6"/>
      <c r="D31" s="4"/>
      <c r="E31" s="9"/>
      <c r="F31" s="30"/>
      <c r="G31" s="27"/>
      <c r="H31" s="27"/>
      <c r="I31" s="9"/>
      <c r="J31" s="10"/>
      <c r="K31" s="30"/>
      <c r="L31" s="28"/>
      <c r="M31" s="28"/>
      <c r="N31" s="8"/>
      <c r="O31" s="6"/>
      <c r="P31" s="30"/>
      <c r="Q31" s="28"/>
      <c r="R31" s="28"/>
    </row>
    <row r="32" spans="1:18">
      <c r="A32" s="2"/>
      <c r="B32" s="11"/>
      <c r="C32" s="6"/>
      <c r="D32" s="12"/>
      <c r="E32" s="544"/>
      <c r="F32" s="13"/>
      <c r="G32" s="13" t="s">
        <v>20</v>
      </c>
      <c r="H32" s="25">
        <f>SUM(H25:H31)</f>
        <v>7450</v>
      </c>
      <c r="I32" s="703"/>
      <c r="J32" s="703"/>
      <c r="K32" s="14"/>
      <c r="L32" s="13" t="s">
        <v>21</v>
      </c>
      <c r="M32" s="25">
        <f>SUM(M25:M31)</f>
        <v>5622.4219999999996</v>
      </c>
      <c r="N32" s="3"/>
      <c r="O32" s="14"/>
      <c r="P32" s="14"/>
      <c r="Q32" s="13" t="s">
        <v>22</v>
      </c>
      <c r="R32" s="25">
        <f>SUM(R25:R31)</f>
        <v>0</v>
      </c>
    </row>
    <row r="33" spans="1:18">
      <c r="A33" s="2"/>
      <c r="B33" s="16" t="s">
        <v>13</v>
      </c>
      <c r="C33" s="14"/>
      <c r="D33" s="14"/>
      <c r="E33" s="14"/>
      <c r="F33" s="14"/>
      <c r="G33" s="13"/>
      <c r="H33" s="35">
        <f>M32+R32+H32</f>
        <v>13072.421999999999</v>
      </c>
      <c r="I33" s="17"/>
      <c r="J33" s="14"/>
      <c r="K33" s="14"/>
      <c r="L33" s="13"/>
      <c r="M33" s="15"/>
      <c r="N33" s="14"/>
      <c r="O33" s="14"/>
      <c r="P33" s="14"/>
      <c r="Q33" s="14"/>
      <c r="R33" s="17"/>
    </row>
    <row r="34" spans="1:18">
      <c r="A34" s="2"/>
      <c r="B34" s="11" t="s">
        <v>25</v>
      </c>
      <c r="C34" s="4"/>
      <c r="D34" s="4"/>
      <c r="E34" s="4"/>
      <c r="F34" s="4"/>
      <c r="G34" s="18"/>
      <c r="H34" s="36">
        <v>0</v>
      </c>
      <c r="I34" s="20"/>
      <c r="J34" s="4" t="s">
        <v>26</v>
      </c>
      <c r="K34" s="4"/>
      <c r="L34" s="18"/>
      <c r="M34" s="19"/>
      <c r="N34" s="4"/>
      <c r="O34" s="4"/>
      <c r="P34" s="4"/>
      <c r="Q34" s="4"/>
      <c r="R34" s="20"/>
    </row>
    <row r="35" spans="1:18">
      <c r="A35" s="23"/>
      <c r="B35" s="11" t="s">
        <v>14</v>
      </c>
      <c r="C35" s="4"/>
      <c r="D35" s="4"/>
      <c r="E35" s="4"/>
      <c r="F35" s="4"/>
      <c r="G35" s="18"/>
      <c r="H35" s="36">
        <f>SUM(H33:H34)</f>
        <v>13072.421999999999</v>
      </c>
      <c r="I35" s="20"/>
      <c r="J35" s="741"/>
      <c r="K35" s="742"/>
      <c r="L35" s="742"/>
      <c r="M35" s="742"/>
      <c r="N35" s="742"/>
      <c r="O35" s="742"/>
      <c r="P35" s="742"/>
      <c r="Q35" s="742"/>
      <c r="R35" s="743"/>
    </row>
    <row r="36" spans="1:18">
      <c r="A36" s="23"/>
      <c r="B36" s="11" t="s">
        <v>24</v>
      </c>
      <c r="C36" s="4"/>
      <c r="D36" s="4"/>
      <c r="E36" s="4"/>
      <c r="F36" s="4"/>
      <c r="G36" s="18"/>
      <c r="H36" s="36">
        <f>H35*15%</f>
        <v>1960.8632999999998</v>
      </c>
      <c r="I36" s="20"/>
      <c r="J36" s="744"/>
      <c r="K36" s="745"/>
      <c r="L36" s="745"/>
      <c r="M36" s="745"/>
      <c r="N36" s="745"/>
      <c r="O36" s="745"/>
      <c r="P36" s="745"/>
      <c r="Q36" s="745"/>
      <c r="R36" s="746"/>
    </row>
    <row r="37" spans="1:18">
      <c r="A37" s="23"/>
      <c r="B37" s="11" t="s">
        <v>15</v>
      </c>
      <c r="C37" s="4"/>
      <c r="D37" s="4"/>
      <c r="E37" s="4"/>
      <c r="F37" s="4"/>
      <c r="G37" s="21" t="s">
        <v>16</v>
      </c>
      <c r="H37" s="37">
        <f>H36+H35</f>
        <v>15033.285299999998</v>
      </c>
      <c r="I37" s="38" t="str">
        <f>CONCATENATE("per ",C25, C26)</f>
        <v>per 1m</v>
      </c>
      <c r="J37" s="744"/>
      <c r="K37" s="745"/>
      <c r="L37" s="745"/>
      <c r="M37" s="745"/>
      <c r="N37" s="745"/>
      <c r="O37" s="745"/>
      <c r="P37" s="745"/>
      <c r="Q37" s="745"/>
      <c r="R37" s="746"/>
    </row>
    <row r="38" spans="1:18">
      <c r="A38" s="23"/>
      <c r="B38" s="11"/>
      <c r="C38" s="4"/>
      <c r="D38" s="4"/>
      <c r="E38" s="4"/>
      <c r="F38" s="4"/>
      <c r="G38" s="21" t="s">
        <v>16</v>
      </c>
      <c r="H38" s="37">
        <f>H37/C25</f>
        <v>15033.285299999998</v>
      </c>
      <c r="I38" s="38" t="str">
        <f>CONCATENATE("per ",C26)</f>
        <v>per m</v>
      </c>
      <c r="J38" s="744"/>
      <c r="K38" s="745"/>
      <c r="L38" s="745"/>
      <c r="M38" s="745"/>
      <c r="N38" s="745"/>
      <c r="O38" s="745"/>
      <c r="P38" s="745"/>
      <c r="Q38" s="745"/>
      <c r="R38" s="746"/>
    </row>
    <row r="39" spans="1:18">
      <c r="A39" s="23"/>
      <c r="B39" s="11" t="s">
        <v>18</v>
      </c>
      <c r="C39" s="4" t="s">
        <v>19</v>
      </c>
      <c r="D39" s="4"/>
      <c r="E39" s="4"/>
      <c r="F39" s="4"/>
      <c r="G39" s="21" t="s">
        <v>16</v>
      </c>
      <c r="H39" s="37">
        <f>CEILING(H38,0.5)</f>
        <v>15033.5</v>
      </c>
      <c r="I39" s="38" t="str">
        <f>CONCATENATE("per ",C26)</f>
        <v>per m</v>
      </c>
      <c r="J39" s="744"/>
      <c r="K39" s="745"/>
      <c r="L39" s="745"/>
      <c r="M39" s="745"/>
      <c r="N39" s="745"/>
      <c r="O39" s="745"/>
      <c r="P39" s="745"/>
      <c r="Q39" s="745"/>
      <c r="R39" s="746"/>
    </row>
    <row r="40" spans="1:18">
      <c r="A40" s="23"/>
      <c r="B40" s="11"/>
      <c r="C40" s="4"/>
      <c r="D40" s="4"/>
      <c r="E40" s="4"/>
      <c r="F40" s="4"/>
      <c r="G40" s="24" t="s">
        <v>17</v>
      </c>
      <c r="H40" s="37">
        <f>H39/exr</f>
        <v>115.6423076923077</v>
      </c>
      <c r="I40" s="38" t="str">
        <f>CONCATENATE("per ",C26)</f>
        <v>per m</v>
      </c>
      <c r="J40" s="747"/>
      <c r="K40" s="748"/>
      <c r="L40" s="748"/>
      <c r="M40" s="748"/>
      <c r="N40" s="748"/>
      <c r="O40" s="748"/>
      <c r="P40" s="748"/>
      <c r="Q40" s="748"/>
      <c r="R40" s="749"/>
    </row>
    <row r="41" spans="1:18">
      <c r="A41" s="39"/>
      <c r="B41" s="40"/>
      <c r="C41" s="41"/>
      <c r="D41" s="41"/>
      <c r="E41" s="41"/>
      <c r="F41" s="41"/>
      <c r="G41" s="149" t="s">
        <v>460</v>
      </c>
      <c r="H41" s="150">
        <f>CEILING(SUM(M26)/H33,0.0025)</f>
        <v>0.17250000000000001</v>
      </c>
      <c r="I41" s="42"/>
      <c r="J41" s="43"/>
      <c r="K41" s="43"/>
      <c r="L41" s="43"/>
      <c r="M41" s="43"/>
      <c r="N41" s="43"/>
      <c r="O41" s="43"/>
      <c r="P41" s="43"/>
      <c r="Q41" s="43"/>
      <c r="R41" s="44"/>
    </row>
    <row r="43" spans="1:18">
      <c r="A43" s="693" t="s">
        <v>0</v>
      </c>
      <c r="B43" s="695" t="s">
        <v>1</v>
      </c>
      <c r="C43" s="695" t="s">
        <v>2</v>
      </c>
      <c r="D43" s="697" t="s">
        <v>3</v>
      </c>
      <c r="E43" s="698"/>
      <c r="F43" s="698"/>
      <c r="G43" s="698"/>
      <c r="H43" s="698"/>
      <c r="I43" s="699" t="s">
        <v>4</v>
      </c>
      <c r="J43" s="700"/>
      <c r="K43" s="700"/>
      <c r="L43" s="700"/>
      <c r="M43" s="700"/>
      <c r="N43" s="698" t="s">
        <v>5</v>
      </c>
      <c r="O43" s="698"/>
      <c r="P43" s="698"/>
      <c r="Q43" s="698"/>
      <c r="R43" s="698"/>
    </row>
    <row r="44" spans="1:18">
      <c r="A44" s="694"/>
      <c r="B44" s="696"/>
      <c r="C44" s="696"/>
      <c r="D44" s="45" t="s">
        <v>6</v>
      </c>
      <c r="E44" s="46" t="s">
        <v>2</v>
      </c>
      <c r="F44" s="46" t="s">
        <v>7</v>
      </c>
      <c r="G44" s="46" t="s">
        <v>8</v>
      </c>
      <c r="H44" s="46" t="s">
        <v>9</v>
      </c>
      <c r="I44" s="46" t="s">
        <v>10</v>
      </c>
      <c r="J44" s="46" t="s">
        <v>2</v>
      </c>
      <c r="K44" s="46" t="s">
        <v>7</v>
      </c>
      <c r="L44" s="46" t="s">
        <v>8</v>
      </c>
      <c r="M44" s="47" t="s">
        <v>9</v>
      </c>
      <c r="N44" s="46" t="s">
        <v>10</v>
      </c>
      <c r="O44" s="46" t="s">
        <v>2</v>
      </c>
      <c r="P44" s="46" t="s">
        <v>7</v>
      </c>
      <c r="Q44" s="46" t="s">
        <v>8</v>
      </c>
      <c r="R44" s="46" t="s">
        <v>9</v>
      </c>
    </row>
    <row r="45" spans="1:18">
      <c r="A45" s="33" t="s">
        <v>23</v>
      </c>
      <c r="B45" s="73" t="s">
        <v>899</v>
      </c>
      <c r="C45" s="31"/>
      <c r="D45" s="31"/>
      <c r="E45" s="31"/>
      <c r="F45" s="31"/>
      <c r="G45" s="31"/>
      <c r="H45" s="31"/>
      <c r="I45" s="31"/>
      <c r="J45" s="31"/>
      <c r="K45" s="31"/>
      <c r="L45" s="31"/>
      <c r="M45" s="31"/>
      <c r="N45" s="31"/>
      <c r="O45" s="31"/>
      <c r="P45" s="31"/>
      <c r="Q45" s="31"/>
      <c r="R45" s="32"/>
    </row>
    <row r="46" spans="1:18" ht="15.75" customHeight="1">
      <c r="A46" s="34">
        <f>A25+1</f>
        <v>3</v>
      </c>
      <c r="B46" s="713" t="s">
        <v>911</v>
      </c>
      <c r="C46" s="66">
        <v>1</v>
      </c>
      <c r="D46" s="4"/>
      <c r="E46" s="6"/>
      <c r="F46" s="29"/>
      <c r="G46" s="26"/>
      <c r="H46" s="26"/>
      <c r="I46" s="6"/>
      <c r="J46" s="6"/>
      <c r="K46" s="29"/>
      <c r="L46" s="26"/>
      <c r="M46" s="26"/>
      <c r="N46" s="6"/>
      <c r="O46" s="6"/>
      <c r="P46" s="29"/>
      <c r="Q46" s="26"/>
      <c r="R46" s="26"/>
    </row>
    <row r="47" spans="1:18">
      <c r="A47" s="2"/>
      <c r="B47" s="714"/>
      <c r="C47" s="124" t="s">
        <v>47</v>
      </c>
      <c r="D47" s="4" t="s">
        <v>78</v>
      </c>
      <c r="E47" s="6" t="s">
        <v>81</v>
      </c>
      <c r="F47" s="29">
        <v>0.14000000000000001</v>
      </c>
      <c r="G47" s="26">
        <f>er</f>
        <v>1750</v>
      </c>
      <c r="H47" s="26">
        <f>F47*G47</f>
        <v>245.00000000000003</v>
      </c>
      <c r="I47" s="7" t="s">
        <v>902</v>
      </c>
      <c r="J47" s="8" t="s">
        <v>800</v>
      </c>
      <c r="K47" s="29">
        <v>0.4</v>
      </c>
      <c r="L47" s="28">
        <f>Drillbit_32</f>
        <v>3709.37</v>
      </c>
      <c r="M47" s="26">
        <f>K47*L47</f>
        <v>1483.748</v>
      </c>
      <c r="N47" s="553" t="s">
        <v>904</v>
      </c>
      <c r="O47" s="6" t="s">
        <v>101</v>
      </c>
      <c r="P47" s="29">
        <v>3.2</v>
      </c>
      <c r="Q47" s="28">
        <f>rockdriller_pneumatic</f>
        <v>324.48</v>
      </c>
      <c r="R47" s="26">
        <f>P47*Q47</f>
        <v>1038.336</v>
      </c>
    </row>
    <row r="48" spans="1:18">
      <c r="A48" s="2"/>
      <c r="B48" s="714"/>
      <c r="C48" s="6"/>
      <c r="D48" s="4" t="s">
        <v>900</v>
      </c>
      <c r="E48" s="6" t="s">
        <v>81</v>
      </c>
      <c r="F48" s="29">
        <v>0.66</v>
      </c>
      <c r="G48" s="26">
        <f>tech</f>
        <v>1100</v>
      </c>
      <c r="H48" s="26">
        <f>F48*G48</f>
        <v>726</v>
      </c>
      <c r="I48" s="7" t="s">
        <v>67</v>
      </c>
      <c r="J48" s="8" t="s">
        <v>250</v>
      </c>
      <c r="K48" s="29">
        <v>16</v>
      </c>
      <c r="L48" s="28">
        <f>diesel</f>
        <v>177.6</v>
      </c>
      <c r="M48" s="26">
        <f>K48*L48</f>
        <v>2841.6</v>
      </c>
      <c r="N48" s="8"/>
      <c r="O48" s="6"/>
      <c r="P48" s="29"/>
      <c r="Q48" s="28"/>
      <c r="R48" s="26"/>
    </row>
    <row r="49" spans="1:18">
      <c r="A49" s="2"/>
      <c r="B49" s="714"/>
      <c r="C49" s="6"/>
      <c r="D49" s="4" t="s">
        <v>89</v>
      </c>
      <c r="E49" s="6" t="s">
        <v>81</v>
      </c>
      <c r="F49" s="29">
        <v>0.66</v>
      </c>
      <c r="G49" s="26">
        <f>dr</f>
        <v>1100</v>
      </c>
      <c r="H49" s="26">
        <f t="shared" ref="H49:H51" si="3">F49*G49</f>
        <v>726</v>
      </c>
      <c r="I49" s="7" t="s">
        <v>903</v>
      </c>
      <c r="J49" s="8" t="s">
        <v>47</v>
      </c>
      <c r="K49" s="29">
        <v>1</v>
      </c>
      <c r="L49" s="28">
        <v>200</v>
      </c>
      <c r="M49" s="26">
        <f>K49*L49</f>
        <v>200</v>
      </c>
      <c r="N49" s="8"/>
      <c r="O49" s="6"/>
      <c r="P49" s="29"/>
      <c r="Q49" s="28"/>
      <c r="R49" s="26"/>
    </row>
    <row r="50" spans="1:18">
      <c r="A50" s="2"/>
      <c r="B50" s="714"/>
      <c r="C50" s="6"/>
      <c r="D50" s="4" t="s">
        <v>86</v>
      </c>
      <c r="E50" s="6" t="s">
        <v>81</v>
      </c>
      <c r="F50" s="29">
        <v>1.4</v>
      </c>
      <c r="G50" s="26">
        <f>hr</f>
        <v>750</v>
      </c>
      <c r="H50" s="26">
        <f t="shared" si="3"/>
        <v>1050</v>
      </c>
      <c r="I50" s="7" t="s">
        <v>255</v>
      </c>
      <c r="J50" s="8" t="s">
        <v>250</v>
      </c>
      <c r="K50" s="29">
        <v>2000</v>
      </c>
      <c r="L50" s="28"/>
      <c r="M50" s="28"/>
      <c r="N50" s="8"/>
      <c r="O50" s="6"/>
      <c r="P50" s="29"/>
      <c r="Q50" s="28"/>
      <c r="R50" s="28"/>
    </row>
    <row r="51" spans="1:18">
      <c r="A51" s="2"/>
      <c r="B51" s="126" t="s">
        <v>910</v>
      </c>
      <c r="C51" s="6"/>
      <c r="D51" s="4" t="s">
        <v>901</v>
      </c>
      <c r="E51" s="9" t="s">
        <v>81</v>
      </c>
      <c r="F51" s="29">
        <v>3</v>
      </c>
      <c r="G51" s="26">
        <f>ur</f>
        <v>850</v>
      </c>
      <c r="H51" s="26">
        <f t="shared" si="3"/>
        <v>2550</v>
      </c>
      <c r="I51" s="7"/>
      <c r="J51" s="8"/>
      <c r="K51" s="29"/>
      <c r="L51" s="28"/>
      <c r="M51" s="28"/>
      <c r="N51" s="8"/>
      <c r="O51" s="6"/>
      <c r="P51" s="29"/>
      <c r="Q51" s="28"/>
      <c r="R51" s="28"/>
    </row>
    <row r="52" spans="1:18">
      <c r="A52" s="2"/>
      <c r="B52" s="5"/>
      <c r="C52" s="6"/>
      <c r="D52" s="4"/>
      <c r="E52" s="9"/>
      <c r="F52" s="30"/>
      <c r="G52" s="27"/>
      <c r="H52" s="27"/>
      <c r="I52" s="9"/>
      <c r="J52" s="10"/>
      <c r="K52" s="30"/>
      <c r="L52" s="28"/>
      <c r="M52" s="28"/>
      <c r="N52" s="8"/>
      <c r="O52" s="6"/>
      <c r="P52" s="30"/>
      <c r="Q52" s="28"/>
      <c r="R52" s="28"/>
    </row>
    <row r="53" spans="1:18">
      <c r="A53" s="2"/>
      <c r="B53" s="11"/>
      <c r="C53" s="6"/>
      <c r="D53" s="12"/>
      <c r="E53" s="544"/>
      <c r="F53" s="13"/>
      <c r="G53" s="13" t="s">
        <v>20</v>
      </c>
      <c r="H53" s="25">
        <f>SUM(H46:H52)</f>
        <v>5297</v>
      </c>
      <c r="I53" s="703"/>
      <c r="J53" s="703"/>
      <c r="K53" s="14"/>
      <c r="L53" s="13" t="s">
        <v>21</v>
      </c>
      <c r="M53" s="25">
        <f>SUM(M46:M52)</f>
        <v>4525.348</v>
      </c>
      <c r="N53" s="3"/>
      <c r="O53" s="14"/>
      <c r="P53" s="14"/>
      <c r="Q53" s="13" t="s">
        <v>22</v>
      </c>
      <c r="R53" s="25">
        <f>SUM(R46:R52)</f>
        <v>1038.336</v>
      </c>
    </row>
    <row r="54" spans="1:18">
      <c r="A54" s="2"/>
      <c r="B54" s="16" t="s">
        <v>13</v>
      </c>
      <c r="C54" s="14"/>
      <c r="D54" s="14"/>
      <c r="E54" s="14"/>
      <c r="F54" s="14"/>
      <c r="G54" s="13"/>
      <c r="H54" s="35">
        <f>M53+R53+H53</f>
        <v>10860.684000000001</v>
      </c>
      <c r="I54" s="17"/>
      <c r="J54" s="14"/>
      <c r="K54" s="14"/>
      <c r="L54" s="13"/>
      <c r="M54" s="15"/>
      <c r="N54" s="14"/>
      <c r="O54" s="14"/>
      <c r="P54" s="14"/>
      <c r="Q54" s="14"/>
      <c r="R54" s="17"/>
    </row>
    <row r="55" spans="1:18">
      <c r="A55" s="2"/>
      <c r="B55" s="11" t="s">
        <v>25</v>
      </c>
      <c r="C55" s="4"/>
      <c r="D55" s="4"/>
      <c r="E55" s="4"/>
      <c r="F55" s="4"/>
      <c r="G55" s="18"/>
      <c r="H55" s="36">
        <v>0</v>
      </c>
      <c r="I55" s="20"/>
      <c r="J55" s="4" t="s">
        <v>26</v>
      </c>
      <c r="K55" s="4"/>
      <c r="L55" s="18"/>
      <c r="M55" s="19"/>
      <c r="N55" s="4"/>
      <c r="O55" s="4"/>
      <c r="P55" s="4"/>
      <c r="Q55" s="4"/>
      <c r="R55" s="20"/>
    </row>
    <row r="56" spans="1:18">
      <c r="A56" s="23"/>
      <c r="B56" s="11" t="s">
        <v>14</v>
      </c>
      <c r="C56" s="4"/>
      <c r="D56" s="4"/>
      <c r="E56" s="4"/>
      <c r="F56" s="4"/>
      <c r="G56" s="18"/>
      <c r="H56" s="36">
        <f>SUM(H54:H55)</f>
        <v>10860.684000000001</v>
      </c>
      <c r="I56" s="20"/>
      <c r="J56" s="741"/>
      <c r="K56" s="742"/>
      <c r="L56" s="742"/>
      <c r="M56" s="742"/>
      <c r="N56" s="742"/>
      <c r="O56" s="742"/>
      <c r="P56" s="742"/>
      <c r="Q56" s="742"/>
      <c r="R56" s="743"/>
    </row>
    <row r="57" spans="1:18">
      <c r="A57" s="23"/>
      <c r="B57" s="11" t="s">
        <v>24</v>
      </c>
      <c r="C57" s="4"/>
      <c r="D57" s="4"/>
      <c r="E57" s="4"/>
      <c r="F57" s="4"/>
      <c r="G57" s="18"/>
      <c r="H57" s="36">
        <f>H56*15%</f>
        <v>1629.1026000000002</v>
      </c>
      <c r="I57" s="20"/>
      <c r="J57" s="744"/>
      <c r="K57" s="745"/>
      <c r="L57" s="745"/>
      <c r="M57" s="745"/>
      <c r="N57" s="745"/>
      <c r="O57" s="745"/>
      <c r="P57" s="745"/>
      <c r="Q57" s="745"/>
      <c r="R57" s="746"/>
    </row>
    <row r="58" spans="1:18">
      <c r="A58" s="23"/>
      <c r="B58" s="11" t="s">
        <v>15</v>
      </c>
      <c r="C58" s="4"/>
      <c r="D58" s="4"/>
      <c r="E58" s="4"/>
      <c r="F58" s="4"/>
      <c r="G58" s="21" t="s">
        <v>16</v>
      </c>
      <c r="H58" s="37">
        <f>H57+H56</f>
        <v>12489.786600000001</v>
      </c>
      <c r="I58" s="38" t="str">
        <f>CONCATENATE("per ",C46, C47)</f>
        <v>per 1m</v>
      </c>
      <c r="J58" s="744"/>
      <c r="K58" s="745"/>
      <c r="L58" s="745"/>
      <c r="M58" s="745"/>
      <c r="N58" s="745"/>
      <c r="O58" s="745"/>
      <c r="P58" s="745"/>
      <c r="Q58" s="745"/>
      <c r="R58" s="746"/>
    </row>
    <row r="59" spans="1:18">
      <c r="A59" s="23"/>
      <c r="B59" s="11"/>
      <c r="C59" s="4"/>
      <c r="D59" s="4"/>
      <c r="E59" s="4"/>
      <c r="F59" s="4"/>
      <c r="G59" s="21" t="s">
        <v>16</v>
      </c>
      <c r="H59" s="37">
        <f>H58/C46</f>
        <v>12489.786600000001</v>
      </c>
      <c r="I59" s="38" t="str">
        <f>CONCATENATE("per ",C47)</f>
        <v>per m</v>
      </c>
      <c r="J59" s="744"/>
      <c r="K59" s="745"/>
      <c r="L59" s="745"/>
      <c r="M59" s="745"/>
      <c r="N59" s="745"/>
      <c r="O59" s="745"/>
      <c r="P59" s="745"/>
      <c r="Q59" s="745"/>
      <c r="R59" s="746"/>
    </row>
    <row r="60" spans="1:18">
      <c r="A60" s="23"/>
      <c r="B60" s="11" t="s">
        <v>18</v>
      </c>
      <c r="C60" s="4" t="s">
        <v>19</v>
      </c>
      <c r="D60" s="4"/>
      <c r="E60" s="4"/>
      <c r="F60" s="4"/>
      <c r="G60" s="21" t="s">
        <v>16</v>
      </c>
      <c r="H60" s="37">
        <f>CEILING(H59,0.5)</f>
        <v>12490</v>
      </c>
      <c r="I60" s="38" t="str">
        <f>CONCATENATE("per ",C47)</f>
        <v>per m</v>
      </c>
      <c r="J60" s="744"/>
      <c r="K60" s="745"/>
      <c r="L60" s="745"/>
      <c r="M60" s="745"/>
      <c r="N60" s="745"/>
      <c r="O60" s="745"/>
      <c r="P60" s="745"/>
      <c r="Q60" s="745"/>
      <c r="R60" s="746"/>
    </row>
    <row r="61" spans="1:18">
      <c r="A61" s="23"/>
      <c r="B61" s="11"/>
      <c r="C61" s="4"/>
      <c r="D61" s="4"/>
      <c r="E61" s="4"/>
      <c r="F61" s="4"/>
      <c r="G61" s="24" t="s">
        <v>17</v>
      </c>
      <c r="H61" s="37">
        <f>H60/exr</f>
        <v>96.07692307692308</v>
      </c>
      <c r="I61" s="38" t="str">
        <f>CONCATENATE("per ",C47)</f>
        <v>per m</v>
      </c>
      <c r="J61" s="747"/>
      <c r="K61" s="748"/>
      <c r="L61" s="748"/>
      <c r="M61" s="748"/>
      <c r="N61" s="748"/>
      <c r="O61" s="748"/>
      <c r="P61" s="748"/>
      <c r="Q61" s="748"/>
      <c r="R61" s="749"/>
    </row>
    <row r="62" spans="1:18">
      <c r="A62" s="39"/>
      <c r="B62" s="40"/>
      <c r="C62" s="41"/>
      <c r="D62" s="41"/>
      <c r="E62" s="41"/>
      <c r="F62" s="41"/>
      <c r="G62" s="149" t="s">
        <v>460</v>
      </c>
      <c r="H62" s="150">
        <f>CEILING(SUM(M47)/H54,0.0025)</f>
        <v>0.13750000000000001</v>
      </c>
      <c r="I62" s="42"/>
      <c r="J62" s="43"/>
      <c r="K62" s="43"/>
      <c r="L62" s="43"/>
      <c r="M62" s="43"/>
      <c r="N62" s="43"/>
      <c r="O62" s="43"/>
      <c r="P62" s="43"/>
      <c r="Q62" s="43"/>
      <c r="R62" s="44"/>
    </row>
    <row r="64" spans="1:18">
      <c r="A64" s="693" t="s">
        <v>0</v>
      </c>
      <c r="B64" s="695" t="s">
        <v>1</v>
      </c>
      <c r="C64" s="695" t="s">
        <v>2</v>
      </c>
      <c r="D64" s="697" t="s">
        <v>3</v>
      </c>
      <c r="E64" s="698"/>
      <c r="F64" s="698"/>
      <c r="G64" s="698"/>
      <c r="H64" s="698"/>
      <c r="I64" s="699" t="s">
        <v>4</v>
      </c>
      <c r="J64" s="700"/>
      <c r="K64" s="700"/>
      <c r="L64" s="700"/>
      <c r="M64" s="700"/>
      <c r="N64" s="698" t="s">
        <v>5</v>
      </c>
      <c r="O64" s="698"/>
      <c r="P64" s="698"/>
      <c r="Q64" s="698"/>
      <c r="R64" s="698"/>
    </row>
    <row r="65" spans="1:18">
      <c r="A65" s="694"/>
      <c r="B65" s="696"/>
      <c r="C65" s="696"/>
      <c r="D65" s="45" t="s">
        <v>6</v>
      </c>
      <c r="E65" s="46" t="s">
        <v>2</v>
      </c>
      <c r="F65" s="46" t="s">
        <v>7</v>
      </c>
      <c r="G65" s="46" t="s">
        <v>8</v>
      </c>
      <c r="H65" s="46" t="s">
        <v>9</v>
      </c>
      <c r="I65" s="46" t="s">
        <v>10</v>
      </c>
      <c r="J65" s="46" t="s">
        <v>2</v>
      </c>
      <c r="K65" s="46" t="s">
        <v>7</v>
      </c>
      <c r="L65" s="46" t="s">
        <v>8</v>
      </c>
      <c r="M65" s="47" t="s">
        <v>9</v>
      </c>
      <c r="N65" s="46" t="s">
        <v>10</v>
      </c>
      <c r="O65" s="46" t="s">
        <v>2</v>
      </c>
      <c r="P65" s="46" t="s">
        <v>7</v>
      </c>
      <c r="Q65" s="46" t="s">
        <v>8</v>
      </c>
      <c r="R65" s="46" t="s">
        <v>9</v>
      </c>
    </row>
    <row r="66" spans="1:18">
      <c r="A66" s="33" t="s">
        <v>23</v>
      </c>
      <c r="B66" s="73" t="s">
        <v>899</v>
      </c>
      <c r="C66" s="31"/>
      <c r="D66" s="31"/>
      <c r="E66" s="31"/>
      <c r="F66" s="31"/>
      <c r="G66" s="31"/>
      <c r="H66" s="31"/>
      <c r="I66" s="31"/>
      <c r="J66" s="31"/>
      <c r="K66" s="31"/>
      <c r="L66" s="31"/>
      <c r="M66" s="31"/>
      <c r="N66" s="31"/>
      <c r="O66" s="31"/>
      <c r="P66" s="31"/>
      <c r="Q66" s="31"/>
      <c r="R66" s="32"/>
    </row>
    <row r="67" spans="1:18">
      <c r="A67" s="34">
        <f>A46+1</f>
        <v>4</v>
      </c>
      <c r="B67" s="713" t="s">
        <v>909</v>
      </c>
      <c r="C67" s="66">
        <v>1</v>
      </c>
      <c r="D67" s="4"/>
      <c r="E67" s="6"/>
      <c r="F67" s="29"/>
      <c r="G67" s="26"/>
      <c r="H67" s="26"/>
      <c r="I67" s="6"/>
      <c r="J67" s="6"/>
      <c r="K67" s="29"/>
      <c r="L67" s="26"/>
      <c r="M67" s="26"/>
      <c r="N67" s="6"/>
      <c r="O67" s="6"/>
      <c r="P67" s="29"/>
      <c r="Q67" s="26"/>
      <c r="R67" s="26"/>
    </row>
    <row r="68" spans="1:18">
      <c r="A68" s="2"/>
      <c r="B68" s="714"/>
      <c r="C68" s="124" t="s">
        <v>47</v>
      </c>
      <c r="D68" s="4" t="s">
        <v>78</v>
      </c>
      <c r="E68" s="6" t="s">
        <v>81</v>
      </c>
      <c r="F68" s="29">
        <v>0.2</v>
      </c>
      <c r="G68" s="26">
        <f>er</f>
        <v>1750</v>
      </c>
      <c r="H68" s="26">
        <f>F68*G68</f>
        <v>350</v>
      </c>
      <c r="I68" s="7" t="s">
        <v>902</v>
      </c>
      <c r="J68" s="8" t="s">
        <v>800</v>
      </c>
      <c r="K68" s="29">
        <v>0.6</v>
      </c>
      <c r="L68" s="28">
        <f>Drillbit_32</f>
        <v>3709.37</v>
      </c>
      <c r="M68" s="26">
        <f>K68*L68</f>
        <v>2225.6219999999998</v>
      </c>
      <c r="N68" s="553" t="s">
        <v>904</v>
      </c>
      <c r="O68" s="6" t="s">
        <v>101</v>
      </c>
      <c r="P68" s="29">
        <v>4.4800000000000004</v>
      </c>
      <c r="Q68" s="28">
        <f>rockdriller_pneumatic</f>
        <v>324.48</v>
      </c>
      <c r="R68" s="26">
        <f>P68*Q68</f>
        <v>1453.6704000000002</v>
      </c>
    </row>
    <row r="69" spans="1:18">
      <c r="A69" s="2"/>
      <c r="B69" s="714"/>
      <c r="C69" s="6"/>
      <c r="D69" s="4" t="s">
        <v>900</v>
      </c>
      <c r="E69" s="6" t="s">
        <v>81</v>
      </c>
      <c r="F69" s="29">
        <v>1</v>
      </c>
      <c r="G69" s="26">
        <f>tech</f>
        <v>1100</v>
      </c>
      <c r="H69" s="26">
        <f>F69*G69</f>
        <v>1100</v>
      </c>
      <c r="I69" s="7" t="s">
        <v>67</v>
      </c>
      <c r="J69" s="8" t="s">
        <v>250</v>
      </c>
      <c r="K69" s="29">
        <v>22</v>
      </c>
      <c r="L69" s="28">
        <f>diesel</f>
        <v>177.6</v>
      </c>
      <c r="M69" s="26">
        <f>K69*L69</f>
        <v>3907.2</v>
      </c>
      <c r="N69" s="8"/>
      <c r="O69" s="6"/>
      <c r="P69" s="29"/>
      <c r="Q69" s="28"/>
      <c r="R69" s="26"/>
    </row>
    <row r="70" spans="1:18">
      <c r="A70" s="2"/>
      <c r="B70" s="714"/>
      <c r="C70" s="6"/>
      <c r="D70" s="4" t="s">
        <v>89</v>
      </c>
      <c r="E70" s="6" t="s">
        <v>81</v>
      </c>
      <c r="F70" s="29">
        <v>1</v>
      </c>
      <c r="G70" s="26">
        <f>dr</f>
        <v>1100</v>
      </c>
      <c r="H70" s="26">
        <f t="shared" ref="H70:H72" si="4">F70*G70</f>
        <v>1100</v>
      </c>
      <c r="I70" s="7" t="s">
        <v>903</v>
      </c>
      <c r="J70" s="8" t="s">
        <v>47</v>
      </c>
      <c r="K70" s="29">
        <v>1</v>
      </c>
      <c r="L70" s="28">
        <v>200</v>
      </c>
      <c r="M70" s="26">
        <f>K70*L70</f>
        <v>200</v>
      </c>
      <c r="N70" s="8"/>
      <c r="O70" s="6"/>
      <c r="P70" s="29"/>
      <c r="Q70" s="28"/>
      <c r="R70" s="26"/>
    </row>
    <row r="71" spans="1:18">
      <c r="A71" s="2"/>
      <c r="B71" s="714"/>
      <c r="C71" s="6"/>
      <c r="D71" s="4" t="s">
        <v>86</v>
      </c>
      <c r="E71" s="6" t="s">
        <v>81</v>
      </c>
      <c r="F71" s="29">
        <v>2</v>
      </c>
      <c r="G71" s="26">
        <f>hr</f>
        <v>750</v>
      </c>
      <c r="H71" s="26">
        <f t="shared" si="4"/>
        <v>1500</v>
      </c>
      <c r="I71" s="7" t="s">
        <v>255</v>
      </c>
      <c r="J71" s="8" t="s">
        <v>250</v>
      </c>
      <c r="K71" s="29">
        <v>4000</v>
      </c>
      <c r="L71" s="28"/>
      <c r="M71" s="28"/>
      <c r="N71" s="8"/>
      <c r="O71" s="6"/>
      <c r="P71" s="29"/>
      <c r="Q71" s="28"/>
      <c r="R71" s="28"/>
    </row>
    <row r="72" spans="1:18">
      <c r="A72" s="2"/>
      <c r="B72" s="126" t="s">
        <v>912</v>
      </c>
      <c r="C72" s="6"/>
      <c r="D72" s="4" t="s">
        <v>901</v>
      </c>
      <c r="E72" s="9" t="s">
        <v>81</v>
      </c>
      <c r="F72" s="29">
        <v>5</v>
      </c>
      <c r="G72" s="26">
        <f>ur</f>
        <v>850</v>
      </c>
      <c r="H72" s="26">
        <f t="shared" si="4"/>
        <v>4250</v>
      </c>
      <c r="I72" s="7"/>
      <c r="J72" s="8"/>
      <c r="K72" s="29"/>
      <c r="L72" s="28"/>
      <c r="M72" s="28"/>
      <c r="N72" s="8"/>
      <c r="O72" s="6"/>
      <c r="P72" s="29"/>
      <c r="Q72" s="28"/>
      <c r="R72" s="28"/>
    </row>
    <row r="73" spans="1:18">
      <c r="A73" s="2"/>
      <c r="B73" s="5"/>
      <c r="C73" s="6"/>
      <c r="D73" s="4"/>
      <c r="E73" s="9"/>
      <c r="F73" s="30"/>
      <c r="G73" s="27"/>
      <c r="H73" s="27"/>
      <c r="I73" s="9"/>
      <c r="J73" s="10"/>
      <c r="K73" s="30"/>
      <c r="L73" s="28"/>
      <c r="M73" s="28"/>
      <c r="N73" s="8"/>
      <c r="O73" s="6"/>
      <c r="P73" s="30"/>
      <c r="Q73" s="28"/>
      <c r="R73" s="28"/>
    </row>
    <row r="74" spans="1:18">
      <c r="A74" s="2"/>
      <c r="B74" s="11"/>
      <c r="C74" s="6"/>
      <c r="D74" s="12"/>
      <c r="E74" s="544"/>
      <c r="F74" s="13"/>
      <c r="G74" s="13" t="s">
        <v>20</v>
      </c>
      <c r="H74" s="25">
        <f>SUM(H67:H73)</f>
        <v>8300</v>
      </c>
      <c r="I74" s="703"/>
      <c r="J74" s="703"/>
      <c r="K74" s="14"/>
      <c r="L74" s="13" t="s">
        <v>21</v>
      </c>
      <c r="M74" s="25">
        <f>SUM(M67:M73)</f>
        <v>6332.8220000000001</v>
      </c>
      <c r="N74" s="3"/>
      <c r="O74" s="14"/>
      <c r="P74" s="14"/>
      <c r="Q74" s="13" t="s">
        <v>22</v>
      </c>
      <c r="R74" s="25">
        <f>SUM(R67:R73)</f>
        <v>1453.6704000000002</v>
      </c>
    </row>
    <row r="75" spans="1:18">
      <c r="A75" s="2"/>
      <c r="B75" s="16" t="s">
        <v>13</v>
      </c>
      <c r="C75" s="14"/>
      <c r="D75" s="14"/>
      <c r="E75" s="14"/>
      <c r="F75" s="14"/>
      <c r="G75" s="13"/>
      <c r="H75" s="35">
        <f>M74+R74+H74</f>
        <v>16086.492399999999</v>
      </c>
      <c r="I75" s="17"/>
      <c r="J75" s="14"/>
      <c r="K75" s="14"/>
      <c r="L75" s="13"/>
      <c r="M75" s="15"/>
      <c r="N75" s="14"/>
      <c r="O75" s="14"/>
      <c r="P75" s="14"/>
      <c r="Q75" s="14"/>
      <c r="R75" s="17"/>
    </row>
    <row r="76" spans="1:18">
      <c r="A76" s="2"/>
      <c r="B76" s="11" t="s">
        <v>25</v>
      </c>
      <c r="C76" s="4"/>
      <c r="D76" s="4"/>
      <c r="E76" s="4"/>
      <c r="F76" s="4"/>
      <c r="G76" s="18"/>
      <c r="H76" s="36">
        <v>0</v>
      </c>
      <c r="I76" s="20"/>
      <c r="J76" s="4" t="s">
        <v>26</v>
      </c>
      <c r="K76" s="4"/>
      <c r="L76" s="18"/>
      <c r="M76" s="19"/>
      <c r="N76" s="4"/>
      <c r="O76" s="4"/>
      <c r="P76" s="4"/>
      <c r="Q76" s="4"/>
      <c r="R76" s="20"/>
    </row>
    <row r="77" spans="1:18">
      <c r="A77" s="23"/>
      <c r="B77" s="11" t="s">
        <v>14</v>
      </c>
      <c r="C77" s="4"/>
      <c r="D77" s="4"/>
      <c r="E77" s="4"/>
      <c r="F77" s="4"/>
      <c r="G77" s="18"/>
      <c r="H77" s="36">
        <f>SUM(H75:H76)</f>
        <v>16086.492399999999</v>
      </c>
      <c r="I77" s="20"/>
      <c r="J77" s="741"/>
      <c r="K77" s="742"/>
      <c r="L77" s="742"/>
      <c r="M77" s="742"/>
      <c r="N77" s="742"/>
      <c r="O77" s="742"/>
      <c r="P77" s="742"/>
      <c r="Q77" s="742"/>
      <c r="R77" s="743"/>
    </row>
    <row r="78" spans="1:18">
      <c r="A78" s="23"/>
      <c r="B78" s="11" t="s">
        <v>24</v>
      </c>
      <c r="C78" s="4"/>
      <c r="D78" s="4"/>
      <c r="E78" s="4"/>
      <c r="F78" s="4"/>
      <c r="G78" s="18"/>
      <c r="H78" s="36">
        <f>H77*15%</f>
        <v>2412.9738599999996</v>
      </c>
      <c r="I78" s="20"/>
      <c r="J78" s="744"/>
      <c r="K78" s="745"/>
      <c r="L78" s="745"/>
      <c r="M78" s="745"/>
      <c r="N78" s="745"/>
      <c r="O78" s="745"/>
      <c r="P78" s="745"/>
      <c r="Q78" s="745"/>
      <c r="R78" s="746"/>
    </row>
    <row r="79" spans="1:18">
      <c r="A79" s="23"/>
      <c r="B79" s="11" t="s">
        <v>15</v>
      </c>
      <c r="C79" s="4"/>
      <c r="D79" s="4"/>
      <c r="E79" s="4"/>
      <c r="F79" s="4"/>
      <c r="G79" s="21" t="s">
        <v>16</v>
      </c>
      <c r="H79" s="37">
        <f>H78+H77</f>
        <v>18499.466259999997</v>
      </c>
      <c r="I79" s="38" t="str">
        <f>CONCATENATE("per ",C67, C68)</f>
        <v>per 1m</v>
      </c>
      <c r="J79" s="744"/>
      <c r="K79" s="745"/>
      <c r="L79" s="745"/>
      <c r="M79" s="745"/>
      <c r="N79" s="745"/>
      <c r="O79" s="745"/>
      <c r="P79" s="745"/>
      <c r="Q79" s="745"/>
      <c r="R79" s="746"/>
    </row>
    <row r="80" spans="1:18">
      <c r="A80" s="23"/>
      <c r="B80" s="11"/>
      <c r="C80" s="4"/>
      <c r="D80" s="4"/>
      <c r="E80" s="4"/>
      <c r="F80" s="4"/>
      <c r="G80" s="21" t="s">
        <v>16</v>
      </c>
      <c r="H80" s="37">
        <f>H79/C67</f>
        <v>18499.466259999997</v>
      </c>
      <c r="I80" s="38" t="str">
        <f>CONCATENATE("per ",C68)</f>
        <v>per m</v>
      </c>
      <c r="J80" s="744"/>
      <c r="K80" s="745"/>
      <c r="L80" s="745"/>
      <c r="M80" s="745"/>
      <c r="N80" s="745"/>
      <c r="O80" s="745"/>
      <c r="P80" s="745"/>
      <c r="Q80" s="745"/>
      <c r="R80" s="746"/>
    </row>
    <row r="81" spans="1:18">
      <c r="A81" s="23"/>
      <c r="B81" s="11" t="s">
        <v>18</v>
      </c>
      <c r="C81" s="4" t="s">
        <v>19</v>
      </c>
      <c r="D81" s="4"/>
      <c r="E81" s="4"/>
      <c r="F81" s="4"/>
      <c r="G81" s="21" t="s">
        <v>16</v>
      </c>
      <c r="H81" s="37">
        <f>CEILING(H80,0.5)</f>
        <v>18499.5</v>
      </c>
      <c r="I81" s="38" t="str">
        <f>CONCATENATE("per ",C68)</f>
        <v>per m</v>
      </c>
      <c r="J81" s="744"/>
      <c r="K81" s="745"/>
      <c r="L81" s="745"/>
      <c r="M81" s="745"/>
      <c r="N81" s="745"/>
      <c r="O81" s="745"/>
      <c r="P81" s="745"/>
      <c r="Q81" s="745"/>
      <c r="R81" s="746"/>
    </row>
    <row r="82" spans="1:18">
      <c r="A82" s="23"/>
      <c r="B82" s="11"/>
      <c r="C82" s="4"/>
      <c r="D82" s="4"/>
      <c r="E82" s="4"/>
      <c r="F82" s="4"/>
      <c r="G82" s="24" t="s">
        <v>17</v>
      </c>
      <c r="H82" s="37">
        <f>H81/exr</f>
        <v>142.30384615384617</v>
      </c>
      <c r="I82" s="38" t="str">
        <f>CONCATENATE("per ",C68)</f>
        <v>per m</v>
      </c>
      <c r="J82" s="747"/>
      <c r="K82" s="748"/>
      <c r="L82" s="748"/>
      <c r="M82" s="748"/>
      <c r="N82" s="748"/>
      <c r="O82" s="748"/>
      <c r="P82" s="748"/>
      <c r="Q82" s="748"/>
      <c r="R82" s="749"/>
    </row>
    <row r="83" spans="1:18">
      <c r="A83" s="39"/>
      <c r="B83" s="40"/>
      <c r="C83" s="41"/>
      <c r="D83" s="41"/>
      <c r="E83" s="41"/>
      <c r="F83" s="41"/>
      <c r="G83" s="149" t="s">
        <v>460</v>
      </c>
      <c r="H83" s="150">
        <f>CEILING(SUM(M68)/H75,0.0025)</f>
        <v>0.14000000000000001</v>
      </c>
      <c r="I83" s="42"/>
      <c r="J83" s="43"/>
      <c r="K83" s="43"/>
      <c r="L83" s="43"/>
      <c r="M83" s="43"/>
      <c r="N83" s="43"/>
      <c r="O83" s="43"/>
      <c r="P83" s="43"/>
      <c r="Q83" s="43"/>
      <c r="R83" s="44"/>
    </row>
  </sheetData>
  <mergeCells count="36">
    <mergeCell ref="B67:B71"/>
    <mergeCell ref="I74:J74"/>
    <mergeCell ref="J77:R82"/>
    <mergeCell ref="B46:B50"/>
    <mergeCell ref="I53:J53"/>
    <mergeCell ref="J56:R61"/>
    <mergeCell ref="N64:R64"/>
    <mergeCell ref="A64:A65"/>
    <mergeCell ref="B64:B65"/>
    <mergeCell ref="C64:C65"/>
    <mergeCell ref="D64:H64"/>
    <mergeCell ref="I64:M64"/>
    <mergeCell ref="B25:B29"/>
    <mergeCell ref="I32:J32"/>
    <mergeCell ref="J35:R40"/>
    <mergeCell ref="A43:A44"/>
    <mergeCell ref="B43:B44"/>
    <mergeCell ref="C43:C44"/>
    <mergeCell ref="D43:H43"/>
    <mergeCell ref="I43:M43"/>
    <mergeCell ref="N43:R43"/>
    <mergeCell ref="B4:B8"/>
    <mergeCell ref="I11:J11"/>
    <mergeCell ref="J14:R19"/>
    <mergeCell ref="A22:A23"/>
    <mergeCell ref="B22:B23"/>
    <mergeCell ref="C22:C23"/>
    <mergeCell ref="D22:H22"/>
    <mergeCell ref="I22:M22"/>
    <mergeCell ref="N22:R22"/>
    <mergeCell ref="N1:R1"/>
    <mergeCell ref="A1:A2"/>
    <mergeCell ref="B1:B2"/>
    <mergeCell ref="C1:C2"/>
    <mergeCell ref="D1:H1"/>
    <mergeCell ref="I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12"/>
  <sheetViews>
    <sheetView topLeftCell="A10" workbookViewId="0">
      <selection activeCell="D12" sqref="D12"/>
    </sheetView>
  </sheetViews>
  <sheetFormatPr defaultRowHeight="15"/>
  <cols>
    <col min="1" max="1" width="17.85546875" customWidth="1"/>
  </cols>
  <sheetData>
    <row r="1" spans="1:8" ht="15.75" thickBot="1">
      <c r="C1" t="s">
        <v>70</v>
      </c>
      <c r="D1" t="s">
        <v>67</v>
      </c>
      <c r="E1" t="s">
        <v>69</v>
      </c>
    </row>
    <row r="2" spans="1:8" ht="30.75" thickBot="1">
      <c r="A2" s="662" t="s">
        <v>1026</v>
      </c>
      <c r="B2" s="661" t="s">
        <v>1027</v>
      </c>
      <c r="C2" s="661">
        <v>181</v>
      </c>
      <c r="D2" s="661">
        <v>178</v>
      </c>
      <c r="E2" s="661">
        <v>178</v>
      </c>
      <c r="F2" s="661">
        <v>1800</v>
      </c>
      <c r="G2" s="661">
        <v>190</v>
      </c>
      <c r="H2" s="661">
        <v>1645</v>
      </c>
    </row>
    <row r="3" spans="1:8" ht="30.75" thickBot="1">
      <c r="A3" s="662" t="s">
        <v>1028</v>
      </c>
      <c r="B3" s="661" t="s">
        <v>1027</v>
      </c>
      <c r="C3" s="661">
        <v>181</v>
      </c>
      <c r="D3" s="661">
        <v>172</v>
      </c>
      <c r="E3" s="661">
        <v>172</v>
      </c>
      <c r="F3" s="661">
        <v>1800</v>
      </c>
      <c r="G3" s="661">
        <v>190</v>
      </c>
      <c r="H3" s="661">
        <v>1645</v>
      </c>
    </row>
    <row r="4" spans="1:8" ht="30.75" thickBot="1">
      <c r="A4" s="662" t="s">
        <v>1029</v>
      </c>
      <c r="B4" s="661" t="s">
        <v>1027</v>
      </c>
      <c r="C4" s="661">
        <v>179</v>
      </c>
      <c r="D4" s="661">
        <v>163</v>
      </c>
      <c r="E4" s="661">
        <v>163</v>
      </c>
      <c r="F4" s="661">
        <v>1800</v>
      </c>
      <c r="G4" s="661">
        <v>185</v>
      </c>
      <c r="H4" s="661">
        <v>1645</v>
      </c>
    </row>
    <row r="5" spans="1:8" ht="30.75" thickBot="1">
      <c r="A5" s="662" t="s">
        <v>1030</v>
      </c>
      <c r="B5" s="661" t="s">
        <v>1027</v>
      </c>
      <c r="C5" s="661">
        <v>199</v>
      </c>
      <c r="D5" s="661">
        <v>192</v>
      </c>
      <c r="E5" s="661">
        <v>192</v>
      </c>
      <c r="F5" s="661">
        <v>1800</v>
      </c>
      <c r="G5" s="661">
        <v>185</v>
      </c>
      <c r="H5" s="661">
        <v>1645</v>
      </c>
    </row>
    <row r="6" spans="1:8" ht="30.75" thickBot="1">
      <c r="A6" s="662" t="s">
        <v>1031</v>
      </c>
      <c r="B6" s="661" t="s">
        <v>1027</v>
      </c>
      <c r="C6" s="661">
        <v>178</v>
      </c>
      <c r="D6" s="661">
        <v>165</v>
      </c>
      <c r="E6" s="661">
        <v>165</v>
      </c>
      <c r="F6" s="661">
        <v>1800</v>
      </c>
      <c r="G6" s="661">
        <v>166</v>
      </c>
      <c r="H6" s="661">
        <v>1545</v>
      </c>
    </row>
    <row r="7" spans="1:8" ht="30.75" thickBot="1">
      <c r="A7" s="662" t="s">
        <v>1032</v>
      </c>
      <c r="B7" s="661" t="s">
        <v>1027</v>
      </c>
      <c r="C7" s="661">
        <v>170</v>
      </c>
      <c r="D7" s="661">
        <v>153</v>
      </c>
      <c r="E7" s="661">
        <v>153</v>
      </c>
      <c r="F7" s="661">
        <v>1800</v>
      </c>
      <c r="G7" s="661">
        <v>166</v>
      </c>
      <c r="H7" s="661">
        <v>1545</v>
      </c>
    </row>
    <row r="8" spans="1:8" ht="15.75" thickBot="1">
      <c r="A8" s="662"/>
      <c r="B8" s="661"/>
      <c r="C8" s="661"/>
      <c r="D8" s="661"/>
      <c r="E8" s="661"/>
      <c r="F8" s="661"/>
      <c r="G8" s="661"/>
      <c r="H8" s="661"/>
    </row>
    <row r="9" spans="1:8" ht="15.75" thickBot="1">
      <c r="A9" s="662"/>
      <c r="B9" s="661"/>
      <c r="C9" s="661"/>
      <c r="D9" s="661"/>
      <c r="E9" s="661"/>
      <c r="F9" s="661"/>
      <c r="G9" s="661"/>
      <c r="H9" s="661"/>
    </row>
    <row r="10" spans="1:8" ht="15.75" thickBot="1">
      <c r="A10" s="662"/>
      <c r="B10" s="661"/>
      <c r="C10" s="661"/>
      <c r="D10" s="661"/>
      <c r="E10" s="661"/>
      <c r="F10" s="661"/>
      <c r="G10" s="661"/>
      <c r="H10" s="661"/>
    </row>
    <row r="11" spans="1:8" ht="15.75" thickBot="1">
      <c r="A11" s="663"/>
      <c r="B11" s="664"/>
      <c r="C11" s="664"/>
      <c r="D11" s="664"/>
      <c r="E11" s="664"/>
      <c r="F11" s="664"/>
      <c r="G11" s="664"/>
      <c r="H11" s="664"/>
    </row>
    <row r="12" spans="1:8">
      <c r="C12">
        <f>AVERAGE(C2:C11)</f>
        <v>181.33333333333334</v>
      </c>
      <c r="D12">
        <f t="shared" ref="D12:H12" si="0">AVERAGE(D2:D11)</f>
        <v>170.5</v>
      </c>
      <c r="E12">
        <f t="shared" si="0"/>
        <v>170.5</v>
      </c>
      <c r="F12">
        <f t="shared" si="0"/>
        <v>1800</v>
      </c>
      <c r="G12">
        <f t="shared" si="0"/>
        <v>180.33333333333334</v>
      </c>
      <c r="H12">
        <f t="shared" si="0"/>
        <v>1611.6666666666667</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4"/>
  <sheetViews>
    <sheetView workbookViewId="0">
      <selection sqref="A1:A2"/>
    </sheetView>
  </sheetViews>
  <sheetFormatPr defaultColWidth="9.140625" defaultRowHeight="15"/>
  <cols>
    <col min="1" max="1" width="9.140625" style="294"/>
    <col min="2" max="2" width="20" style="294" customWidth="1"/>
    <col min="3" max="3" width="4.85546875" style="294" customWidth="1"/>
    <col min="4" max="4" width="21.42578125" style="294" customWidth="1"/>
    <col min="5" max="7" width="9.140625" style="294"/>
    <col min="8" max="8" width="11.140625" style="294" customWidth="1"/>
    <col min="9" max="9" width="18.85546875" style="294" customWidth="1"/>
    <col min="10" max="11" width="9.140625" style="294"/>
    <col min="12" max="13" width="10.5703125" style="294" customWidth="1"/>
    <col min="14" max="14" width="16.28515625" style="294" customWidth="1"/>
    <col min="15" max="17" width="9.140625" style="294"/>
    <col min="18" max="18" width="10.42578125" style="294" customWidth="1"/>
    <col min="19" max="16384" width="9.140625" style="294"/>
  </cols>
  <sheetData>
    <row r="1" spans="1:18">
      <c r="A1" s="772" t="s">
        <v>0</v>
      </c>
      <c r="B1" s="773" t="s">
        <v>1</v>
      </c>
      <c r="C1" s="773" t="s">
        <v>2</v>
      </c>
      <c r="D1" s="771" t="s">
        <v>3</v>
      </c>
      <c r="E1" s="771"/>
      <c r="F1" s="771"/>
      <c r="G1" s="771"/>
      <c r="H1" s="771"/>
      <c r="I1" s="771" t="s">
        <v>4</v>
      </c>
      <c r="J1" s="771"/>
      <c r="K1" s="771"/>
      <c r="L1" s="771"/>
      <c r="M1" s="771"/>
      <c r="N1" s="771" t="s">
        <v>5</v>
      </c>
      <c r="O1" s="771"/>
      <c r="P1" s="771"/>
      <c r="Q1" s="771"/>
      <c r="R1" s="771"/>
    </row>
    <row r="2" spans="1:18">
      <c r="A2" s="772"/>
      <c r="B2" s="773"/>
      <c r="C2" s="773"/>
      <c r="D2" s="550" t="s">
        <v>6</v>
      </c>
      <c r="E2" s="550" t="s">
        <v>2</v>
      </c>
      <c r="F2" s="551" t="s">
        <v>7</v>
      </c>
      <c r="G2" s="551" t="s">
        <v>8</v>
      </c>
      <c r="H2" s="551" t="s">
        <v>9</v>
      </c>
      <c r="I2" s="550" t="s">
        <v>10</v>
      </c>
      <c r="J2" s="550" t="s">
        <v>2</v>
      </c>
      <c r="K2" s="550" t="s">
        <v>7</v>
      </c>
      <c r="L2" s="551" t="s">
        <v>8</v>
      </c>
      <c r="M2" s="551" t="s">
        <v>9</v>
      </c>
      <c r="N2" s="550" t="s">
        <v>10</v>
      </c>
      <c r="O2" s="550" t="s">
        <v>2</v>
      </c>
      <c r="P2" s="550" t="s">
        <v>7</v>
      </c>
      <c r="Q2" s="550" t="s">
        <v>8</v>
      </c>
      <c r="R2" s="550" t="s">
        <v>9</v>
      </c>
    </row>
    <row r="3" spans="1:18" ht="15.75">
      <c r="A3" s="34">
        <v>1</v>
      </c>
      <c r="B3" s="714" t="s">
        <v>817</v>
      </c>
      <c r="C3" s="180">
        <v>7.5</v>
      </c>
      <c r="D3" s="4"/>
      <c r="E3" s="6"/>
      <c r="F3" s="29"/>
      <c r="G3" s="26"/>
      <c r="H3" s="26"/>
      <c r="I3" s="6"/>
      <c r="J3" s="6"/>
      <c r="K3" s="29"/>
      <c r="L3" s="26"/>
      <c r="M3" s="26"/>
      <c r="N3" s="6"/>
      <c r="O3" s="6"/>
      <c r="P3" s="29"/>
      <c r="Q3" s="26"/>
      <c r="R3" s="26"/>
    </row>
    <row r="4" spans="1:18" ht="15.75">
      <c r="A4" s="2"/>
      <c r="B4" s="714"/>
      <c r="C4" s="184" t="s">
        <v>11</v>
      </c>
      <c r="D4" s="4" t="s">
        <v>75</v>
      </c>
      <c r="E4" s="66" t="s">
        <v>81</v>
      </c>
      <c r="F4" s="29">
        <v>0.25</v>
      </c>
      <c r="G4" s="26">
        <f>fr</f>
        <v>1100</v>
      </c>
      <c r="H4" s="26">
        <f>F4*G4</f>
        <v>275</v>
      </c>
      <c r="I4" s="7" t="s">
        <v>515</v>
      </c>
      <c r="J4" s="145" t="s">
        <v>113</v>
      </c>
      <c r="K4" s="29">
        <f>500*C3/1000</f>
        <v>3.75</v>
      </c>
      <c r="L4" s="28">
        <f>cement</f>
        <v>24049.69</v>
      </c>
      <c r="M4" s="26">
        <f>K4*L4</f>
        <v>90186.337499999994</v>
      </c>
      <c r="N4" s="8" t="s">
        <v>398</v>
      </c>
      <c r="O4" s="66" t="s">
        <v>101</v>
      </c>
      <c r="P4" s="29">
        <v>11</v>
      </c>
      <c r="Q4" s="28">
        <f>compressor</f>
        <v>270.39999999999998</v>
      </c>
      <c r="R4" s="26">
        <f t="shared" ref="R4:R9" si="0">P4*Q4</f>
        <v>2974.3999999999996</v>
      </c>
    </row>
    <row r="5" spans="1:18" ht="15.75">
      <c r="A5" s="2"/>
      <c r="B5" s="714"/>
      <c r="C5" s="6"/>
      <c r="D5" s="4" t="s">
        <v>461</v>
      </c>
      <c r="E5" s="66" t="s">
        <v>81</v>
      </c>
      <c r="F5" s="29">
        <v>1.375</v>
      </c>
      <c r="G5" s="26">
        <f>sup</f>
        <v>900</v>
      </c>
      <c r="H5" s="26">
        <f t="shared" ref="H5:H15" si="1">F5*G5</f>
        <v>1237.5</v>
      </c>
      <c r="I5" s="7" t="s">
        <v>471</v>
      </c>
      <c r="J5" s="145" t="s">
        <v>424</v>
      </c>
      <c r="K5" s="29">
        <f>4%*K4*1000</f>
        <v>150</v>
      </c>
      <c r="L5" s="28">
        <f>accelerator</f>
        <v>89.04</v>
      </c>
      <c r="M5" s="26">
        <f>K5*L5</f>
        <v>13356.000000000002</v>
      </c>
      <c r="N5" s="8" t="s">
        <v>287</v>
      </c>
      <c r="O5" s="66" t="s">
        <v>101</v>
      </c>
      <c r="P5" s="29">
        <v>11</v>
      </c>
      <c r="Q5" s="28">
        <f>mixer</f>
        <v>216.32</v>
      </c>
      <c r="R5" s="26">
        <f t="shared" si="0"/>
        <v>2379.52</v>
      </c>
    </row>
    <row r="6" spans="1:18" ht="15.75">
      <c r="A6" s="2"/>
      <c r="B6" s="714" t="s">
        <v>925</v>
      </c>
      <c r="C6" s="6"/>
      <c r="D6" s="4" t="s">
        <v>511</v>
      </c>
      <c r="E6" s="66" t="s">
        <v>81</v>
      </c>
      <c r="F6" s="29">
        <v>1.375</v>
      </c>
      <c r="G6" s="26">
        <f>or</f>
        <v>1840</v>
      </c>
      <c r="H6" s="26">
        <f t="shared" si="1"/>
        <v>2530</v>
      </c>
      <c r="I6" s="7" t="s">
        <v>286</v>
      </c>
      <c r="J6" s="145" t="s">
        <v>11</v>
      </c>
      <c r="K6" s="29">
        <v>7.62</v>
      </c>
      <c r="L6" s="28">
        <f>sand</f>
        <v>1050</v>
      </c>
      <c r="M6" s="26">
        <f t="shared" ref="M6:M11" si="2">K6*L6</f>
        <v>8001</v>
      </c>
      <c r="N6" s="8" t="s">
        <v>517</v>
      </c>
      <c r="O6" s="66" t="s">
        <v>101</v>
      </c>
      <c r="P6" s="29">
        <v>11</v>
      </c>
      <c r="Q6" s="28">
        <f>Shotcrete_boomtruck</f>
        <v>540.79999999999995</v>
      </c>
      <c r="R6" s="26">
        <f t="shared" si="0"/>
        <v>5948.7999999999993</v>
      </c>
    </row>
    <row r="7" spans="1:18" ht="15.75">
      <c r="A7" s="2"/>
      <c r="B7" s="714"/>
      <c r="C7" s="6"/>
      <c r="D7" s="4" t="s">
        <v>512</v>
      </c>
      <c r="E7" s="66" t="s">
        <v>81</v>
      </c>
      <c r="F7" s="29">
        <v>1.375</v>
      </c>
      <c r="G7" s="154">
        <f>or</f>
        <v>1840</v>
      </c>
      <c r="H7" s="26">
        <f t="shared" si="1"/>
        <v>2530</v>
      </c>
      <c r="I7" s="7" t="s">
        <v>516</v>
      </c>
      <c r="J7" s="145" t="s">
        <v>11</v>
      </c>
      <c r="K7" s="29">
        <v>4.0999999999999996</v>
      </c>
      <c r="L7" s="28">
        <f>Agg_10</f>
        <v>2950</v>
      </c>
      <c r="M7" s="26">
        <f t="shared" si="2"/>
        <v>12094.999999999998</v>
      </c>
      <c r="N7" s="8" t="s">
        <v>384</v>
      </c>
      <c r="O7" s="66" t="s">
        <v>101</v>
      </c>
      <c r="P7" s="29">
        <v>11</v>
      </c>
      <c r="Q7" s="28">
        <f>wheel_loader</f>
        <v>1622.4</v>
      </c>
      <c r="R7" s="26">
        <f t="shared" si="0"/>
        <v>17846.400000000001</v>
      </c>
    </row>
    <row r="8" spans="1:18" ht="15.75">
      <c r="A8" s="2"/>
      <c r="B8" s="714"/>
      <c r="C8" s="6"/>
      <c r="D8" s="4" t="s">
        <v>486</v>
      </c>
      <c r="E8" s="66" t="s">
        <v>81</v>
      </c>
      <c r="F8" s="29">
        <v>1.375</v>
      </c>
      <c r="G8" s="26">
        <f>or</f>
        <v>1840</v>
      </c>
      <c r="H8" s="26">
        <f t="shared" si="1"/>
        <v>2530</v>
      </c>
      <c r="I8" s="7" t="s">
        <v>67</v>
      </c>
      <c r="J8" s="145" t="s">
        <v>250</v>
      </c>
      <c r="K8" s="29">
        <v>190</v>
      </c>
      <c r="L8" s="28">
        <f>diesel</f>
        <v>177.6</v>
      </c>
      <c r="M8" s="26">
        <f t="shared" si="2"/>
        <v>33744</v>
      </c>
      <c r="N8" s="8" t="s">
        <v>204</v>
      </c>
      <c r="O8" s="66" t="s">
        <v>101</v>
      </c>
      <c r="P8" s="29">
        <v>1</v>
      </c>
      <c r="Q8" s="28">
        <f>truck</f>
        <v>486.72</v>
      </c>
      <c r="R8" s="26">
        <f t="shared" si="0"/>
        <v>486.72</v>
      </c>
    </row>
    <row r="9" spans="1:18" ht="15.75">
      <c r="A9" s="2"/>
      <c r="B9" s="126"/>
      <c r="C9" s="6"/>
      <c r="D9" s="4" t="s">
        <v>513</v>
      </c>
      <c r="E9" s="66" t="s">
        <v>81</v>
      </c>
      <c r="F9" s="29">
        <v>1.375</v>
      </c>
      <c r="G9" s="26">
        <f>or</f>
        <v>1840</v>
      </c>
      <c r="H9" s="26">
        <f t="shared" si="1"/>
        <v>2530</v>
      </c>
      <c r="I9" s="7" t="s">
        <v>467</v>
      </c>
      <c r="J9" s="145" t="s">
        <v>250</v>
      </c>
      <c r="K9" s="29">
        <v>2</v>
      </c>
      <c r="L9" s="28">
        <f>lubricant</f>
        <v>459.84</v>
      </c>
      <c r="M9" s="26">
        <f t="shared" si="2"/>
        <v>919.68</v>
      </c>
      <c r="N9" s="8" t="s">
        <v>518</v>
      </c>
      <c r="O9" s="66" t="s">
        <v>101</v>
      </c>
      <c r="P9" s="29">
        <v>11</v>
      </c>
      <c r="Q9" s="28">
        <f>fan</f>
        <v>260.67</v>
      </c>
      <c r="R9" s="26">
        <f t="shared" si="0"/>
        <v>2867.3700000000003</v>
      </c>
    </row>
    <row r="10" spans="1:18" ht="15.75">
      <c r="A10" s="2"/>
      <c r="B10" s="126"/>
      <c r="C10" s="6"/>
      <c r="D10" s="4" t="s">
        <v>492</v>
      </c>
      <c r="E10" s="66" t="s">
        <v>81</v>
      </c>
      <c r="F10" s="29">
        <v>20.625</v>
      </c>
      <c r="G10" s="26">
        <f>ur</f>
        <v>850</v>
      </c>
      <c r="H10" s="26">
        <f t="shared" si="1"/>
        <v>17531.25</v>
      </c>
      <c r="I10" s="7" t="s">
        <v>416</v>
      </c>
      <c r="J10" s="145" t="s">
        <v>28</v>
      </c>
      <c r="K10" s="29">
        <f>10%*K4*1000</f>
        <v>375</v>
      </c>
      <c r="L10" s="28">
        <f>silica_fumes</f>
        <v>365.65</v>
      </c>
      <c r="M10" s="26">
        <f t="shared" si="2"/>
        <v>137118.75</v>
      </c>
      <c r="N10" s="8"/>
      <c r="O10" s="66"/>
      <c r="P10" s="29"/>
      <c r="Q10" s="28"/>
      <c r="R10" s="26"/>
    </row>
    <row r="11" spans="1:18" ht="15.75">
      <c r="A11" s="2"/>
      <c r="B11" s="126"/>
      <c r="C11" s="6"/>
      <c r="D11" s="4" t="s">
        <v>88</v>
      </c>
      <c r="E11" s="66" t="s">
        <v>81</v>
      </c>
      <c r="F11" s="29">
        <v>0.25</v>
      </c>
      <c r="G11" s="26">
        <f>el</f>
        <v>1100</v>
      </c>
      <c r="H11" s="26">
        <f t="shared" si="1"/>
        <v>275</v>
      </c>
      <c r="I11" s="7" t="s">
        <v>565</v>
      </c>
      <c r="J11" s="145" t="s">
        <v>28</v>
      </c>
      <c r="K11" s="29">
        <f>1%*K4*1000</f>
        <v>37.5</v>
      </c>
      <c r="L11" s="28">
        <f>plasticizers</f>
        <v>139.63</v>
      </c>
      <c r="M11" s="26">
        <f t="shared" si="2"/>
        <v>5236.125</v>
      </c>
      <c r="N11" s="8"/>
      <c r="O11" s="66"/>
      <c r="P11" s="29"/>
      <c r="Q11" s="28"/>
      <c r="R11" s="26"/>
    </row>
    <row r="12" spans="1:18" ht="15.75">
      <c r="A12" s="2"/>
      <c r="B12" s="126"/>
      <c r="C12" s="6"/>
      <c r="D12" s="4" t="s">
        <v>463</v>
      </c>
      <c r="E12" s="66" t="s">
        <v>81</v>
      </c>
      <c r="F12" s="29">
        <v>0.25</v>
      </c>
      <c r="G12" s="26">
        <f>mech</f>
        <v>1100</v>
      </c>
      <c r="H12" s="26">
        <f t="shared" si="1"/>
        <v>275</v>
      </c>
      <c r="I12" s="7"/>
      <c r="J12" s="145"/>
      <c r="K12" s="29"/>
      <c r="L12" s="28"/>
      <c r="M12" s="26"/>
      <c r="N12" s="8"/>
      <c r="O12" s="66"/>
      <c r="P12" s="29"/>
      <c r="Q12" s="28"/>
      <c r="R12" s="26"/>
    </row>
    <row r="13" spans="1:18" ht="15.75">
      <c r="A13" s="2"/>
      <c r="B13" s="126"/>
      <c r="C13" s="6"/>
      <c r="D13" s="4" t="s">
        <v>489</v>
      </c>
      <c r="E13" s="66" t="s">
        <v>81</v>
      </c>
      <c r="F13" s="29">
        <v>1.375</v>
      </c>
      <c r="G13" s="26">
        <f>or</f>
        <v>1840</v>
      </c>
      <c r="H13" s="26">
        <f t="shared" si="1"/>
        <v>2530</v>
      </c>
      <c r="I13" s="7"/>
      <c r="J13" s="145"/>
      <c r="K13" s="29"/>
      <c r="L13" s="28"/>
      <c r="M13" s="26"/>
      <c r="N13" s="8"/>
      <c r="O13" s="66"/>
      <c r="P13" s="29"/>
      <c r="Q13" s="28"/>
      <c r="R13" s="26"/>
    </row>
    <row r="14" spans="1:18" ht="15.75">
      <c r="A14" s="2"/>
      <c r="B14" s="126"/>
      <c r="C14" s="6"/>
      <c r="D14" s="4" t="s">
        <v>490</v>
      </c>
      <c r="E14" s="66" t="s">
        <v>81</v>
      </c>
      <c r="F14" s="29">
        <v>0.125</v>
      </c>
      <c r="G14" s="26"/>
      <c r="H14" s="26">
        <f t="shared" si="1"/>
        <v>0</v>
      </c>
      <c r="I14" s="7"/>
      <c r="J14" s="145"/>
      <c r="K14" s="29"/>
      <c r="L14" s="28"/>
      <c r="M14" s="26"/>
      <c r="N14" s="8"/>
      <c r="O14" s="66"/>
      <c r="P14" s="29"/>
      <c r="Q14" s="28"/>
      <c r="R14" s="26"/>
    </row>
    <row r="15" spans="1:18" ht="15.75">
      <c r="A15" s="2"/>
      <c r="B15" s="126"/>
      <c r="C15" s="6"/>
      <c r="D15" s="4" t="s">
        <v>514</v>
      </c>
      <c r="E15" s="66" t="s">
        <v>81</v>
      </c>
      <c r="F15" s="29">
        <v>0.125</v>
      </c>
      <c r="G15" s="26"/>
      <c r="H15" s="26">
        <f t="shared" si="1"/>
        <v>0</v>
      </c>
      <c r="I15" s="7"/>
      <c r="J15" s="145"/>
      <c r="K15" s="29"/>
      <c r="L15" s="28"/>
      <c r="M15" s="26"/>
      <c r="N15" s="153"/>
      <c r="O15" s="66"/>
      <c r="P15" s="29"/>
      <c r="Q15" s="28"/>
      <c r="R15" s="26"/>
    </row>
    <row r="16" spans="1:18" ht="15.75">
      <c r="A16" s="2"/>
      <c r="B16" s="5"/>
      <c r="C16" s="6"/>
      <c r="D16" s="4"/>
      <c r="E16" s="9"/>
      <c r="F16" s="30"/>
      <c r="G16" s="27"/>
      <c r="H16" s="27"/>
      <c r="I16" s="9"/>
      <c r="J16" s="10"/>
      <c r="K16" s="30"/>
      <c r="L16" s="28"/>
      <c r="M16" s="28"/>
      <c r="N16" s="8"/>
      <c r="O16" s="6"/>
      <c r="P16" s="30"/>
      <c r="Q16" s="28"/>
      <c r="R16" s="28"/>
    </row>
    <row r="17" spans="1:18" ht="15.75">
      <c r="A17" s="2"/>
      <c r="B17" s="11"/>
      <c r="C17" s="6"/>
      <c r="D17" s="12"/>
      <c r="E17" s="59"/>
      <c r="F17" s="13"/>
      <c r="G17" s="13" t="s">
        <v>20</v>
      </c>
      <c r="H17" s="25">
        <f>SUM(H3:H16)</f>
        <v>32243.75</v>
      </c>
      <c r="I17" s="703"/>
      <c r="J17" s="703"/>
      <c r="K17" s="14"/>
      <c r="L17" s="13" t="s">
        <v>21</v>
      </c>
      <c r="M17" s="25">
        <f>SUM(M3:M16)</f>
        <v>300656.89249999996</v>
      </c>
      <c r="N17" s="3"/>
      <c r="O17" s="14"/>
      <c r="P17" s="14"/>
      <c r="Q17" s="13" t="s">
        <v>22</v>
      </c>
      <c r="R17" s="25">
        <f>SUM(R3:R16)</f>
        <v>32503.210000000003</v>
      </c>
    </row>
    <row r="18" spans="1:18" ht="15.75">
      <c r="A18" s="2"/>
      <c r="B18" s="16" t="s">
        <v>13</v>
      </c>
      <c r="C18" s="14"/>
      <c r="D18" s="14"/>
      <c r="E18" s="14"/>
      <c r="F18" s="14"/>
      <c r="G18" s="13"/>
      <c r="H18" s="453">
        <f>M17+R17+H17</f>
        <v>365403.85249999998</v>
      </c>
      <c r="I18" s="17"/>
      <c r="J18" s="14"/>
      <c r="K18" s="14"/>
      <c r="L18" s="13"/>
      <c r="M18" s="15"/>
      <c r="N18" s="14"/>
      <c r="O18" s="14"/>
      <c r="P18" s="14"/>
      <c r="Q18" s="14"/>
      <c r="R18" s="17"/>
    </row>
    <row r="19" spans="1:18" ht="15.75">
      <c r="A19" s="23"/>
      <c r="B19" s="11" t="s">
        <v>14</v>
      </c>
      <c r="C19" s="4"/>
      <c r="D19" s="4"/>
      <c r="E19" s="4"/>
      <c r="F19" s="4"/>
      <c r="G19" s="18"/>
      <c r="H19" s="454">
        <f>SUM(H18:H18)</f>
        <v>365403.85249999998</v>
      </c>
      <c r="I19" s="20"/>
      <c r="J19" s="111"/>
      <c r="K19" s="112"/>
      <c r="L19" s="112"/>
      <c r="M19" s="112"/>
      <c r="N19" s="112"/>
      <c r="O19" s="112"/>
      <c r="P19" s="112"/>
      <c r="Q19" s="112"/>
      <c r="R19" s="113"/>
    </row>
    <row r="20" spans="1:18" ht="15.75">
      <c r="A20" s="23"/>
      <c r="B20" s="11" t="s">
        <v>24</v>
      </c>
      <c r="C20" s="4"/>
      <c r="D20" s="4"/>
      <c r="E20" s="4"/>
      <c r="F20" s="4"/>
      <c r="G20" s="18"/>
      <c r="H20" s="454">
        <f>H19*15%</f>
        <v>54810.577874999995</v>
      </c>
      <c r="I20" s="20"/>
      <c r="J20" s="114"/>
      <c r="K20" s="115" t="s">
        <v>103</v>
      </c>
      <c r="L20" s="459">
        <f>H22*(100/1000)</f>
        <v>5602.8590716666668</v>
      </c>
      <c r="M20" s="115"/>
      <c r="N20" s="149" t="s">
        <v>460</v>
      </c>
      <c r="O20" s="150">
        <f>CEILING(SUM(M5,M8,M9,M10,M11,R4,R5,R6,R9)/H18,0.0025)</f>
        <v>0.56000000000000005</v>
      </c>
      <c r="P20" s="115"/>
      <c r="Q20" s="115"/>
      <c r="R20" s="116"/>
    </row>
    <row r="21" spans="1:18" ht="15.75">
      <c r="A21" s="23"/>
      <c r="B21" s="11" t="s">
        <v>15</v>
      </c>
      <c r="C21" s="4"/>
      <c r="D21" s="4"/>
      <c r="E21" s="4"/>
      <c r="F21" s="4"/>
      <c r="G21" s="21" t="s">
        <v>16</v>
      </c>
      <c r="H21" s="455">
        <f>H20+H19</f>
        <v>420214.430375</v>
      </c>
      <c r="I21" s="38" t="str">
        <f>CONCATENATE("per ",C3, C4)</f>
        <v>per 7.5cum</v>
      </c>
      <c r="J21" s="114"/>
      <c r="K21" s="115" t="s">
        <v>103</v>
      </c>
      <c r="L21" s="459">
        <f>H22*(50/1000)</f>
        <v>2801.4295358333334</v>
      </c>
      <c r="M21" s="115"/>
      <c r="N21" s="115"/>
      <c r="O21" s="115"/>
      <c r="P21" s="115"/>
      <c r="Q21" s="115"/>
      <c r="R21" s="116"/>
    </row>
    <row r="22" spans="1:18" ht="15.75">
      <c r="A22" s="23"/>
      <c r="B22" s="456"/>
      <c r="C22" s="457"/>
      <c r="D22" s="457"/>
      <c r="E22" s="457"/>
      <c r="F22" s="457"/>
      <c r="G22" s="458" t="s">
        <v>16</v>
      </c>
      <c r="H22" s="459">
        <f>H21/C3</f>
        <v>56028.590716666666</v>
      </c>
      <c r="I22" s="328" t="s">
        <v>17</v>
      </c>
      <c r="J22" s="329">
        <f>L20/exr</f>
        <v>43.098915935897438</v>
      </c>
      <c r="K22" s="330"/>
      <c r="L22" s="331"/>
      <c r="M22" s="332" t="s">
        <v>783</v>
      </c>
      <c r="N22" s="460">
        <f>ROUND(H22*100%,2)</f>
        <v>56028.59</v>
      </c>
      <c r="O22" s="334"/>
      <c r="P22" s="334"/>
      <c r="Q22" s="334" t="s">
        <v>784</v>
      </c>
      <c r="R22" s="461">
        <f>ROUND(H22-N22,2)</f>
        <v>0</v>
      </c>
    </row>
    <row r="23" spans="1:18" ht="15.75">
      <c r="A23" s="1"/>
      <c r="B23" s="1"/>
      <c r="C23" s="1"/>
      <c r="D23" s="1"/>
      <c r="E23" s="1"/>
      <c r="F23" s="1"/>
      <c r="G23" s="1"/>
      <c r="H23" s="1"/>
      <c r="I23" s="1"/>
      <c r="J23" s="1"/>
      <c r="K23" s="1"/>
      <c r="L23" s="1"/>
      <c r="M23" s="1"/>
      <c r="N23" s="1"/>
      <c r="O23" s="1"/>
      <c r="P23" s="1"/>
      <c r="Q23" s="1"/>
      <c r="R23" s="1"/>
    </row>
    <row r="24" spans="1:18" s="462" customFormat="1" ht="15.75">
      <c r="A24" s="769" t="s">
        <v>0</v>
      </c>
      <c r="B24" s="770" t="s">
        <v>1</v>
      </c>
      <c r="C24" s="770" t="s">
        <v>2</v>
      </c>
      <c r="D24" s="768" t="s">
        <v>3</v>
      </c>
      <c r="E24" s="768"/>
      <c r="F24" s="768"/>
      <c r="G24" s="768"/>
      <c r="H24" s="768"/>
      <c r="I24" s="768" t="s">
        <v>4</v>
      </c>
      <c r="J24" s="768"/>
      <c r="K24" s="768"/>
      <c r="L24" s="768"/>
      <c r="M24" s="768"/>
      <c r="N24" s="768" t="s">
        <v>5</v>
      </c>
      <c r="O24" s="768"/>
      <c r="P24" s="768"/>
      <c r="Q24" s="768"/>
      <c r="R24" s="768"/>
    </row>
    <row r="25" spans="1:18" s="462" customFormat="1" ht="15.75">
      <c r="A25" s="769"/>
      <c r="B25" s="770"/>
      <c r="C25" s="770"/>
      <c r="D25" s="547" t="s">
        <v>6</v>
      </c>
      <c r="E25" s="547" t="s">
        <v>2</v>
      </c>
      <c r="F25" s="547" t="s">
        <v>7</v>
      </c>
      <c r="G25" s="547" t="s">
        <v>8</v>
      </c>
      <c r="H25" s="547" t="s">
        <v>9</v>
      </c>
      <c r="I25" s="547" t="s">
        <v>10</v>
      </c>
      <c r="J25" s="547" t="s">
        <v>2</v>
      </c>
      <c r="K25" s="547" t="s">
        <v>7</v>
      </c>
      <c r="L25" s="547" t="s">
        <v>8</v>
      </c>
      <c r="M25" s="547" t="s">
        <v>9</v>
      </c>
      <c r="N25" s="547" t="s">
        <v>10</v>
      </c>
      <c r="O25" s="547" t="s">
        <v>2</v>
      </c>
      <c r="P25" s="547" t="s">
        <v>7</v>
      </c>
      <c r="Q25" s="547" t="s">
        <v>8</v>
      </c>
      <c r="R25" s="547" t="s">
        <v>9</v>
      </c>
    </row>
    <row r="26" spans="1:18" ht="15.75">
      <c r="A26" s="34">
        <f>A3+1</f>
        <v>2</v>
      </c>
      <c r="B26" s="714" t="s">
        <v>519</v>
      </c>
      <c r="C26" s="66">
        <v>7.5</v>
      </c>
      <c r="D26" s="4"/>
      <c r="E26" s="6"/>
      <c r="F26" s="29"/>
      <c r="G26" s="26"/>
      <c r="H26" s="26"/>
      <c r="I26" s="6"/>
      <c r="J26" s="6"/>
      <c r="K26" s="29"/>
      <c r="L26" s="26"/>
      <c r="M26" s="26"/>
      <c r="N26" s="6"/>
      <c r="O26" s="6"/>
      <c r="P26" s="29"/>
      <c r="Q26" s="26"/>
      <c r="R26" s="26"/>
    </row>
    <row r="27" spans="1:18" ht="15.75">
      <c r="A27" s="2"/>
      <c r="B27" s="714"/>
      <c r="C27" s="124" t="s">
        <v>11</v>
      </c>
      <c r="D27" s="4" t="s">
        <v>75</v>
      </c>
      <c r="E27" s="66" t="s">
        <v>81</v>
      </c>
      <c r="F27" s="29">
        <v>0.25</v>
      </c>
      <c r="G27" s="26">
        <f t="shared" ref="G27:G38" si="3">G4</f>
        <v>1100</v>
      </c>
      <c r="H27" s="26">
        <f>F27*G27</f>
        <v>275</v>
      </c>
      <c r="I27" s="7" t="s">
        <v>515</v>
      </c>
      <c r="J27" s="145" t="s">
        <v>113</v>
      </c>
      <c r="K27" s="29">
        <f>500*C26/1000</f>
        <v>3.75</v>
      </c>
      <c r="L27" s="28">
        <f>cement</f>
        <v>24049.69</v>
      </c>
      <c r="M27" s="26">
        <f>K27*L27</f>
        <v>90186.337499999994</v>
      </c>
      <c r="N27" s="8" t="s">
        <v>398</v>
      </c>
      <c r="O27" s="66" t="s">
        <v>101</v>
      </c>
      <c r="P27" s="29">
        <v>11</v>
      </c>
      <c r="Q27" s="28">
        <f>compressor</f>
        <v>270.39999999999998</v>
      </c>
      <c r="R27" s="26">
        <f t="shared" ref="R27:R32" si="4">P27*Q27</f>
        <v>2974.3999999999996</v>
      </c>
    </row>
    <row r="28" spans="1:18" ht="15.75">
      <c r="A28" s="2"/>
      <c r="B28" s="714"/>
      <c r="C28" s="6"/>
      <c r="D28" s="4" t="s">
        <v>461</v>
      </c>
      <c r="E28" s="66" t="s">
        <v>81</v>
      </c>
      <c r="F28" s="29">
        <v>1.375</v>
      </c>
      <c r="G28" s="26">
        <f t="shared" si="3"/>
        <v>900</v>
      </c>
      <c r="H28" s="26">
        <f t="shared" ref="H28:H38" si="5">F28*G28</f>
        <v>1237.5</v>
      </c>
      <c r="I28" s="7" t="s">
        <v>471</v>
      </c>
      <c r="J28" s="145" t="s">
        <v>424</v>
      </c>
      <c r="K28" s="29">
        <f>4%*K27*1000</f>
        <v>150</v>
      </c>
      <c r="L28" s="28">
        <f>accelerator</f>
        <v>89.04</v>
      </c>
      <c r="M28" s="26">
        <f>K28*L28</f>
        <v>13356.000000000002</v>
      </c>
      <c r="N28" s="8" t="s">
        <v>287</v>
      </c>
      <c r="O28" s="66" t="s">
        <v>101</v>
      </c>
      <c r="P28" s="29">
        <v>11</v>
      </c>
      <c r="Q28" s="28">
        <f>mixer</f>
        <v>216.32</v>
      </c>
      <c r="R28" s="26">
        <f t="shared" si="4"/>
        <v>2379.52</v>
      </c>
    </row>
    <row r="29" spans="1:18" ht="15.75">
      <c r="A29" s="2"/>
      <c r="B29" s="126"/>
      <c r="C29" s="6"/>
      <c r="D29" s="4" t="s">
        <v>511</v>
      </c>
      <c r="E29" s="66" t="s">
        <v>81</v>
      </c>
      <c r="F29" s="29">
        <v>1.375</v>
      </c>
      <c r="G29" s="26">
        <f t="shared" si="3"/>
        <v>1840</v>
      </c>
      <c r="H29" s="26">
        <f t="shared" si="5"/>
        <v>2530</v>
      </c>
      <c r="I29" s="7" t="s">
        <v>286</v>
      </c>
      <c r="J29" s="145" t="s">
        <v>11</v>
      </c>
      <c r="K29" s="29">
        <v>7.62</v>
      </c>
      <c r="L29" s="28">
        <f>sand</f>
        <v>1050</v>
      </c>
      <c r="M29" s="26">
        <f t="shared" ref="M29:M35" si="6">K29*L29</f>
        <v>8001</v>
      </c>
      <c r="N29" s="8" t="s">
        <v>517</v>
      </c>
      <c r="O29" s="66" t="s">
        <v>101</v>
      </c>
      <c r="P29" s="29">
        <v>11</v>
      </c>
      <c r="Q29" s="28">
        <f>Shotcrete_boomtruck</f>
        <v>540.79999999999995</v>
      </c>
      <c r="R29" s="26">
        <f t="shared" si="4"/>
        <v>5948.7999999999993</v>
      </c>
    </row>
    <row r="30" spans="1:18" ht="15.75">
      <c r="A30" s="2"/>
      <c r="B30" s="126"/>
      <c r="C30" s="6"/>
      <c r="D30" s="4" t="s">
        <v>512</v>
      </c>
      <c r="E30" s="66" t="s">
        <v>81</v>
      </c>
      <c r="F30" s="29">
        <v>1.375</v>
      </c>
      <c r="G30" s="26">
        <f t="shared" si="3"/>
        <v>1840</v>
      </c>
      <c r="H30" s="26">
        <f t="shared" si="5"/>
        <v>2530</v>
      </c>
      <c r="I30" s="7" t="s">
        <v>516</v>
      </c>
      <c r="J30" s="145" t="s">
        <v>11</v>
      </c>
      <c r="K30" s="29">
        <v>4.0999999999999996</v>
      </c>
      <c r="L30" s="28">
        <f>Agg_10</f>
        <v>2950</v>
      </c>
      <c r="M30" s="26">
        <f t="shared" si="6"/>
        <v>12094.999999999998</v>
      </c>
      <c r="N30" s="8" t="s">
        <v>384</v>
      </c>
      <c r="O30" s="66" t="s">
        <v>101</v>
      </c>
      <c r="P30" s="29">
        <v>11</v>
      </c>
      <c r="Q30" s="28">
        <f>wheel_loader</f>
        <v>1622.4</v>
      </c>
      <c r="R30" s="26">
        <f t="shared" si="4"/>
        <v>17846.400000000001</v>
      </c>
    </row>
    <row r="31" spans="1:18" ht="15.75">
      <c r="A31" s="2"/>
      <c r="B31" s="126"/>
      <c r="C31" s="6"/>
      <c r="D31" s="4" t="s">
        <v>486</v>
      </c>
      <c r="E31" s="66" t="s">
        <v>81</v>
      </c>
      <c r="F31" s="29">
        <v>1.375</v>
      </c>
      <c r="G31" s="26">
        <f t="shared" si="3"/>
        <v>1840</v>
      </c>
      <c r="H31" s="26">
        <f t="shared" si="5"/>
        <v>2530</v>
      </c>
      <c r="I31" s="7" t="s">
        <v>67</v>
      </c>
      <c r="J31" s="145" t="s">
        <v>250</v>
      </c>
      <c r="K31" s="29">
        <v>190</v>
      </c>
      <c r="L31" s="28">
        <f>diesel</f>
        <v>177.6</v>
      </c>
      <c r="M31" s="26">
        <f t="shared" si="6"/>
        <v>33744</v>
      </c>
      <c r="N31" s="8" t="s">
        <v>204</v>
      </c>
      <c r="O31" s="66" t="s">
        <v>101</v>
      </c>
      <c r="P31" s="29">
        <v>1</v>
      </c>
      <c r="Q31" s="28">
        <f>truck</f>
        <v>486.72</v>
      </c>
      <c r="R31" s="26">
        <f t="shared" si="4"/>
        <v>486.72</v>
      </c>
    </row>
    <row r="32" spans="1:18" ht="15.75">
      <c r="A32" s="2"/>
      <c r="B32" s="126"/>
      <c r="C32" s="6"/>
      <c r="D32" s="4" t="s">
        <v>513</v>
      </c>
      <c r="E32" s="66" t="s">
        <v>81</v>
      </c>
      <c r="F32" s="29">
        <v>1.375</v>
      </c>
      <c r="G32" s="26">
        <f t="shared" si="3"/>
        <v>1840</v>
      </c>
      <c r="H32" s="26">
        <f t="shared" si="5"/>
        <v>2530</v>
      </c>
      <c r="I32" s="7" t="s">
        <v>467</v>
      </c>
      <c r="J32" s="145" t="s">
        <v>250</v>
      </c>
      <c r="K32" s="29">
        <v>2</v>
      </c>
      <c r="L32" s="28">
        <f>lubricant</f>
        <v>459.84</v>
      </c>
      <c r="M32" s="26">
        <f t="shared" si="6"/>
        <v>919.68</v>
      </c>
      <c r="N32" s="8" t="s">
        <v>518</v>
      </c>
      <c r="O32" s="66" t="s">
        <v>101</v>
      </c>
      <c r="P32" s="29">
        <v>11</v>
      </c>
      <c r="Q32" s="28">
        <f>fan</f>
        <v>260.67</v>
      </c>
      <c r="R32" s="26">
        <f t="shared" si="4"/>
        <v>2867.3700000000003</v>
      </c>
    </row>
    <row r="33" spans="1:18" ht="15.75">
      <c r="A33" s="2"/>
      <c r="B33" s="126"/>
      <c r="C33" s="6"/>
      <c r="D33" s="4" t="s">
        <v>492</v>
      </c>
      <c r="E33" s="66" t="s">
        <v>81</v>
      </c>
      <c r="F33" s="29">
        <v>20.625</v>
      </c>
      <c r="G33" s="26">
        <f t="shared" si="3"/>
        <v>850</v>
      </c>
      <c r="H33" s="26">
        <f t="shared" si="5"/>
        <v>17531.25</v>
      </c>
      <c r="I33" s="7" t="s">
        <v>520</v>
      </c>
      <c r="J33" s="145" t="s">
        <v>113</v>
      </c>
      <c r="K33" s="29">
        <f>50*C26/1000</f>
        <v>0.375</v>
      </c>
      <c r="L33" s="28">
        <v>85630</v>
      </c>
      <c r="M33" s="26">
        <f t="shared" si="6"/>
        <v>32111.25</v>
      </c>
      <c r="N33" s="8"/>
      <c r="O33" s="66"/>
      <c r="P33" s="29"/>
      <c r="Q33" s="28"/>
      <c r="R33" s="26"/>
    </row>
    <row r="34" spans="1:18" ht="15.75">
      <c r="A34" s="2"/>
      <c r="B34" s="126"/>
      <c r="C34" s="6"/>
      <c r="D34" s="4" t="s">
        <v>88</v>
      </c>
      <c r="E34" s="66" t="s">
        <v>81</v>
      </c>
      <c r="F34" s="29">
        <v>0.25</v>
      </c>
      <c r="G34" s="26">
        <f t="shared" si="3"/>
        <v>1100</v>
      </c>
      <c r="H34" s="26">
        <f t="shared" si="5"/>
        <v>275</v>
      </c>
      <c r="I34" s="7" t="s">
        <v>416</v>
      </c>
      <c r="J34" s="145" t="s">
        <v>28</v>
      </c>
      <c r="K34" s="29">
        <f>10%*K27*1000</f>
        <v>375</v>
      </c>
      <c r="L34" s="28">
        <f>silica_fumes</f>
        <v>365.65</v>
      </c>
      <c r="M34" s="26">
        <f t="shared" si="6"/>
        <v>137118.75</v>
      </c>
      <c r="N34" s="8"/>
      <c r="O34" s="66"/>
      <c r="P34" s="29"/>
      <c r="Q34" s="28"/>
      <c r="R34" s="26"/>
    </row>
    <row r="35" spans="1:18" ht="15.75">
      <c r="A35" s="2"/>
      <c r="B35" s="126"/>
      <c r="C35" s="6"/>
      <c r="D35" s="4" t="s">
        <v>463</v>
      </c>
      <c r="E35" s="66" t="s">
        <v>81</v>
      </c>
      <c r="F35" s="29">
        <v>0.25</v>
      </c>
      <c r="G35" s="26">
        <f t="shared" si="3"/>
        <v>1100</v>
      </c>
      <c r="H35" s="26">
        <f t="shared" si="5"/>
        <v>275</v>
      </c>
      <c r="I35" s="7" t="s">
        <v>565</v>
      </c>
      <c r="J35" s="145" t="s">
        <v>28</v>
      </c>
      <c r="K35" s="29">
        <f>1%*K27*1000</f>
        <v>37.5</v>
      </c>
      <c r="L35" s="28">
        <f>plasticizers</f>
        <v>139.63</v>
      </c>
      <c r="M35" s="26">
        <f t="shared" si="6"/>
        <v>5236.125</v>
      </c>
      <c r="N35" s="8"/>
      <c r="O35" s="66"/>
      <c r="P35" s="29"/>
      <c r="Q35" s="28"/>
      <c r="R35" s="26"/>
    </row>
    <row r="36" spans="1:18" ht="15.75">
      <c r="A36" s="2"/>
      <c r="B36" s="126"/>
      <c r="C36" s="6"/>
      <c r="D36" s="4" t="s">
        <v>489</v>
      </c>
      <c r="E36" s="66" t="s">
        <v>81</v>
      </c>
      <c r="F36" s="29">
        <v>1.375</v>
      </c>
      <c r="G36" s="26">
        <f t="shared" si="3"/>
        <v>1840</v>
      </c>
      <c r="H36" s="26">
        <f t="shared" si="5"/>
        <v>2530</v>
      </c>
      <c r="I36" s="7"/>
      <c r="J36" s="145"/>
      <c r="K36" s="29"/>
      <c r="L36" s="28"/>
      <c r="M36" s="26"/>
      <c r="N36" s="8"/>
      <c r="O36" s="66"/>
      <c r="P36" s="29"/>
      <c r="Q36" s="28"/>
      <c r="R36" s="26"/>
    </row>
    <row r="37" spans="1:18" ht="15.75">
      <c r="A37" s="2"/>
      <c r="B37" s="126"/>
      <c r="C37" s="6"/>
      <c r="D37" s="4" t="s">
        <v>490</v>
      </c>
      <c r="E37" s="66" t="s">
        <v>81</v>
      </c>
      <c r="F37" s="29">
        <v>0.125</v>
      </c>
      <c r="G37" s="26">
        <f t="shared" si="3"/>
        <v>0</v>
      </c>
      <c r="H37" s="26">
        <f t="shared" si="5"/>
        <v>0</v>
      </c>
      <c r="I37" s="7"/>
      <c r="J37" s="145"/>
      <c r="K37" s="29"/>
      <c r="L37" s="28"/>
      <c r="M37" s="26"/>
      <c r="N37" s="8"/>
      <c r="O37" s="66"/>
      <c r="P37" s="29"/>
      <c r="Q37" s="28"/>
      <c r="R37" s="26"/>
    </row>
    <row r="38" spans="1:18" ht="15.75">
      <c r="A38" s="2"/>
      <c r="B38" s="126"/>
      <c r="C38" s="6"/>
      <c r="D38" s="4" t="s">
        <v>514</v>
      </c>
      <c r="E38" s="66" t="s">
        <v>81</v>
      </c>
      <c r="F38" s="29">
        <v>0.125</v>
      </c>
      <c r="G38" s="26">
        <f t="shared" si="3"/>
        <v>0</v>
      </c>
      <c r="H38" s="26">
        <f t="shared" si="5"/>
        <v>0</v>
      </c>
      <c r="I38" s="7"/>
      <c r="J38" s="145"/>
      <c r="K38" s="29"/>
      <c r="L38" s="28"/>
      <c r="M38" s="26"/>
      <c r="N38" s="8"/>
      <c r="O38" s="66"/>
      <c r="P38" s="29"/>
      <c r="Q38" s="28"/>
      <c r="R38" s="26"/>
    </row>
    <row r="39" spans="1:18" ht="15.75">
      <c r="A39" s="2"/>
      <c r="B39" s="5"/>
      <c r="C39" s="6"/>
      <c r="D39" s="4"/>
      <c r="E39" s="9"/>
      <c r="F39" s="30"/>
      <c r="G39" s="27"/>
      <c r="H39" s="27"/>
      <c r="I39" s="9"/>
      <c r="J39" s="10"/>
      <c r="K39" s="30"/>
      <c r="L39" s="28"/>
      <c r="M39" s="28"/>
      <c r="N39" s="8"/>
      <c r="O39" s="6"/>
      <c r="P39" s="30"/>
      <c r="Q39" s="28"/>
      <c r="R39" s="28"/>
    </row>
    <row r="40" spans="1:18" ht="15.75">
      <c r="A40" s="2"/>
      <c r="B40" s="11"/>
      <c r="C40" s="6"/>
      <c r="D40" s="12"/>
      <c r="E40" s="59"/>
      <c r="F40" s="13"/>
      <c r="G40" s="13" t="s">
        <v>20</v>
      </c>
      <c r="H40" s="25">
        <f>SUM(H26:H39)</f>
        <v>32243.75</v>
      </c>
      <c r="I40" s="703"/>
      <c r="J40" s="703"/>
      <c r="K40" s="14"/>
      <c r="L40" s="13" t="s">
        <v>21</v>
      </c>
      <c r="M40" s="25">
        <f>SUM(M26:M39)</f>
        <v>332768.14249999996</v>
      </c>
      <c r="N40" s="3"/>
      <c r="O40" s="14"/>
      <c r="P40" s="14"/>
      <c r="Q40" s="13" t="s">
        <v>22</v>
      </c>
      <c r="R40" s="25">
        <f>SUM(R26:R39)</f>
        <v>32503.210000000003</v>
      </c>
    </row>
    <row r="41" spans="1:18" ht="15.75">
      <c r="A41" s="2"/>
      <c r="B41" s="16" t="s">
        <v>13</v>
      </c>
      <c r="C41" s="14"/>
      <c r="D41" s="14"/>
      <c r="E41" s="14"/>
      <c r="F41" s="14"/>
      <c r="G41" s="13"/>
      <c r="H41" s="453">
        <f>M40+R40+H40</f>
        <v>397515.10249999998</v>
      </c>
      <c r="I41" s="17"/>
      <c r="J41" s="14"/>
      <c r="K41" s="14"/>
      <c r="L41" s="13"/>
      <c r="M41" s="15"/>
      <c r="N41" s="14"/>
      <c r="O41" s="14"/>
      <c r="P41" s="14"/>
      <c r="Q41" s="14"/>
      <c r="R41" s="17"/>
    </row>
    <row r="42" spans="1:18" ht="15.75">
      <c r="A42" s="23"/>
      <c r="B42" s="11" t="s">
        <v>14</v>
      </c>
      <c r="C42" s="4"/>
      <c r="D42" s="4"/>
      <c r="E42" s="4"/>
      <c r="F42" s="4"/>
      <c r="G42" s="18"/>
      <c r="H42" s="454">
        <f>SUM(H41:H41)</f>
        <v>397515.10249999998</v>
      </c>
      <c r="I42" s="20"/>
      <c r="J42" s="111"/>
      <c r="K42" s="112"/>
      <c r="L42" s="112"/>
      <c r="M42" s="112"/>
      <c r="N42" s="112"/>
      <c r="O42" s="112"/>
      <c r="P42" s="112"/>
      <c r="Q42" s="112"/>
      <c r="R42" s="113"/>
    </row>
    <row r="43" spans="1:18" ht="15.75">
      <c r="A43" s="23"/>
      <c r="B43" s="11" t="s">
        <v>24</v>
      </c>
      <c r="C43" s="4"/>
      <c r="D43" s="4"/>
      <c r="E43" s="4"/>
      <c r="F43" s="4"/>
      <c r="G43" s="18"/>
      <c r="H43" s="454">
        <f>H42*15%</f>
        <v>59627.265374999995</v>
      </c>
      <c r="I43" s="20"/>
      <c r="J43" s="114"/>
      <c r="K43" s="115"/>
      <c r="L43" s="115"/>
      <c r="M43" s="115"/>
      <c r="N43" s="115"/>
      <c r="O43" s="115"/>
      <c r="P43" s="115"/>
      <c r="Q43" s="115"/>
      <c r="R43" s="116"/>
    </row>
    <row r="44" spans="1:18" ht="15.75">
      <c r="A44" s="23"/>
      <c r="B44" s="11" t="s">
        <v>15</v>
      </c>
      <c r="C44" s="4"/>
      <c r="D44" s="4"/>
      <c r="E44" s="4"/>
      <c r="F44" s="4"/>
      <c r="G44" s="21" t="s">
        <v>16</v>
      </c>
      <c r="H44" s="455">
        <f>H43+H42</f>
        <v>457142.367875</v>
      </c>
      <c r="I44" s="38" t="str">
        <f>CONCATENATE("per ",C26, C27)</f>
        <v>per 7.5cum</v>
      </c>
      <c r="J44" s="114"/>
      <c r="K44" s="115"/>
      <c r="L44" s="115"/>
      <c r="M44" s="115"/>
      <c r="N44" s="115"/>
      <c r="O44" s="115"/>
      <c r="P44" s="115"/>
      <c r="Q44" s="115"/>
      <c r="R44" s="116"/>
    </row>
    <row r="45" spans="1:18" ht="15.75">
      <c r="A45" s="23"/>
      <c r="B45" s="456"/>
      <c r="C45" s="457"/>
      <c r="D45" s="457"/>
      <c r="E45" s="457"/>
      <c r="F45" s="457"/>
      <c r="G45" s="458" t="s">
        <v>16</v>
      </c>
      <c r="H45" s="459">
        <f>H44/C26</f>
        <v>60952.315716666664</v>
      </c>
      <c r="I45" s="328" t="s">
        <v>17</v>
      </c>
      <c r="J45" s="329">
        <v>569.58890979631428</v>
      </c>
      <c r="K45" s="330"/>
      <c r="L45" s="331"/>
      <c r="M45" s="332" t="s">
        <v>783</v>
      </c>
      <c r="N45" s="460">
        <f>ROUND(H45*100%,2)</f>
        <v>60952.32</v>
      </c>
      <c r="O45" s="334"/>
      <c r="P45" s="334"/>
      <c r="Q45" s="334" t="s">
        <v>784</v>
      </c>
      <c r="R45" s="461">
        <f>ROUND(H45-N45,2)</f>
        <v>0</v>
      </c>
    </row>
    <row r="46" spans="1:18" ht="15.75">
      <c r="A46" s="1"/>
      <c r="B46" s="1"/>
      <c r="C46" s="1"/>
      <c r="D46" s="1"/>
      <c r="E46" s="1"/>
      <c r="F46" s="1"/>
      <c r="G46" s="1"/>
      <c r="H46" s="1"/>
      <c r="I46" s="1"/>
      <c r="J46" s="1"/>
      <c r="K46" s="1"/>
      <c r="L46" s="1"/>
      <c r="M46" s="1"/>
      <c r="N46" s="1"/>
      <c r="O46" s="1"/>
      <c r="P46" s="1"/>
      <c r="Q46" s="1"/>
      <c r="R46" s="1"/>
    </row>
    <row r="47" spans="1:18" ht="15.75">
      <c r="A47" s="769" t="s">
        <v>0</v>
      </c>
      <c r="B47" s="770" t="s">
        <v>1</v>
      </c>
      <c r="C47" s="770" t="s">
        <v>2</v>
      </c>
      <c r="D47" s="768" t="s">
        <v>3</v>
      </c>
      <c r="E47" s="768"/>
      <c r="F47" s="768"/>
      <c r="G47" s="768"/>
      <c r="H47" s="768"/>
      <c r="I47" s="768" t="s">
        <v>4</v>
      </c>
      <c r="J47" s="768"/>
      <c r="K47" s="768"/>
      <c r="L47" s="768"/>
      <c r="M47" s="768"/>
      <c r="N47" s="768" t="s">
        <v>5</v>
      </c>
      <c r="O47" s="768"/>
      <c r="P47" s="768"/>
      <c r="Q47" s="768"/>
      <c r="R47" s="768"/>
    </row>
    <row r="48" spans="1:18" ht="15.75">
      <c r="A48" s="769"/>
      <c r="B48" s="770"/>
      <c r="C48" s="770"/>
      <c r="D48" s="547" t="s">
        <v>6</v>
      </c>
      <c r="E48" s="547" t="s">
        <v>2</v>
      </c>
      <c r="F48" s="547" t="s">
        <v>7</v>
      </c>
      <c r="G48" s="547" t="s">
        <v>8</v>
      </c>
      <c r="H48" s="547" t="s">
        <v>9</v>
      </c>
      <c r="I48" s="547" t="s">
        <v>10</v>
      </c>
      <c r="J48" s="547" t="s">
        <v>2</v>
      </c>
      <c r="K48" s="547" t="s">
        <v>7</v>
      </c>
      <c r="L48" s="547" t="s">
        <v>8</v>
      </c>
      <c r="M48" s="547" t="s">
        <v>9</v>
      </c>
      <c r="N48" s="547" t="s">
        <v>10</v>
      </c>
      <c r="O48" s="547" t="s">
        <v>2</v>
      </c>
      <c r="P48" s="547" t="s">
        <v>7</v>
      </c>
      <c r="Q48" s="547" t="s">
        <v>8</v>
      </c>
      <c r="R48" s="547" t="s">
        <v>9</v>
      </c>
    </row>
    <row r="49" spans="1:18" ht="15.75">
      <c r="A49" s="34">
        <f>A26+1</f>
        <v>3</v>
      </c>
      <c r="B49" s="714" t="s">
        <v>566</v>
      </c>
      <c r="C49" s="66">
        <v>7.5</v>
      </c>
      <c r="D49" s="4"/>
      <c r="E49" s="6"/>
      <c r="F49" s="29"/>
      <c r="G49" s="26"/>
      <c r="H49" s="26"/>
      <c r="I49" s="6"/>
      <c r="J49" s="6"/>
      <c r="K49" s="29"/>
      <c r="L49" s="26"/>
      <c r="M49" s="26"/>
      <c r="N49" s="6"/>
      <c r="O49" s="6"/>
      <c r="P49" s="29"/>
      <c r="Q49" s="26"/>
      <c r="R49" s="26"/>
    </row>
    <row r="50" spans="1:18" ht="15.75">
      <c r="A50" s="2"/>
      <c r="B50" s="714"/>
      <c r="C50" s="124" t="s">
        <v>11</v>
      </c>
      <c r="D50" s="4" t="s">
        <v>75</v>
      </c>
      <c r="E50" s="66" t="s">
        <v>81</v>
      </c>
      <c r="F50" s="29">
        <v>0.25</v>
      </c>
      <c r="G50" s="26">
        <f t="shared" ref="G50:G61" si="7">G4</f>
        <v>1100</v>
      </c>
      <c r="H50" s="26">
        <f>F50*G50</f>
        <v>275</v>
      </c>
      <c r="I50" s="7" t="s">
        <v>515</v>
      </c>
      <c r="J50" s="145" t="s">
        <v>113</v>
      </c>
      <c r="K50" s="29">
        <f>500*C49/1000</f>
        <v>3.75</v>
      </c>
      <c r="L50" s="28">
        <f>L4</f>
        <v>24049.69</v>
      </c>
      <c r="M50" s="26">
        <f>K50*L50</f>
        <v>90186.337499999994</v>
      </c>
      <c r="N50" s="8" t="s">
        <v>398</v>
      </c>
      <c r="O50" s="66" t="s">
        <v>101</v>
      </c>
      <c r="P50" s="29">
        <v>11</v>
      </c>
      <c r="Q50" s="28">
        <f t="shared" ref="Q50:Q55" si="8">Q4</f>
        <v>270.39999999999998</v>
      </c>
      <c r="R50" s="26">
        <f t="shared" ref="R50:R56" si="9">P50*Q50</f>
        <v>2974.3999999999996</v>
      </c>
    </row>
    <row r="51" spans="1:18" ht="15.75">
      <c r="A51" s="2"/>
      <c r="B51" s="714"/>
      <c r="C51" s="6"/>
      <c r="D51" s="4" t="s">
        <v>461</v>
      </c>
      <c r="E51" s="66" t="s">
        <v>81</v>
      </c>
      <c r="F51" s="29">
        <v>1.375</v>
      </c>
      <c r="G51" s="26">
        <f t="shared" si="7"/>
        <v>900</v>
      </c>
      <c r="H51" s="26">
        <f t="shared" ref="H51:H62" si="10">F51*G51</f>
        <v>1237.5</v>
      </c>
      <c r="I51" s="7" t="s">
        <v>471</v>
      </c>
      <c r="J51" s="145" t="s">
        <v>424</v>
      </c>
      <c r="K51" s="29">
        <f>4%*K50*1000</f>
        <v>150</v>
      </c>
      <c r="L51" s="28">
        <f t="shared" ref="L51:L57" si="11">L5</f>
        <v>89.04</v>
      </c>
      <c r="M51" s="26">
        <f>K51*L51</f>
        <v>13356.000000000002</v>
      </c>
      <c r="N51" s="8" t="s">
        <v>287</v>
      </c>
      <c r="O51" s="66" t="s">
        <v>101</v>
      </c>
      <c r="P51" s="29">
        <v>11</v>
      </c>
      <c r="Q51" s="28">
        <f t="shared" si="8"/>
        <v>216.32</v>
      </c>
      <c r="R51" s="26">
        <f t="shared" si="9"/>
        <v>2379.52</v>
      </c>
    </row>
    <row r="52" spans="1:18" ht="15.75">
      <c r="A52" s="2"/>
      <c r="B52" s="126"/>
      <c r="C52" s="6"/>
      <c r="D52" s="4" t="s">
        <v>511</v>
      </c>
      <c r="E52" s="66" t="s">
        <v>81</v>
      </c>
      <c r="F52" s="29">
        <v>1.375</v>
      </c>
      <c r="G52" s="26">
        <f t="shared" si="7"/>
        <v>1840</v>
      </c>
      <c r="H52" s="26">
        <f t="shared" si="10"/>
        <v>2530</v>
      </c>
      <c r="I52" s="7" t="s">
        <v>286</v>
      </c>
      <c r="J52" s="145" t="s">
        <v>11</v>
      </c>
      <c r="K52" s="29">
        <v>7.62</v>
      </c>
      <c r="L52" s="28">
        <f t="shared" si="11"/>
        <v>1050</v>
      </c>
      <c r="M52" s="26">
        <f t="shared" ref="M52:M57" si="12">K52*L52</f>
        <v>8001</v>
      </c>
      <c r="N52" s="8" t="s">
        <v>517</v>
      </c>
      <c r="O52" s="66" t="s">
        <v>101</v>
      </c>
      <c r="P52" s="29">
        <v>11</v>
      </c>
      <c r="Q52" s="28">
        <f t="shared" si="8"/>
        <v>540.79999999999995</v>
      </c>
      <c r="R52" s="26">
        <f t="shared" si="9"/>
        <v>5948.7999999999993</v>
      </c>
    </row>
    <row r="53" spans="1:18" ht="15.75">
      <c r="A53" s="2"/>
      <c r="B53" s="126"/>
      <c r="C53" s="6"/>
      <c r="D53" s="4" t="s">
        <v>512</v>
      </c>
      <c r="E53" s="66" t="s">
        <v>81</v>
      </c>
      <c r="F53" s="29">
        <v>1.375</v>
      </c>
      <c r="G53" s="26">
        <f t="shared" si="7"/>
        <v>1840</v>
      </c>
      <c r="H53" s="26">
        <f t="shared" si="10"/>
        <v>2530</v>
      </c>
      <c r="I53" s="7" t="s">
        <v>516</v>
      </c>
      <c r="J53" s="145" t="s">
        <v>11</v>
      </c>
      <c r="K53" s="29">
        <v>4.0999999999999996</v>
      </c>
      <c r="L53" s="28">
        <f t="shared" si="11"/>
        <v>2950</v>
      </c>
      <c r="M53" s="26">
        <f t="shared" si="12"/>
        <v>12094.999999999998</v>
      </c>
      <c r="N53" s="8" t="s">
        <v>384</v>
      </c>
      <c r="O53" s="66" t="s">
        <v>101</v>
      </c>
      <c r="P53" s="29">
        <v>11</v>
      </c>
      <c r="Q53" s="28">
        <f t="shared" si="8"/>
        <v>1622.4</v>
      </c>
      <c r="R53" s="26">
        <f t="shared" si="9"/>
        <v>17846.400000000001</v>
      </c>
    </row>
    <row r="54" spans="1:18" ht="15.75">
      <c r="A54" s="2"/>
      <c r="B54" s="126"/>
      <c r="C54" s="6"/>
      <c r="D54" s="4" t="s">
        <v>486</v>
      </c>
      <c r="E54" s="66" t="s">
        <v>81</v>
      </c>
      <c r="F54" s="29">
        <v>1.375</v>
      </c>
      <c r="G54" s="26">
        <f t="shared" si="7"/>
        <v>1840</v>
      </c>
      <c r="H54" s="26">
        <f t="shared" si="10"/>
        <v>2530</v>
      </c>
      <c r="I54" s="7" t="s">
        <v>67</v>
      </c>
      <c r="J54" s="145" t="s">
        <v>250</v>
      </c>
      <c r="K54" s="29">
        <v>190</v>
      </c>
      <c r="L54" s="28">
        <f t="shared" si="11"/>
        <v>177.6</v>
      </c>
      <c r="M54" s="26">
        <f t="shared" si="12"/>
        <v>33744</v>
      </c>
      <c r="N54" s="8" t="s">
        <v>204</v>
      </c>
      <c r="O54" s="66" t="s">
        <v>101</v>
      </c>
      <c r="P54" s="29">
        <v>1</v>
      </c>
      <c r="Q54" s="28">
        <f t="shared" si="8"/>
        <v>486.72</v>
      </c>
      <c r="R54" s="26">
        <f t="shared" si="9"/>
        <v>486.72</v>
      </c>
    </row>
    <row r="55" spans="1:18" ht="15.75">
      <c r="A55" s="2"/>
      <c r="B55" s="126"/>
      <c r="C55" s="6"/>
      <c r="D55" s="4" t="s">
        <v>513</v>
      </c>
      <c r="E55" s="66" t="s">
        <v>81</v>
      </c>
      <c r="F55" s="29">
        <v>1.375</v>
      </c>
      <c r="G55" s="26">
        <f t="shared" si="7"/>
        <v>1840</v>
      </c>
      <c r="H55" s="26">
        <f t="shared" si="10"/>
        <v>2530</v>
      </c>
      <c r="I55" s="7" t="s">
        <v>467</v>
      </c>
      <c r="J55" s="145" t="s">
        <v>250</v>
      </c>
      <c r="K55" s="29">
        <v>2</v>
      </c>
      <c r="L55" s="28">
        <f t="shared" si="11"/>
        <v>459.84</v>
      </c>
      <c r="M55" s="26">
        <f t="shared" si="12"/>
        <v>919.68</v>
      </c>
      <c r="N55" s="8" t="s">
        <v>518</v>
      </c>
      <c r="O55" s="66" t="s">
        <v>101</v>
      </c>
      <c r="P55" s="29">
        <v>11</v>
      </c>
      <c r="Q55" s="28">
        <f t="shared" si="8"/>
        <v>260.67</v>
      </c>
      <c r="R55" s="26">
        <f t="shared" si="9"/>
        <v>2867.3700000000003</v>
      </c>
    </row>
    <row r="56" spans="1:18" ht="15.75">
      <c r="A56" s="2"/>
      <c r="B56" s="126"/>
      <c r="C56" s="6"/>
      <c r="D56" s="4" t="s">
        <v>492</v>
      </c>
      <c r="E56" s="66" t="s">
        <v>81</v>
      </c>
      <c r="F56" s="29">
        <v>20.625</v>
      </c>
      <c r="G56" s="26">
        <f t="shared" si="7"/>
        <v>850</v>
      </c>
      <c r="H56" s="26">
        <f t="shared" si="10"/>
        <v>17531.25</v>
      </c>
      <c r="I56" s="7" t="s">
        <v>416</v>
      </c>
      <c r="J56" s="145" t="s">
        <v>28</v>
      </c>
      <c r="K56" s="29">
        <f>10%*K50*1000</f>
        <v>375</v>
      </c>
      <c r="L56" s="28">
        <f t="shared" si="11"/>
        <v>365.65</v>
      </c>
      <c r="M56" s="26">
        <f t="shared" si="12"/>
        <v>137118.75</v>
      </c>
      <c r="N56" s="8" t="s">
        <v>568</v>
      </c>
      <c r="O56" s="66" t="s">
        <v>101</v>
      </c>
      <c r="P56" s="29">
        <v>15</v>
      </c>
      <c r="Q56" s="28">
        <v>4500</v>
      </c>
      <c r="R56" s="26">
        <f t="shared" si="9"/>
        <v>67500</v>
      </c>
    </row>
    <row r="57" spans="1:18" ht="15.75">
      <c r="A57" s="2"/>
      <c r="B57" s="126"/>
      <c r="C57" s="6"/>
      <c r="D57" s="4" t="s">
        <v>88</v>
      </c>
      <c r="E57" s="66" t="s">
        <v>81</v>
      </c>
      <c r="F57" s="29">
        <v>0.25</v>
      </c>
      <c r="G57" s="26">
        <f t="shared" si="7"/>
        <v>1100</v>
      </c>
      <c r="H57" s="26">
        <f t="shared" si="10"/>
        <v>275</v>
      </c>
      <c r="I57" s="7" t="s">
        <v>565</v>
      </c>
      <c r="J57" s="145" t="s">
        <v>28</v>
      </c>
      <c r="K57" s="29">
        <f>1%*K50*1000</f>
        <v>37.5</v>
      </c>
      <c r="L57" s="28">
        <f t="shared" si="11"/>
        <v>139.63</v>
      </c>
      <c r="M57" s="26">
        <f t="shared" si="12"/>
        <v>5236.125</v>
      </c>
      <c r="N57" s="8"/>
      <c r="O57" s="66"/>
      <c r="P57" s="29"/>
      <c r="Q57" s="28"/>
      <c r="R57" s="26"/>
    </row>
    <row r="58" spans="1:18" ht="15.75">
      <c r="A58" s="2"/>
      <c r="B58" s="126"/>
      <c r="C58" s="6"/>
      <c r="D58" s="4" t="s">
        <v>463</v>
      </c>
      <c r="E58" s="66" t="s">
        <v>81</v>
      </c>
      <c r="F58" s="29">
        <v>0.25</v>
      </c>
      <c r="G58" s="26">
        <f t="shared" si="7"/>
        <v>1100</v>
      </c>
      <c r="H58" s="26"/>
      <c r="I58" s="7"/>
      <c r="J58" s="145"/>
      <c r="K58" s="29"/>
      <c r="L58" s="28"/>
      <c r="M58" s="26"/>
      <c r="N58" s="8"/>
      <c r="O58" s="66"/>
      <c r="P58" s="29"/>
      <c r="Q58" s="28"/>
      <c r="R58" s="26"/>
    </row>
    <row r="59" spans="1:18" ht="15.75">
      <c r="A59" s="2"/>
      <c r="B59" s="126"/>
      <c r="C59" s="6"/>
      <c r="D59" s="4" t="s">
        <v>489</v>
      </c>
      <c r="E59" s="66" t="s">
        <v>81</v>
      </c>
      <c r="F59" s="29">
        <v>1.375</v>
      </c>
      <c r="G59" s="26">
        <f t="shared" si="7"/>
        <v>1840</v>
      </c>
      <c r="H59" s="26">
        <f t="shared" si="10"/>
        <v>2530</v>
      </c>
      <c r="I59" s="7"/>
      <c r="J59" s="145"/>
      <c r="K59" s="29"/>
      <c r="L59" s="28"/>
      <c r="M59" s="26"/>
      <c r="N59" s="8"/>
      <c r="O59" s="66"/>
      <c r="P59" s="29"/>
      <c r="Q59" s="28"/>
      <c r="R59" s="26"/>
    </row>
    <row r="60" spans="1:18" ht="15.75">
      <c r="A60" s="2"/>
      <c r="B60" s="126"/>
      <c r="C60" s="6"/>
      <c r="D60" s="4" t="s">
        <v>490</v>
      </c>
      <c r="E60" s="66" t="s">
        <v>81</v>
      </c>
      <c r="F60" s="29">
        <v>0.125</v>
      </c>
      <c r="G60" s="26">
        <f t="shared" si="7"/>
        <v>0</v>
      </c>
      <c r="H60" s="26">
        <f t="shared" si="10"/>
        <v>0</v>
      </c>
      <c r="I60" s="7"/>
      <c r="J60" s="145"/>
      <c r="K60" s="29"/>
      <c r="L60" s="28"/>
      <c r="M60" s="26"/>
      <c r="N60" s="8"/>
      <c r="O60" s="66"/>
      <c r="P60" s="29"/>
      <c r="Q60" s="28"/>
      <c r="R60" s="26"/>
    </row>
    <row r="61" spans="1:18" ht="15.75">
      <c r="A61" s="2"/>
      <c r="B61" s="126"/>
      <c r="C61" s="6"/>
      <c r="D61" s="4" t="s">
        <v>514</v>
      </c>
      <c r="E61" s="66" t="s">
        <v>81</v>
      </c>
      <c r="F61" s="29">
        <v>0.125</v>
      </c>
      <c r="G61" s="26">
        <f t="shared" si="7"/>
        <v>0</v>
      </c>
      <c r="H61" s="26">
        <f t="shared" si="10"/>
        <v>0</v>
      </c>
      <c r="I61" s="7"/>
      <c r="J61" s="145"/>
      <c r="K61" s="29"/>
      <c r="L61" s="28"/>
      <c r="M61" s="26"/>
      <c r="N61" s="153"/>
      <c r="O61" s="66"/>
      <c r="P61" s="29"/>
      <c r="Q61" s="28"/>
      <c r="R61" s="26"/>
    </row>
    <row r="62" spans="1:18" ht="15.75">
      <c r="A62" s="2"/>
      <c r="B62" s="126"/>
      <c r="C62" s="6"/>
      <c r="D62" s="4" t="s">
        <v>645</v>
      </c>
      <c r="E62" s="66" t="s">
        <v>81</v>
      </c>
      <c r="F62" s="29">
        <f>15/8</f>
        <v>1.875</v>
      </c>
      <c r="G62" s="26">
        <f>rcr</f>
        <v>1840</v>
      </c>
      <c r="H62" s="26">
        <f t="shared" si="10"/>
        <v>3450</v>
      </c>
      <c r="I62" s="7"/>
      <c r="J62" s="145"/>
      <c r="K62" s="29"/>
      <c r="L62" s="28"/>
      <c r="M62" s="26"/>
      <c r="N62" s="153"/>
      <c r="O62" s="66"/>
      <c r="P62" s="29"/>
      <c r="Q62" s="28"/>
      <c r="R62" s="26"/>
    </row>
    <row r="63" spans="1:18" ht="15.75">
      <c r="A63" s="2"/>
      <c r="B63" s="5"/>
      <c r="C63" s="6"/>
      <c r="D63" s="4"/>
      <c r="E63" s="9"/>
      <c r="F63" s="30"/>
      <c r="G63" s="27"/>
      <c r="H63" s="27"/>
      <c r="I63" s="9"/>
      <c r="J63" s="10"/>
      <c r="K63" s="30"/>
      <c r="L63" s="28"/>
      <c r="M63" s="28"/>
      <c r="N63" s="8"/>
      <c r="O63" s="6"/>
      <c r="P63" s="30"/>
      <c r="Q63" s="28"/>
      <c r="R63" s="28"/>
    </row>
    <row r="64" spans="1:18" ht="15.75">
      <c r="A64" s="2"/>
      <c r="B64" s="11"/>
      <c r="C64" s="6"/>
      <c r="D64" s="12"/>
      <c r="E64" s="59"/>
      <c r="F64" s="13"/>
      <c r="G64" s="13" t="s">
        <v>20</v>
      </c>
      <c r="H64" s="25">
        <f>SUM(H49:H63)</f>
        <v>35418.75</v>
      </c>
      <c r="I64" s="703"/>
      <c r="J64" s="703"/>
      <c r="K64" s="14"/>
      <c r="L64" s="13" t="s">
        <v>21</v>
      </c>
      <c r="M64" s="25">
        <f>SUM(M49:M63)</f>
        <v>300656.89249999996</v>
      </c>
      <c r="N64" s="3"/>
      <c r="O64" s="14"/>
      <c r="P64" s="14"/>
      <c r="Q64" s="13" t="s">
        <v>22</v>
      </c>
      <c r="R64" s="25">
        <f>SUM(R49:R63)</f>
        <v>100003.21</v>
      </c>
    </row>
    <row r="65" spans="1:18" ht="15.75">
      <c r="A65" s="2"/>
      <c r="B65" s="16" t="s">
        <v>13</v>
      </c>
      <c r="C65" s="14"/>
      <c r="D65" s="14"/>
      <c r="E65" s="14"/>
      <c r="F65" s="14"/>
      <c r="G65" s="13"/>
      <c r="H65" s="453">
        <f>M64+R64+H64</f>
        <v>436078.85249999998</v>
      </c>
      <c r="I65" s="17"/>
      <c r="J65" s="14"/>
      <c r="K65" s="14"/>
      <c r="L65" s="13"/>
      <c r="M65" s="15"/>
      <c r="N65" s="14"/>
      <c r="O65" s="14"/>
      <c r="P65" s="14"/>
      <c r="Q65" s="14"/>
      <c r="R65" s="17"/>
    </row>
    <row r="66" spans="1:18" ht="15.75">
      <c r="A66" s="23"/>
      <c r="B66" s="11" t="s">
        <v>14</v>
      </c>
      <c r="C66" s="4"/>
      <c r="D66" s="4"/>
      <c r="E66" s="4"/>
      <c r="F66" s="4"/>
      <c r="G66" s="18"/>
      <c r="H66" s="454">
        <f>SUM(H65:H65)</f>
        <v>436078.85249999998</v>
      </c>
      <c r="I66" s="20"/>
      <c r="J66" s="111"/>
      <c r="K66" s="112"/>
      <c r="L66" s="112"/>
      <c r="M66" s="112"/>
      <c r="N66" s="112"/>
      <c r="O66" s="112"/>
      <c r="P66" s="112"/>
      <c r="Q66" s="112"/>
      <c r="R66" s="113"/>
    </row>
    <row r="67" spans="1:18" ht="15.75">
      <c r="A67" s="23"/>
      <c r="B67" s="11" t="s">
        <v>24</v>
      </c>
      <c r="C67" s="4"/>
      <c r="D67" s="4"/>
      <c r="E67" s="4"/>
      <c r="F67" s="4"/>
      <c r="G67" s="18"/>
      <c r="H67" s="454">
        <f>H66*15%</f>
        <v>65411.827874999995</v>
      </c>
      <c r="I67" s="20"/>
      <c r="J67" s="114"/>
      <c r="K67" s="115"/>
      <c r="L67" s="115"/>
      <c r="M67" s="115"/>
      <c r="N67" s="115"/>
      <c r="O67" s="115"/>
      <c r="P67" s="115"/>
      <c r="Q67" s="115"/>
      <c r="R67" s="116"/>
    </row>
    <row r="68" spans="1:18" ht="15.75">
      <c r="A68" s="23"/>
      <c r="B68" s="11" t="s">
        <v>15</v>
      </c>
      <c r="C68" s="4"/>
      <c r="D68" s="4"/>
      <c r="E68" s="4"/>
      <c r="F68" s="4"/>
      <c r="G68" s="21" t="s">
        <v>16</v>
      </c>
      <c r="H68" s="455">
        <f>H67+H66</f>
        <v>501490.680375</v>
      </c>
      <c r="I68" s="38" t="str">
        <f>CONCATENATE("per ",C49, C50)</f>
        <v>per 7.5cum</v>
      </c>
      <c r="J68" s="114"/>
      <c r="K68" s="115"/>
      <c r="L68" s="115"/>
      <c r="M68" s="115"/>
      <c r="N68" s="115"/>
      <c r="O68" s="115"/>
      <c r="P68" s="115"/>
      <c r="Q68" s="115"/>
      <c r="R68" s="116"/>
    </row>
    <row r="69" spans="1:18" ht="15.75">
      <c r="A69" s="463"/>
      <c r="B69" s="456"/>
      <c r="C69" s="457"/>
      <c r="D69" s="457"/>
      <c r="E69" s="457"/>
      <c r="F69" s="457"/>
      <c r="G69" s="458" t="s">
        <v>16</v>
      </c>
      <c r="H69" s="464">
        <f>H68/C49</f>
        <v>66865.424050000001</v>
      </c>
      <c r="I69" s="328" t="s">
        <v>17</v>
      </c>
      <c r="J69" s="329">
        <v>626.94204591011976</v>
      </c>
      <c r="K69" s="330"/>
      <c r="L69" s="331"/>
      <c r="M69" s="332" t="s">
        <v>783</v>
      </c>
      <c r="N69" s="460">
        <f>ROUND(H69*100%,2)</f>
        <v>66865.42</v>
      </c>
      <c r="O69" s="334"/>
      <c r="P69" s="334"/>
      <c r="Q69" s="334" t="s">
        <v>784</v>
      </c>
      <c r="R69" s="461">
        <f>ROUND(H69-N69,2)</f>
        <v>0</v>
      </c>
    </row>
    <row r="70" spans="1:18" ht="15.75">
      <c r="A70" s="1"/>
      <c r="B70" s="1"/>
      <c r="C70" s="1"/>
      <c r="D70" s="1"/>
      <c r="E70" s="1"/>
      <c r="F70" s="1"/>
      <c r="G70" s="1"/>
      <c r="H70" s="1"/>
      <c r="I70" s="1"/>
      <c r="J70" s="1"/>
      <c r="K70" s="1"/>
      <c r="L70" s="1"/>
      <c r="M70" s="1"/>
      <c r="N70" s="1"/>
      <c r="O70" s="1"/>
      <c r="P70" s="1"/>
      <c r="Q70" s="1"/>
      <c r="R70" s="1"/>
    </row>
    <row r="71" spans="1:18" ht="15.75">
      <c r="A71" s="769" t="s">
        <v>0</v>
      </c>
      <c r="B71" s="770" t="s">
        <v>1</v>
      </c>
      <c r="C71" s="770" t="s">
        <v>2</v>
      </c>
      <c r="D71" s="768" t="s">
        <v>3</v>
      </c>
      <c r="E71" s="768"/>
      <c r="F71" s="768"/>
      <c r="G71" s="768"/>
      <c r="H71" s="768"/>
      <c r="I71" s="768" t="s">
        <v>4</v>
      </c>
      <c r="J71" s="768"/>
      <c r="K71" s="768"/>
      <c r="L71" s="768"/>
      <c r="M71" s="768"/>
      <c r="N71" s="768" t="s">
        <v>5</v>
      </c>
      <c r="O71" s="768"/>
      <c r="P71" s="768"/>
      <c r="Q71" s="768"/>
      <c r="R71" s="768"/>
    </row>
    <row r="72" spans="1:18" ht="15.75">
      <c r="A72" s="769"/>
      <c r="B72" s="770"/>
      <c r="C72" s="770"/>
      <c r="D72" s="547" t="s">
        <v>6</v>
      </c>
      <c r="E72" s="547" t="s">
        <v>2</v>
      </c>
      <c r="F72" s="547" t="s">
        <v>7</v>
      </c>
      <c r="G72" s="547" t="s">
        <v>8</v>
      </c>
      <c r="H72" s="547" t="s">
        <v>9</v>
      </c>
      <c r="I72" s="547" t="s">
        <v>10</v>
      </c>
      <c r="J72" s="547" t="s">
        <v>2</v>
      </c>
      <c r="K72" s="547" t="s">
        <v>7</v>
      </c>
      <c r="L72" s="547" t="s">
        <v>8</v>
      </c>
      <c r="M72" s="547" t="s">
        <v>9</v>
      </c>
      <c r="N72" s="547" t="s">
        <v>10</v>
      </c>
      <c r="O72" s="547" t="s">
        <v>2</v>
      </c>
      <c r="P72" s="547" t="s">
        <v>7</v>
      </c>
      <c r="Q72" s="547" t="s">
        <v>8</v>
      </c>
      <c r="R72" s="547" t="s">
        <v>9</v>
      </c>
    </row>
    <row r="73" spans="1:18" ht="15.75" hidden="1">
      <c r="A73" s="33" t="s">
        <v>23</v>
      </c>
      <c r="B73" s="127"/>
      <c r="C73" s="31"/>
      <c r="D73" s="31"/>
      <c r="E73" s="31"/>
      <c r="F73" s="31"/>
      <c r="G73" s="31"/>
      <c r="H73" s="31"/>
      <c r="I73" s="31"/>
      <c r="J73" s="31"/>
      <c r="K73" s="31"/>
      <c r="L73" s="31"/>
      <c r="M73" s="31"/>
      <c r="N73" s="31"/>
      <c r="O73" s="31"/>
      <c r="P73" s="31"/>
      <c r="Q73" s="31"/>
      <c r="R73" s="32"/>
    </row>
    <row r="74" spans="1:18" ht="15.75">
      <c r="A74" s="34">
        <f>A49+1</f>
        <v>4</v>
      </c>
      <c r="B74" s="713" t="s">
        <v>567</v>
      </c>
      <c r="C74" s="66">
        <v>7.5</v>
      </c>
      <c r="D74" s="4"/>
      <c r="E74" s="6"/>
      <c r="F74" s="29"/>
      <c r="G74" s="26"/>
      <c r="H74" s="26"/>
      <c r="I74" s="6"/>
      <c r="J74" s="6"/>
      <c r="K74" s="29"/>
      <c r="L74" s="26"/>
      <c r="M74" s="26"/>
      <c r="N74" s="6"/>
      <c r="O74" s="6"/>
      <c r="P74" s="29"/>
      <c r="Q74" s="26"/>
      <c r="R74" s="26"/>
    </row>
    <row r="75" spans="1:18" ht="15.75">
      <c r="A75" s="2"/>
      <c r="B75" s="714"/>
      <c r="C75" s="124" t="s">
        <v>11</v>
      </c>
      <c r="D75" s="4" t="s">
        <v>75</v>
      </c>
      <c r="E75" s="66" t="s">
        <v>81</v>
      </c>
      <c r="F75" s="29">
        <v>0.25</v>
      </c>
      <c r="G75" s="26">
        <f>G50</f>
        <v>1100</v>
      </c>
      <c r="H75" s="26">
        <f>F75*G75</f>
        <v>275</v>
      </c>
      <c r="I75" s="7" t="s">
        <v>515</v>
      </c>
      <c r="J75" s="145" t="s">
        <v>113</v>
      </c>
      <c r="K75" s="29">
        <f>500*C74/1000</f>
        <v>3.75</v>
      </c>
      <c r="L75" s="28">
        <f t="shared" ref="L75:L83" si="13">L27</f>
        <v>24049.69</v>
      </c>
      <c r="M75" s="26">
        <f>K75*L75</f>
        <v>90186.337499999994</v>
      </c>
      <c r="N75" s="8" t="s">
        <v>398</v>
      </c>
      <c r="O75" s="66" t="s">
        <v>101</v>
      </c>
      <c r="P75" s="29">
        <v>11</v>
      </c>
      <c r="Q75" s="28">
        <f>Q50</f>
        <v>270.39999999999998</v>
      </c>
      <c r="R75" s="26">
        <f t="shared" ref="R75:R81" si="14">P75*Q75</f>
        <v>2974.3999999999996</v>
      </c>
    </row>
    <row r="76" spans="1:18" ht="15.75">
      <c r="A76" s="2"/>
      <c r="B76" s="714"/>
      <c r="C76" s="6"/>
      <c r="D76" s="4" t="s">
        <v>461</v>
      </c>
      <c r="E76" s="66" t="s">
        <v>81</v>
      </c>
      <c r="F76" s="29">
        <v>1.375</v>
      </c>
      <c r="G76" s="26">
        <f t="shared" ref="G76:G87" si="15">G51</f>
        <v>900</v>
      </c>
      <c r="H76" s="26">
        <f t="shared" ref="H76:H87" si="16">F76*G76</f>
        <v>1237.5</v>
      </c>
      <c r="I76" s="7" t="s">
        <v>471</v>
      </c>
      <c r="J76" s="145" t="s">
        <v>424</v>
      </c>
      <c r="K76" s="29">
        <f>4%*K75*1000</f>
        <v>150</v>
      </c>
      <c r="L76" s="28">
        <f t="shared" si="13"/>
        <v>89.04</v>
      </c>
      <c r="M76" s="26">
        <f>K76*L76</f>
        <v>13356.000000000002</v>
      </c>
      <c r="N76" s="8" t="s">
        <v>287</v>
      </c>
      <c r="O76" s="66" t="s">
        <v>101</v>
      </c>
      <c r="P76" s="29">
        <v>11</v>
      </c>
      <c r="Q76" s="28">
        <f t="shared" ref="Q76:Q81" si="17">Q51</f>
        <v>216.32</v>
      </c>
      <c r="R76" s="26">
        <f t="shared" si="14"/>
        <v>2379.52</v>
      </c>
    </row>
    <row r="77" spans="1:18" ht="15.75">
      <c r="A77" s="2"/>
      <c r="B77" s="126"/>
      <c r="C77" s="6"/>
      <c r="D77" s="4" t="s">
        <v>511</v>
      </c>
      <c r="E77" s="66" t="s">
        <v>81</v>
      </c>
      <c r="F77" s="29">
        <v>1.375</v>
      </c>
      <c r="G77" s="26">
        <f t="shared" si="15"/>
        <v>1840</v>
      </c>
      <c r="H77" s="26">
        <f t="shared" si="16"/>
        <v>2530</v>
      </c>
      <c r="I77" s="7" t="s">
        <v>286</v>
      </c>
      <c r="J77" s="145" t="s">
        <v>11</v>
      </c>
      <c r="K77" s="29">
        <v>7.62</v>
      </c>
      <c r="L77" s="28">
        <f t="shared" si="13"/>
        <v>1050</v>
      </c>
      <c r="M77" s="26">
        <f t="shared" ref="M77:M83" si="18">K77*L77</f>
        <v>8001</v>
      </c>
      <c r="N77" s="8" t="s">
        <v>517</v>
      </c>
      <c r="O77" s="66" t="s">
        <v>101</v>
      </c>
      <c r="P77" s="29">
        <v>11</v>
      </c>
      <c r="Q77" s="28">
        <f t="shared" si="17"/>
        <v>540.79999999999995</v>
      </c>
      <c r="R77" s="26">
        <f t="shared" si="14"/>
        <v>5948.7999999999993</v>
      </c>
    </row>
    <row r="78" spans="1:18" ht="15.75">
      <c r="A78" s="2"/>
      <c r="B78" s="126"/>
      <c r="C78" s="6"/>
      <c r="D78" s="4" t="s">
        <v>512</v>
      </c>
      <c r="E78" s="66" t="s">
        <v>81</v>
      </c>
      <c r="F78" s="29">
        <v>1.375</v>
      </c>
      <c r="G78" s="26">
        <f t="shared" si="15"/>
        <v>1840</v>
      </c>
      <c r="H78" s="26">
        <f t="shared" si="16"/>
        <v>2530</v>
      </c>
      <c r="I78" s="7" t="s">
        <v>516</v>
      </c>
      <c r="J78" s="145" t="s">
        <v>11</v>
      </c>
      <c r="K78" s="29">
        <v>4.0999999999999996</v>
      </c>
      <c r="L78" s="28">
        <f t="shared" si="13"/>
        <v>2950</v>
      </c>
      <c r="M78" s="26">
        <f t="shared" si="18"/>
        <v>12094.999999999998</v>
      </c>
      <c r="N78" s="8" t="s">
        <v>384</v>
      </c>
      <c r="O78" s="66" t="s">
        <v>101</v>
      </c>
      <c r="P78" s="29">
        <v>11</v>
      </c>
      <c r="Q78" s="28">
        <f t="shared" si="17"/>
        <v>1622.4</v>
      </c>
      <c r="R78" s="26">
        <f t="shared" si="14"/>
        <v>17846.400000000001</v>
      </c>
    </row>
    <row r="79" spans="1:18" ht="15.75">
      <c r="A79" s="2"/>
      <c r="B79" s="126"/>
      <c r="C79" s="6"/>
      <c r="D79" s="4" t="s">
        <v>486</v>
      </c>
      <c r="E79" s="66" t="s">
        <v>81</v>
      </c>
      <c r="F79" s="29">
        <v>1.375</v>
      </c>
      <c r="G79" s="26">
        <f t="shared" si="15"/>
        <v>1840</v>
      </c>
      <c r="H79" s="26">
        <f t="shared" si="16"/>
        <v>2530</v>
      </c>
      <c r="I79" s="7" t="s">
        <v>67</v>
      </c>
      <c r="J79" s="145" t="s">
        <v>250</v>
      </c>
      <c r="K79" s="29">
        <v>190</v>
      </c>
      <c r="L79" s="28">
        <f t="shared" si="13"/>
        <v>177.6</v>
      </c>
      <c r="M79" s="26">
        <f t="shared" si="18"/>
        <v>33744</v>
      </c>
      <c r="N79" s="8" t="s">
        <v>204</v>
      </c>
      <c r="O79" s="66" t="s">
        <v>101</v>
      </c>
      <c r="P79" s="29">
        <v>1</v>
      </c>
      <c r="Q79" s="28">
        <f t="shared" si="17"/>
        <v>486.72</v>
      </c>
      <c r="R79" s="26">
        <f t="shared" si="14"/>
        <v>486.72</v>
      </c>
    </row>
    <row r="80" spans="1:18" ht="15.75">
      <c r="A80" s="2"/>
      <c r="B80" s="126"/>
      <c r="C80" s="6"/>
      <c r="D80" s="4" t="s">
        <v>513</v>
      </c>
      <c r="E80" s="66" t="s">
        <v>81</v>
      </c>
      <c r="F80" s="29">
        <v>1.375</v>
      </c>
      <c r="G80" s="26">
        <f t="shared" si="15"/>
        <v>1840</v>
      </c>
      <c r="H80" s="26">
        <f t="shared" si="16"/>
        <v>2530</v>
      </c>
      <c r="I80" s="7" t="s">
        <v>467</v>
      </c>
      <c r="J80" s="145" t="s">
        <v>250</v>
      </c>
      <c r="K80" s="29">
        <v>2</v>
      </c>
      <c r="L80" s="28">
        <f t="shared" si="13"/>
        <v>459.84</v>
      </c>
      <c r="M80" s="26">
        <f t="shared" si="18"/>
        <v>919.68</v>
      </c>
      <c r="N80" s="8" t="s">
        <v>518</v>
      </c>
      <c r="O80" s="66" t="s">
        <v>101</v>
      </c>
      <c r="P80" s="29">
        <v>11</v>
      </c>
      <c r="Q80" s="28">
        <f t="shared" si="17"/>
        <v>260.67</v>
      </c>
      <c r="R80" s="26">
        <f t="shared" si="14"/>
        <v>2867.3700000000003</v>
      </c>
    </row>
    <row r="81" spans="1:18" ht="15.75">
      <c r="A81" s="2"/>
      <c r="B81" s="126"/>
      <c r="C81" s="6"/>
      <c r="D81" s="4" t="s">
        <v>492</v>
      </c>
      <c r="E81" s="66" t="s">
        <v>81</v>
      </c>
      <c r="F81" s="29">
        <v>20.625</v>
      </c>
      <c r="G81" s="26">
        <f t="shared" si="15"/>
        <v>850</v>
      </c>
      <c r="H81" s="26">
        <f t="shared" si="16"/>
        <v>17531.25</v>
      </c>
      <c r="I81" s="7" t="s">
        <v>520</v>
      </c>
      <c r="J81" s="145" t="s">
        <v>113</v>
      </c>
      <c r="K81" s="29">
        <f>50*C74/1000</f>
        <v>0.375</v>
      </c>
      <c r="L81" s="28">
        <f t="shared" si="13"/>
        <v>85630</v>
      </c>
      <c r="M81" s="26">
        <f t="shared" si="18"/>
        <v>32111.25</v>
      </c>
      <c r="N81" s="8" t="s">
        <v>568</v>
      </c>
      <c r="O81" s="66" t="s">
        <v>101</v>
      </c>
      <c r="P81" s="29">
        <v>15</v>
      </c>
      <c r="Q81" s="28">
        <f t="shared" si="17"/>
        <v>4500</v>
      </c>
      <c r="R81" s="26">
        <f t="shared" si="14"/>
        <v>67500</v>
      </c>
    </row>
    <row r="82" spans="1:18" ht="15.75">
      <c r="A82" s="2"/>
      <c r="B82" s="126"/>
      <c r="C82" s="6"/>
      <c r="D82" s="4" t="s">
        <v>88</v>
      </c>
      <c r="E82" s="66" t="s">
        <v>81</v>
      </c>
      <c r="F82" s="29">
        <v>0.25</v>
      </c>
      <c r="G82" s="26">
        <f t="shared" si="15"/>
        <v>1100</v>
      </c>
      <c r="H82" s="26">
        <f t="shared" si="16"/>
        <v>275</v>
      </c>
      <c r="I82" s="7" t="s">
        <v>416</v>
      </c>
      <c r="J82" s="145" t="s">
        <v>28</v>
      </c>
      <c r="K82" s="29">
        <f>10%*K75*1000</f>
        <v>375</v>
      </c>
      <c r="L82" s="28">
        <f t="shared" si="13"/>
        <v>365.65</v>
      </c>
      <c r="M82" s="26">
        <f t="shared" si="18"/>
        <v>137118.75</v>
      </c>
      <c r="N82" s="8"/>
      <c r="O82" s="66"/>
      <c r="P82" s="29"/>
      <c r="Q82" s="28"/>
      <c r="R82" s="26"/>
    </row>
    <row r="83" spans="1:18" ht="15.75">
      <c r="A83" s="2"/>
      <c r="B83" s="126"/>
      <c r="C83" s="6"/>
      <c r="D83" s="4" t="s">
        <v>463</v>
      </c>
      <c r="E83" s="66" t="s">
        <v>81</v>
      </c>
      <c r="F83" s="29">
        <v>0.25</v>
      </c>
      <c r="G83" s="26">
        <f t="shared" si="15"/>
        <v>1100</v>
      </c>
      <c r="H83" s="26">
        <f t="shared" si="16"/>
        <v>275</v>
      </c>
      <c r="I83" s="7" t="s">
        <v>565</v>
      </c>
      <c r="J83" s="145" t="s">
        <v>28</v>
      </c>
      <c r="K83" s="29">
        <f>1%*K75*1000</f>
        <v>37.5</v>
      </c>
      <c r="L83" s="28">
        <f t="shared" si="13"/>
        <v>139.63</v>
      </c>
      <c r="M83" s="26">
        <f t="shared" si="18"/>
        <v>5236.125</v>
      </c>
      <c r="N83" s="8"/>
      <c r="O83" s="66"/>
      <c r="P83" s="29"/>
      <c r="Q83" s="28"/>
      <c r="R83" s="26"/>
    </row>
    <row r="84" spans="1:18" ht="15.75">
      <c r="A84" s="2"/>
      <c r="B84" s="126"/>
      <c r="C84" s="6"/>
      <c r="D84" s="4" t="s">
        <v>489</v>
      </c>
      <c r="E84" s="66" t="s">
        <v>81</v>
      </c>
      <c r="F84" s="29">
        <v>1.375</v>
      </c>
      <c r="G84" s="26">
        <f t="shared" si="15"/>
        <v>1840</v>
      </c>
      <c r="H84" s="26">
        <f t="shared" si="16"/>
        <v>2530</v>
      </c>
      <c r="I84" s="7"/>
      <c r="J84" s="145"/>
      <c r="K84" s="29"/>
      <c r="L84" s="28"/>
      <c r="M84" s="26"/>
      <c r="N84" s="8"/>
      <c r="O84" s="66"/>
      <c r="P84" s="29"/>
      <c r="Q84" s="28"/>
      <c r="R84" s="26"/>
    </row>
    <row r="85" spans="1:18" ht="15.75">
      <c r="A85" s="2"/>
      <c r="B85" s="126"/>
      <c r="C85" s="6"/>
      <c r="D85" s="4" t="s">
        <v>490</v>
      </c>
      <c r="E85" s="66" t="s">
        <v>81</v>
      </c>
      <c r="F85" s="29">
        <v>0.125</v>
      </c>
      <c r="G85" s="26">
        <f t="shared" si="15"/>
        <v>0</v>
      </c>
      <c r="H85" s="26">
        <f t="shared" si="16"/>
        <v>0</v>
      </c>
      <c r="I85" s="7"/>
      <c r="J85" s="145"/>
      <c r="K85" s="29"/>
      <c r="L85" s="28"/>
      <c r="M85" s="26"/>
      <c r="N85" s="8"/>
      <c r="O85" s="66"/>
      <c r="P85" s="29"/>
      <c r="Q85" s="28"/>
      <c r="R85" s="26"/>
    </row>
    <row r="86" spans="1:18" ht="15.75">
      <c r="A86" s="2"/>
      <c r="B86" s="126"/>
      <c r="C86" s="6"/>
      <c r="D86" s="4" t="s">
        <v>514</v>
      </c>
      <c r="E86" s="66" t="s">
        <v>81</v>
      </c>
      <c r="F86" s="29">
        <v>0.125</v>
      </c>
      <c r="G86" s="26">
        <f t="shared" si="15"/>
        <v>0</v>
      </c>
      <c r="H86" s="26">
        <f t="shared" si="16"/>
        <v>0</v>
      </c>
      <c r="I86" s="7"/>
      <c r="J86" s="145"/>
      <c r="K86" s="29"/>
      <c r="L86" s="28"/>
      <c r="M86" s="26"/>
      <c r="N86" s="8"/>
      <c r="O86" s="66"/>
      <c r="P86" s="29"/>
      <c r="Q86" s="28"/>
      <c r="R86" s="26"/>
    </row>
    <row r="87" spans="1:18" ht="15.75">
      <c r="A87" s="2"/>
      <c r="B87" s="126"/>
      <c r="C87" s="6"/>
      <c r="D87" s="4" t="s">
        <v>645</v>
      </c>
      <c r="E87" s="66" t="s">
        <v>81</v>
      </c>
      <c r="F87" s="29">
        <f>15/8</f>
        <v>1.875</v>
      </c>
      <c r="G87" s="26">
        <f t="shared" si="15"/>
        <v>1840</v>
      </c>
      <c r="H87" s="26">
        <f t="shared" si="16"/>
        <v>3450</v>
      </c>
      <c r="I87" s="7"/>
      <c r="J87" s="145"/>
      <c r="K87" s="29"/>
      <c r="L87" s="28"/>
      <c r="M87" s="26"/>
      <c r="N87" s="8"/>
      <c r="O87" s="66"/>
      <c r="P87" s="29"/>
      <c r="Q87" s="28"/>
      <c r="R87" s="26"/>
    </row>
    <row r="88" spans="1:18" ht="15.75">
      <c r="A88" s="2"/>
      <c r="B88" s="5"/>
      <c r="C88" s="6"/>
      <c r="D88" s="4"/>
      <c r="E88" s="9"/>
      <c r="F88" s="30"/>
      <c r="G88" s="27"/>
      <c r="H88" s="27"/>
      <c r="I88" s="9"/>
      <c r="J88" s="10"/>
      <c r="K88" s="30"/>
      <c r="L88" s="28"/>
      <c r="M88" s="28"/>
      <c r="N88" s="8"/>
      <c r="O88" s="6"/>
      <c r="P88" s="30"/>
      <c r="Q88" s="28"/>
      <c r="R88" s="28"/>
    </row>
    <row r="89" spans="1:18" ht="15.75">
      <c r="A89" s="2"/>
      <c r="B89" s="11"/>
      <c r="C89" s="6"/>
      <c r="D89" s="12"/>
      <c r="E89" s="59"/>
      <c r="F89" s="13"/>
      <c r="G89" s="13" t="s">
        <v>20</v>
      </c>
      <c r="H89" s="25">
        <f>SUM(H74:H88)</f>
        <v>35693.75</v>
      </c>
      <c r="I89" s="703"/>
      <c r="J89" s="703"/>
      <c r="K89" s="14"/>
      <c r="L89" s="13" t="s">
        <v>21</v>
      </c>
      <c r="M89" s="25">
        <f>SUM(M74:M88)</f>
        <v>332768.14249999996</v>
      </c>
      <c r="N89" s="3"/>
      <c r="O89" s="14"/>
      <c r="P89" s="14"/>
      <c r="Q89" s="13" t="s">
        <v>22</v>
      </c>
      <c r="R89" s="25">
        <f>SUM(R74:R88)</f>
        <v>100003.21</v>
      </c>
    </row>
    <row r="90" spans="1:18" ht="15.75">
      <c r="A90" s="2"/>
      <c r="B90" s="16" t="s">
        <v>13</v>
      </c>
      <c r="C90" s="14"/>
      <c r="D90" s="14"/>
      <c r="E90" s="14"/>
      <c r="F90" s="14"/>
      <c r="G90" s="13"/>
      <c r="H90" s="35">
        <f>M89+R89+H89</f>
        <v>468465.10249999998</v>
      </c>
      <c r="I90" s="465"/>
      <c r="J90" s="14"/>
      <c r="K90" s="14"/>
      <c r="L90" s="13"/>
      <c r="M90" s="15"/>
      <c r="N90" s="14"/>
      <c r="O90" s="14"/>
      <c r="P90" s="14"/>
      <c r="Q90" s="14"/>
      <c r="R90" s="17"/>
    </row>
    <row r="91" spans="1:18" ht="15.75">
      <c r="A91" s="23"/>
      <c r="B91" s="466" t="s">
        <v>14</v>
      </c>
      <c r="C91" s="467"/>
      <c r="D91" s="467"/>
      <c r="E91" s="467"/>
      <c r="F91" s="467"/>
      <c r="G91" s="468"/>
      <c r="H91" s="469">
        <f>SUM(H90:H90)</f>
        <v>468465.10249999998</v>
      </c>
      <c r="I91" s="20"/>
      <c r="J91" s="111"/>
      <c r="K91" s="112"/>
      <c r="L91" s="112"/>
      <c r="M91" s="112"/>
      <c r="N91" s="112"/>
      <c r="O91" s="112"/>
      <c r="P91" s="112"/>
      <c r="Q91" s="112"/>
      <c r="R91" s="113"/>
    </row>
    <row r="92" spans="1:18" ht="15.75">
      <c r="A92" s="23"/>
      <c r="B92" s="456" t="s">
        <v>24</v>
      </c>
      <c r="C92" s="457"/>
      <c r="D92" s="457"/>
      <c r="E92" s="457"/>
      <c r="F92" s="457"/>
      <c r="G92" s="470"/>
      <c r="H92" s="471">
        <f>H91*15%</f>
        <v>70269.765374999988</v>
      </c>
      <c r="I92" s="9"/>
      <c r="J92" s="114"/>
      <c r="K92" s="115"/>
      <c r="L92" s="115"/>
      <c r="M92" s="115"/>
      <c r="N92" s="115"/>
      <c r="O92" s="115"/>
      <c r="P92" s="115"/>
      <c r="Q92" s="115"/>
      <c r="R92" s="116"/>
    </row>
    <row r="93" spans="1:18" ht="15.75">
      <c r="A93" s="23"/>
      <c r="B93" s="11" t="s">
        <v>15</v>
      </c>
      <c r="C93" s="4"/>
      <c r="D93" s="4"/>
      <c r="E93" s="4"/>
      <c r="F93" s="4"/>
      <c r="G93" s="21" t="s">
        <v>16</v>
      </c>
      <c r="H93" s="37">
        <f>H92+H91</f>
        <v>538734.867875</v>
      </c>
      <c r="I93" s="38" t="str">
        <f>CONCATENATE("per ",C74, C75)</f>
        <v>per 7.5cum</v>
      </c>
      <c r="J93" s="114"/>
      <c r="K93" s="115"/>
      <c r="L93" s="115"/>
      <c r="M93" s="115"/>
      <c r="N93" s="115"/>
      <c r="O93" s="115"/>
      <c r="P93" s="115"/>
      <c r="Q93" s="115"/>
      <c r="R93" s="116"/>
    </row>
    <row r="94" spans="1:18" ht="15.75">
      <c r="A94" s="472"/>
      <c r="B94" s="466"/>
      <c r="C94" s="467"/>
      <c r="D94" s="467"/>
      <c r="E94" s="467"/>
      <c r="F94" s="467"/>
      <c r="G94" s="473" t="s">
        <v>16</v>
      </c>
      <c r="H94" s="474">
        <f>H93/C74</f>
        <v>71831.315716666664</v>
      </c>
      <c r="I94" s="475" t="s">
        <v>17</v>
      </c>
      <c r="J94" s="329">
        <v>675.10782347235704</v>
      </c>
      <c r="K94" s="330"/>
      <c r="L94" s="331"/>
      <c r="M94" s="332" t="s">
        <v>783</v>
      </c>
      <c r="N94" s="460">
        <f>ROUND(H94*100%,2)</f>
        <v>71831.320000000007</v>
      </c>
      <c r="O94" s="334"/>
      <c r="P94" s="334"/>
      <c r="Q94" s="334" t="s">
        <v>784</v>
      </c>
      <c r="R94" s="461">
        <f>ROUND(H94-N94,2)</f>
        <v>0</v>
      </c>
    </row>
  </sheetData>
  <mergeCells count="33">
    <mergeCell ref="N1:R1"/>
    <mergeCell ref="A1:A2"/>
    <mergeCell ref="B1:B2"/>
    <mergeCell ref="C1:C2"/>
    <mergeCell ref="D1:H1"/>
    <mergeCell ref="I1:M1"/>
    <mergeCell ref="B3:B5"/>
    <mergeCell ref="I17:J17"/>
    <mergeCell ref="A24:A25"/>
    <mergeCell ref="B24:B25"/>
    <mergeCell ref="C24:C25"/>
    <mergeCell ref="D24:H24"/>
    <mergeCell ref="I24:M24"/>
    <mergeCell ref="B6:B8"/>
    <mergeCell ref="N24:R24"/>
    <mergeCell ref="B26:B28"/>
    <mergeCell ref="I40:J40"/>
    <mergeCell ref="A47:A48"/>
    <mergeCell ref="B47:B48"/>
    <mergeCell ref="C47:C48"/>
    <mergeCell ref="D47:H47"/>
    <mergeCell ref="I47:M47"/>
    <mergeCell ref="N47:R47"/>
    <mergeCell ref="A71:A72"/>
    <mergeCell ref="B71:B72"/>
    <mergeCell ref="C71:C72"/>
    <mergeCell ref="D71:H71"/>
    <mergeCell ref="I71:M71"/>
    <mergeCell ref="N71:R71"/>
    <mergeCell ref="B74:B76"/>
    <mergeCell ref="I89:J89"/>
    <mergeCell ref="B49:B51"/>
    <mergeCell ref="I64:J64"/>
  </mergeCell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T947"/>
  <sheetViews>
    <sheetView topLeftCell="B169" workbookViewId="0">
      <selection activeCell="H183" sqref="H183"/>
    </sheetView>
  </sheetViews>
  <sheetFormatPr defaultColWidth="9.140625" defaultRowHeight="15.75"/>
  <cols>
    <col min="1" max="1" width="10.7109375" style="1" customWidth="1"/>
    <col min="2" max="2" width="33" style="1" customWidth="1"/>
    <col min="3" max="3" width="5.28515625" style="1" customWidth="1"/>
    <col min="4" max="4" width="23.140625" style="1" customWidth="1"/>
    <col min="5" max="5" width="5.28515625" style="1" customWidth="1"/>
    <col min="6" max="7" width="9.140625" style="1"/>
    <col min="8" max="8" width="12.140625" style="1" customWidth="1"/>
    <col min="9" max="9" width="25.5703125" style="1" customWidth="1"/>
    <col min="10" max="10" width="5.28515625" style="1" customWidth="1"/>
    <col min="11" max="11" width="9.140625" style="1"/>
    <col min="12" max="12" width="9.85546875" style="1" bestFit="1" customWidth="1"/>
    <col min="13" max="13" width="10.7109375" style="1" customWidth="1"/>
    <col min="14" max="14" width="19.85546875" style="1" customWidth="1"/>
    <col min="15" max="15" width="5.28515625" style="1" customWidth="1"/>
    <col min="16" max="17" width="9.140625" style="1"/>
    <col min="18" max="18" width="10.7109375" style="1" customWidth="1"/>
    <col min="19" max="19" width="10.5703125" style="1" bestFit="1" customWidth="1"/>
    <col min="20"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759"/>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127"/>
      <c r="C3" s="31"/>
      <c r="D3" s="31"/>
      <c r="E3" s="31"/>
      <c r="F3" s="31"/>
      <c r="G3" s="31"/>
      <c r="H3" s="31"/>
      <c r="I3" s="31"/>
      <c r="J3" s="31"/>
      <c r="K3" s="31"/>
      <c r="L3" s="31"/>
      <c r="M3" s="31"/>
      <c r="N3" s="31"/>
      <c r="O3" s="31"/>
      <c r="P3" s="31"/>
      <c r="Q3" s="31"/>
      <c r="R3" s="32"/>
    </row>
    <row r="4" spans="1:18" ht="15.75" customHeight="1">
      <c r="A4" s="34">
        <v>1</v>
      </c>
      <c r="B4" s="713" t="s">
        <v>485</v>
      </c>
      <c r="C4" s="66">
        <f>ROUND((3.142*1.65^2/2+3.3*1.65)*1.3,2)</f>
        <v>12.64</v>
      </c>
      <c r="D4" s="4"/>
      <c r="E4" s="6"/>
      <c r="F4" s="29"/>
      <c r="G4" s="26"/>
      <c r="H4" s="26"/>
      <c r="I4" s="6"/>
      <c r="J4" s="6"/>
      <c r="K4" s="29"/>
      <c r="L4" s="26"/>
      <c r="M4" s="26"/>
      <c r="N4" s="6"/>
      <c r="O4" s="6"/>
      <c r="P4" s="29"/>
      <c r="Q4" s="26"/>
      <c r="R4" s="26"/>
    </row>
    <row r="5" spans="1:18">
      <c r="A5" s="2"/>
      <c r="B5" s="714"/>
      <c r="C5" s="124" t="s">
        <v>11</v>
      </c>
      <c r="D5" s="4" t="s">
        <v>75</v>
      </c>
      <c r="E5" s="66" t="s">
        <v>81</v>
      </c>
      <c r="F5" s="29">
        <v>1</v>
      </c>
      <c r="G5" s="26">
        <f>fr</f>
        <v>1100</v>
      </c>
      <c r="H5" s="26">
        <f>F5*G5</f>
        <v>1100</v>
      </c>
      <c r="I5" s="7" t="s">
        <v>493</v>
      </c>
      <c r="J5" s="145" t="s">
        <v>424</v>
      </c>
      <c r="K5" s="29">
        <f>C4*2.75</f>
        <v>34.760000000000005</v>
      </c>
      <c r="L5" s="28">
        <f>gelatine</f>
        <v>408.15999999999997</v>
      </c>
      <c r="M5" s="26">
        <f>K5*L5</f>
        <v>14187.641600000001</v>
      </c>
      <c r="N5" s="8" t="s">
        <v>496</v>
      </c>
      <c r="O5" s="66" t="s">
        <v>101</v>
      </c>
      <c r="P5" s="29">
        <v>6</v>
      </c>
      <c r="Q5" s="28">
        <f>compressor</f>
        <v>270.39999999999998</v>
      </c>
      <c r="R5" s="26">
        <f t="shared" ref="R5:R10" si="0">P5*Q5</f>
        <v>1622.3999999999999</v>
      </c>
    </row>
    <row r="6" spans="1:18">
      <c r="A6" s="2"/>
      <c r="B6" s="714"/>
      <c r="C6" s="6"/>
      <c r="D6" s="4" t="s">
        <v>461</v>
      </c>
      <c r="E6" s="66" t="s">
        <v>81</v>
      </c>
      <c r="F6" s="29">
        <v>1</v>
      </c>
      <c r="G6" s="26">
        <f>sr</f>
        <v>1100</v>
      </c>
      <c r="H6" s="26">
        <f t="shared" ref="H6:H18" si="1">F6*G6</f>
        <v>1100</v>
      </c>
      <c r="I6" s="7" t="s">
        <v>44</v>
      </c>
      <c r="J6" s="145" t="s">
        <v>45</v>
      </c>
      <c r="K6" s="29">
        <v>19</v>
      </c>
      <c r="L6" s="28">
        <f>detonator</f>
        <v>11.95</v>
      </c>
      <c r="M6" s="26">
        <f>K6*L6</f>
        <v>227.04999999999998</v>
      </c>
      <c r="N6" s="8" t="s">
        <v>497</v>
      </c>
      <c r="O6" s="66" t="s">
        <v>101</v>
      </c>
      <c r="P6" s="29">
        <v>6</v>
      </c>
      <c r="Q6" s="28">
        <f>hand_drill</f>
        <v>75.709999999999994</v>
      </c>
      <c r="R6" s="26">
        <f t="shared" si="0"/>
        <v>454.26</v>
      </c>
    </row>
    <row r="7" spans="1:18">
      <c r="A7" s="2"/>
      <c r="B7" s="126"/>
      <c r="C7" s="6"/>
      <c r="D7" s="4" t="s">
        <v>89</v>
      </c>
      <c r="E7" s="66" t="s">
        <v>81</v>
      </c>
      <c r="F7" s="29">
        <v>1</v>
      </c>
      <c r="G7" s="26">
        <f>dr</f>
        <v>1100</v>
      </c>
      <c r="H7" s="26">
        <f t="shared" si="1"/>
        <v>1100</v>
      </c>
      <c r="I7" s="7" t="s">
        <v>494</v>
      </c>
      <c r="J7" s="145" t="s">
        <v>45</v>
      </c>
      <c r="K7" s="29">
        <v>1</v>
      </c>
      <c r="L7" s="28">
        <f>Drillbit_38</f>
        <v>3875.91</v>
      </c>
      <c r="M7" s="26">
        <f t="shared" ref="M7:M14" si="2">K7*L7</f>
        <v>3875.91</v>
      </c>
      <c r="N7" s="8" t="s">
        <v>498</v>
      </c>
      <c r="O7" s="66" t="s">
        <v>101</v>
      </c>
      <c r="P7" s="29">
        <v>7</v>
      </c>
      <c r="Q7" s="28">
        <f>fan</f>
        <v>260.67</v>
      </c>
      <c r="R7" s="26">
        <f t="shared" si="0"/>
        <v>1824.69</v>
      </c>
    </row>
    <row r="8" spans="1:18">
      <c r="A8" s="2"/>
      <c r="B8" s="126"/>
      <c r="C8" s="6"/>
      <c r="D8" s="4" t="s">
        <v>462</v>
      </c>
      <c r="E8" s="66" t="s">
        <v>81</v>
      </c>
      <c r="F8" s="29">
        <v>1</v>
      </c>
      <c r="G8" s="26">
        <f>drh</f>
        <v>750</v>
      </c>
      <c r="H8" s="26">
        <f t="shared" si="1"/>
        <v>750</v>
      </c>
      <c r="I8" s="7" t="s">
        <v>396</v>
      </c>
      <c r="J8" s="145" t="s">
        <v>45</v>
      </c>
      <c r="K8" s="29">
        <v>0.1</v>
      </c>
      <c r="L8" s="28">
        <f>drill_rod</f>
        <v>6733.47</v>
      </c>
      <c r="M8" s="26">
        <f t="shared" si="2"/>
        <v>673.34700000000009</v>
      </c>
      <c r="N8" s="8" t="s">
        <v>384</v>
      </c>
      <c r="O8" s="66" t="s">
        <v>101</v>
      </c>
      <c r="P8" s="29">
        <v>3</v>
      </c>
      <c r="Q8" s="28">
        <f>wheel_loader</f>
        <v>1622.4</v>
      </c>
      <c r="R8" s="26">
        <f t="shared" si="0"/>
        <v>4867.2000000000007</v>
      </c>
    </row>
    <row r="9" spans="1:18">
      <c r="A9" s="2"/>
      <c r="B9" s="126"/>
      <c r="C9" s="6"/>
      <c r="D9" s="4" t="s">
        <v>87</v>
      </c>
      <c r="E9" s="66" t="s">
        <v>81</v>
      </c>
      <c r="F9" s="29">
        <v>0.5</v>
      </c>
      <c r="G9" s="26">
        <f>br</f>
        <v>1100</v>
      </c>
      <c r="H9" s="26">
        <f t="shared" si="1"/>
        <v>550</v>
      </c>
      <c r="I9" s="7" t="s">
        <v>495</v>
      </c>
      <c r="J9" s="145" t="s">
        <v>47</v>
      </c>
      <c r="K9" s="29">
        <v>0.5</v>
      </c>
      <c r="L9" s="28">
        <f>Detonating_chord</f>
        <v>7.4</v>
      </c>
      <c r="M9" s="26">
        <f t="shared" si="2"/>
        <v>3.7</v>
      </c>
      <c r="N9" s="8" t="s">
        <v>204</v>
      </c>
      <c r="O9" s="66" t="s">
        <v>101</v>
      </c>
      <c r="P9" s="29">
        <v>6</v>
      </c>
      <c r="Q9" s="28">
        <f>truck</f>
        <v>486.72</v>
      </c>
      <c r="R9" s="26">
        <f t="shared" si="0"/>
        <v>2920.32</v>
      </c>
    </row>
    <row r="10" spans="1:18">
      <c r="A10" s="2"/>
      <c r="B10" s="126"/>
      <c r="C10" s="6"/>
      <c r="D10" s="4" t="s">
        <v>463</v>
      </c>
      <c r="E10" s="66" t="s">
        <v>81</v>
      </c>
      <c r="F10" s="29">
        <v>0.5</v>
      </c>
      <c r="G10" s="26">
        <f>mech</f>
        <v>1100</v>
      </c>
      <c r="H10" s="26">
        <f t="shared" si="1"/>
        <v>550</v>
      </c>
      <c r="I10" s="7" t="s">
        <v>465</v>
      </c>
      <c r="J10" s="145" t="s">
        <v>250</v>
      </c>
      <c r="K10" s="29">
        <v>2</v>
      </c>
      <c r="L10" s="28">
        <f>lubricant</f>
        <v>459.84</v>
      </c>
      <c r="M10" s="26">
        <f t="shared" si="2"/>
        <v>919.68</v>
      </c>
      <c r="N10" s="8" t="s">
        <v>480</v>
      </c>
      <c r="O10" s="66" t="s">
        <v>101</v>
      </c>
      <c r="P10" s="29">
        <v>2</v>
      </c>
      <c r="Q10" s="28">
        <f>survey_equipments</f>
        <v>378.56</v>
      </c>
      <c r="R10" s="26">
        <f t="shared" si="0"/>
        <v>757.12</v>
      </c>
    </row>
    <row r="11" spans="1:18">
      <c r="A11" s="2"/>
      <c r="B11" s="126"/>
      <c r="C11" s="6"/>
      <c r="D11" s="4" t="s">
        <v>88</v>
      </c>
      <c r="E11" s="66" t="s">
        <v>81</v>
      </c>
      <c r="F11" s="29">
        <v>0.5</v>
      </c>
      <c r="G11" s="26">
        <f>el</f>
        <v>1100</v>
      </c>
      <c r="H11" s="26">
        <f t="shared" si="1"/>
        <v>550</v>
      </c>
      <c r="I11" s="7" t="s">
        <v>466</v>
      </c>
      <c r="J11" s="145" t="s">
        <v>250</v>
      </c>
      <c r="K11" s="29">
        <v>2</v>
      </c>
      <c r="L11" s="28">
        <f>Hydraulic_oil</f>
        <v>339.84</v>
      </c>
      <c r="M11" s="26">
        <f t="shared" si="2"/>
        <v>679.68</v>
      </c>
      <c r="N11" s="8"/>
      <c r="O11" s="6"/>
      <c r="P11" s="29"/>
      <c r="Q11" s="28"/>
      <c r="R11" s="26"/>
    </row>
    <row r="12" spans="1:18">
      <c r="A12" s="2"/>
      <c r="B12" s="126"/>
      <c r="C12" s="6"/>
      <c r="D12" s="4" t="s">
        <v>486</v>
      </c>
      <c r="E12" s="66" t="s">
        <v>81</v>
      </c>
      <c r="F12" s="29">
        <v>1</v>
      </c>
      <c r="G12" s="26">
        <f>or</f>
        <v>1840</v>
      </c>
      <c r="H12" s="26">
        <f t="shared" si="1"/>
        <v>1840</v>
      </c>
      <c r="I12" s="7" t="s">
        <v>67</v>
      </c>
      <c r="J12" s="145" t="s">
        <v>250</v>
      </c>
      <c r="K12" s="29">
        <v>100</v>
      </c>
      <c r="L12" s="28">
        <f>diesel</f>
        <v>177.6</v>
      </c>
      <c r="M12" s="26">
        <f t="shared" si="2"/>
        <v>17760</v>
      </c>
      <c r="N12" s="8"/>
      <c r="O12" s="6"/>
      <c r="P12" s="29"/>
      <c r="Q12" s="28"/>
      <c r="R12" s="26"/>
    </row>
    <row r="13" spans="1:18">
      <c r="A13" s="2"/>
      <c r="B13" s="126"/>
      <c r="C13" s="6"/>
      <c r="D13" s="4" t="s">
        <v>487</v>
      </c>
      <c r="E13" s="66" t="s">
        <v>81</v>
      </c>
      <c r="F13" s="29">
        <v>2</v>
      </c>
      <c r="G13" s="26">
        <f>hr</f>
        <v>750</v>
      </c>
      <c r="H13" s="26">
        <f t="shared" si="1"/>
        <v>1500</v>
      </c>
      <c r="I13" s="7" t="s">
        <v>467</v>
      </c>
      <c r="J13" s="145" t="s">
        <v>250</v>
      </c>
      <c r="K13" s="29">
        <v>1</v>
      </c>
      <c r="L13" s="28">
        <f>lubricant</f>
        <v>459.84</v>
      </c>
      <c r="M13" s="26">
        <f t="shared" si="2"/>
        <v>459.84</v>
      </c>
      <c r="N13" s="8"/>
      <c r="O13" s="6"/>
      <c r="P13" s="29"/>
      <c r="Q13" s="28"/>
      <c r="R13" s="26"/>
    </row>
    <row r="14" spans="1:18">
      <c r="A14" s="2"/>
      <c r="B14" s="126"/>
      <c r="C14" s="6"/>
      <c r="D14" s="4" t="s">
        <v>488</v>
      </c>
      <c r="E14" s="66" t="s">
        <v>81</v>
      </c>
      <c r="F14" s="29">
        <v>0.5</v>
      </c>
      <c r="G14" s="26">
        <f>hr</f>
        <v>750</v>
      </c>
      <c r="H14" s="26">
        <f t="shared" si="1"/>
        <v>375</v>
      </c>
      <c r="I14" s="7" t="s">
        <v>468</v>
      </c>
      <c r="J14" s="145" t="s">
        <v>47</v>
      </c>
      <c r="K14" s="29">
        <v>1</v>
      </c>
      <c r="L14" s="28">
        <f>Ventilation_duct</f>
        <v>2008.25</v>
      </c>
      <c r="M14" s="26">
        <f t="shared" si="2"/>
        <v>2008.25</v>
      </c>
      <c r="N14" s="8"/>
      <c r="O14" s="6"/>
      <c r="P14" s="29"/>
      <c r="Q14" s="28"/>
      <c r="R14" s="26"/>
    </row>
    <row r="15" spans="1:18">
      <c r="A15" s="2"/>
      <c r="B15" s="126"/>
      <c r="C15" s="6"/>
      <c r="D15" s="4" t="s">
        <v>489</v>
      </c>
      <c r="E15" s="66" t="s">
        <v>81</v>
      </c>
      <c r="F15" s="29">
        <v>1</v>
      </c>
      <c r="G15" s="26">
        <f>drv</f>
        <v>1100</v>
      </c>
      <c r="H15" s="26">
        <f t="shared" si="1"/>
        <v>1100</v>
      </c>
      <c r="I15" s="7"/>
      <c r="J15" s="145"/>
      <c r="K15" s="29"/>
      <c r="L15" s="28"/>
      <c r="M15" s="26"/>
      <c r="N15" s="8"/>
      <c r="O15" s="6"/>
      <c r="P15" s="29"/>
      <c r="Q15" s="28"/>
      <c r="R15" s="26"/>
    </row>
    <row r="16" spans="1:18">
      <c r="A16" s="2"/>
      <c r="B16" s="126"/>
      <c r="C16" s="6"/>
      <c r="D16" s="4" t="s">
        <v>490</v>
      </c>
      <c r="E16" s="66" t="s">
        <v>81</v>
      </c>
      <c r="F16" s="29">
        <v>1</v>
      </c>
      <c r="G16" s="26">
        <f>drv</f>
        <v>1100</v>
      </c>
      <c r="H16" s="26">
        <f t="shared" si="1"/>
        <v>1100</v>
      </c>
      <c r="I16" s="7"/>
      <c r="J16" s="145"/>
      <c r="K16" s="29"/>
      <c r="L16" s="28"/>
      <c r="M16" s="26"/>
      <c r="N16" s="8"/>
      <c r="O16" s="6"/>
      <c r="P16" s="29"/>
      <c r="Q16" s="28"/>
      <c r="R16" s="26"/>
    </row>
    <row r="17" spans="1:18">
      <c r="A17" s="2"/>
      <c r="B17" s="126"/>
      <c r="C17" s="6"/>
      <c r="D17" s="4" t="s">
        <v>491</v>
      </c>
      <c r="E17" s="66" t="s">
        <v>81</v>
      </c>
      <c r="F17" s="29">
        <v>1</v>
      </c>
      <c r="G17" s="26">
        <f>hr</f>
        <v>750</v>
      </c>
      <c r="H17" s="26">
        <f t="shared" si="1"/>
        <v>750</v>
      </c>
      <c r="I17" s="7"/>
      <c r="J17" s="145"/>
      <c r="K17" s="29"/>
      <c r="L17" s="28"/>
      <c r="M17" s="26"/>
      <c r="N17" s="8"/>
      <c r="O17" s="6"/>
      <c r="P17" s="29"/>
      <c r="Q17" s="28"/>
      <c r="R17" s="26"/>
    </row>
    <row r="18" spans="1:18">
      <c r="A18" s="2"/>
      <c r="B18" s="126"/>
      <c r="C18" s="6"/>
      <c r="D18" s="4" t="s">
        <v>492</v>
      </c>
      <c r="E18" s="66" t="s">
        <v>81</v>
      </c>
      <c r="F18" s="29">
        <f>4.5*0</f>
        <v>0</v>
      </c>
      <c r="G18" s="26">
        <f>ur</f>
        <v>850</v>
      </c>
      <c r="H18" s="26">
        <f t="shared" si="1"/>
        <v>0</v>
      </c>
      <c r="I18" s="7"/>
      <c r="J18" s="145"/>
      <c r="K18" s="29"/>
      <c r="L18" s="28"/>
      <c r="M18" s="26"/>
      <c r="N18" s="8"/>
      <c r="O18" s="6"/>
      <c r="P18" s="29"/>
      <c r="Q18" s="28"/>
      <c r="R18" s="26"/>
    </row>
    <row r="19" spans="1:18">
      <c r="A19" s="2"/>
      <c r="B19" s="5"/>
      <c r="C19" s="6"/>
      <c r="D19" s="4"/>
      <c r="E19" s="9"/>
      <c r="F19" s="30"/>
      <c r="G19" s="27"/>
      <c r="H19" s="27"/>
      <c r="I19" s="9"/>
      <c r="J19" s="10"/>
      <c r="K19" s="30"/>
      <c r="L19" s="28"/>
      <c r="M19" s="28"/>
      <c r="N19" s="8"/>
      <c r="O19" s="6"/>
      <c r="P19" s="30"/>
      <c r="Q19" s="28"/>
      <c r="R19" s="28"/>
    </row>
    <row r="20" spans="1:18">
      <c r="A20" s="2"/>
      <c r="B20" s="11"/>
      <c r="C20" s="6"/>
      <c r="D20" s="12"/>
      <c r="E20" s="59"/>
      <c r="F20" s="13"/>
      <c r="G20" s="13" t="s">
        <v>20</v>
      </c>
      <c r="H20" s="25">
        <f>SUM(H4:H19)</f>
        <v>12365</v>
      </c>
      <c r="I20" s="703"/>
      <c r="J20" s="703"/>
      <c r="K20" s="14"/>
      <c r="L20" s="13" t="s">
        <v>21</v>
      </c>
      <c r="M20" s="25">
        <f>SUM(M4:M19)</f>
        <v>40795.098599999998</v>
      </c>
      <c r="N20" s="3"/>
      <c r="O20" s="14"/>
      <c r="P20" s="14"/>
      <c r="Q20" s="13" t="s">
        <v>22</v>
      </c>
      <c r="R20" s="25">
        <f>SUM(R4:R19)</f>
        <v>12445.990000000002</v>
      </c>
    </row>
    <row r="21" spans="1:18">
      <c r="A21" s="2"/>
      <c r="B21" s="16" t="s">
        <v>13</v>
      </c>
      <c r="C21" s="14"/>
      <c r="D21" s="14"/>
      <c r="E21" s="14"/>
      <c r="F21" s="14"/>
      <c r="G21" s="13"/>
      <c r="H21" s="35">
        <f>M20+R20+H20</f>
        <v>65606.088600000003</v>
      </c>
      <c r="I21" s="17"/>
      <c r="J21" s="14"/>
      <c r="K21" s="14"/>
      <c r="L21" s="13"/>
      <c r="M21" s="15"/>
      <c r="N21" s="14"/>
      <c r="O21" s="14"/>
      <c r="P21" s="14"/>
      <c r="Q21" s="14"/>
      <c r="R21" s="17"/>
    </row>
    <row r="22" spans="1:18">
      <c r="A22" s="2"/>
      <c r="B22" s="11" t="s">
        <v>25</v>
      </c>
      <c r="C22" s="4" t="s">
        <v>647</v>
      </c>
      <c r="D22" s="4"/>
      <c r="E22" s="4"/>
      <c r="F22" s="4"/>
      <c r="G22" s="18"/>
      <c r="H22" s="36">
        <f>20%*H20</f>
        <v>2473</v>
      </c>
      <c r="I22" s="174"/>
      <c r="J22" s="4" t="s">
        <v>26</v>
      </c>
      <c r="K22" s="4"/>
      <c r="L22" s="18"/>
      <c r="M22" s="19"/>
      <c r="N22" s="4"/>
      <c r="O22" s="4"/>
      <c r="P22" s="4"/>
      <c r="Q22" s="4"/>
      <c r="R22" s="20"/>
    </row>
    <row r="23" spans="1:18">
      <c r="A23" s="23"/>
      <c r="B23" s="11" t="s">
        <v>14</v>
      </c>
      <c r="C23" s="4"/>
      <c r="D23" s="4"/>
      <c r="E23" s="4"/>
      <c r="F23" s="4"/>
      <c r="G23" s="18"/>
      <c r="H23" s="36">
        <f>SUM(H21:H22)</f>
        <v>68079.088600000003</v>
      </c>
      <c r="I23" s="20"/>
      <c r="J23" s="741"/>
      <c r="K23" s="742"/>
      <c r="L23" s="742"/>
      <c r="M23" s="742"/>
      <c r="N23" s="742"/>
      <c r="O23" s="742"/>
      <c r="P23" s="742"/>
      <c r="Q23" s="742"/>
      <c r="R23" s="743"/>
    </row>
    <row r="24" spans="1:18">
      <c r="A24" s="23"/>
      <c r="B24" s="11" t="s">
        <v>24</v>
      </c>
      <c r="C24" s="4"/>
      <c r="D24" s="4"/>
      <c r="E24" s="4"/>
      <c r="F24" s="4"/>
      <c r="G24" s="18"/>
      <c r="H24" s="36">
        <f>H23*15%</f>
        <v>10211.863289999999</v>
      </c>
      <c r="I24" s="20"/>
      <c r="J24" s="744"/>
      <c r="K24" s="745"/>
      <c r="L24" s="745"/>
      <c r="M24" s="745"/>
      <c r="N24" s="745"/>
      <c r="O24" s="745"/>
      <c r="P24" s="745"/>
      <c r="Q24" s="745"/>
      <c r="R24" s="746"/>
    </row>
    <row r="25" spans="1:18">
      <c r="A25" s="23"/>
      <c r="B25" s="11" t="s">
        <v>15</v>
      </c>
      <c r="C25" s="4"/>
      <c r="D25" s="4"/>
      <c r="E25" s="4"/>
      <c r="F25" s="4"/>
      <c r="G25" s="21" t="s">
        <v>16</v>
      </c>
      <c r="H25" s="37">
        <f>H24+H23</f>
        <v>78290.951889999997</v>
      </c>
      <c r="I25" s="38" t="str">
        <f>CONCATENATE("per ",C4, C5)</f>
        <v>per 12.64cum</v>
      </c>
      <c r="J25" s="744"/>
      <c r="K25" s="745"/>
      <c r="L25" s="745"/>
      <c r="M25" s="745"/>
      <c r="N25" s="745"/>
      <c r="O25" s="745"/>
      <c r="P25" s="745"/>
      <c r="Q25" s="745"/>
      <c r="R25" s="746"/>
    </row>
    <row r="26" spans="1:18">
      <c r="A26" s="23"/>
      <c r="B26" s="11"/>
      <c r="C26" s="4"/>
      <c r="D26" s="4"/>
      <c r="E26" s="4"/>
      <c r="F26" s="4"/>
      <c r="G26" s="21" t="s">
        <v>16</v>
      </c>
      <c r="H26" s="37">
        <f>H25/C4</f>
        <v>6193.9044216772145</v>
      </c>
      <c r="I26" s="38" t="str">
        <f>CONCATENATE("per ",C5)</f>
        <v>per cum</v>
      </c>
      <c r="J26" s="744"/>
      <c r="K26" s="745"/>
      <c r="L26" s="745"/>
      <c r="M26" s="745"/>
      <c r="N26" s="745"/>
      <c r="O26" s="745"/>
      <c r="P26" s="745"/>
      <c r="Q26" s="745"/>
      <c r="R26" s="746"/>
    </row>
    <row r="27" spans="1:18">
      <c r="A27" s="23"/>
      <c r="B27" s="11" t="s">
        <v>18</v>
      </c>
      <c r="C27" s="4" t="s">
        <v>19</v>
      </c>
      <c r="D27" s="4"/>
      <c r="E27" s="4"/>
      <c r="F27" s="4"/>
      <c r="G27" s="21" t="s">
        <v>16</v>
      </c>
      <c r="H27" s="37">
        <f>CEILING(H26,0.5)</f>
        <v>6194</v>
      </c>
      <c r="I27" s="38" t="str">
        <f>CONCATENATE("per ",C5)</f>
        <v>per cum</v>
      </c>
      <c r="J27" s="744"/>
      <c r="K27" s="745"/>
      <c r="L27" s="745"/>
      <c r="M27" s="745"/>
      <c r="N27" s="745"/>
      <c r="O27" s="745"/>
      <c r="P27" s="745"/>
      <c r="Q27" s="745"/>
      <c r="R27" s="746"/>
    </row>
    <row r="28" spans="1:18">
      <c r="A28" s="23"/>
      <c r="B28" s="11"/>
      <c r="C28" s="4"/>
      <c r="D28" s="4"/>
      <c r="E28" s="4"/>
      <c r="F28" s="4"/>
      <c r="G28" s="24" t="s">
        <v>17</v>
      </c>
      <c r="H28" s="37">
        <f>H27/exr</f>
        <v>47.646153846153844</v>
      </c>
      <c r="I28" s="38" t="str">
        <f>CONCATENATE("per ",C5)</f>
        <v>per cum</v>
      </c>
      <c r="J28" s="747"/>
      <c r="K28" s="748"/>
      <c r="L28" s="748"/>
      <c r="M28" s="748"/>
      <c r="N28" s="748"/>
      <c r="O28" s="748"/>
      <c r="P28" s="748"/>
      <c r="Q28" s="748"/>
      <c r="R28" s="749"/>
    </row>
    <row r="29" spans="1:18">
      <c r="A29" s="39"/>
      <c r="B29" s="40"/>
      <c r="C29" s="41"/>
      <c r="D29" s="41"/>
      <c r="E29" s="41"/>
      <c r="F29" s="41"/>
      <c r="G29" s="149" t="s">
        <v>460</v>
      </c>
      <c r="H29" s="150">
        <f>CEILING(SUM(M7,M8,M9,M10,M11,M12,M13,M14,R20)/H21,0.0025)</f>
        <v>0.59250000000000003</v>
      </c>
      <c r="I29" s="42"/>
      <c r="J29" s="43"/>
      <c r="K29" s="43"/>
      <c r="L29" s="43"/>
      <c r="M29" s="43"/>
      <c r="N29" s="43"/>
      <c r="O29" s="43"/>
      <c r="P29" s="43"/>
      <c r="Q29" s="43"/>
      <c r="R29" s="44"/>
    </row>
    <row r="30" spans="1:18">
      <c r="A30" s="22"/>
      <c r="B30" s="22"/>
      <c r="C30" s="22"/>
      <c r="D30" s="22"/>
      <c r="E30" s="22"/>
      <c r="F30" s="22"/>
      <c r="G30" s="22"/>
      <c r="H30" s="22"/>
      <c r="I30" s="22"/>
      <c r="J30" s="22"/>
      <c r="K30" s="22"/>
      <c r="L30" s="22"/>
      <c r="M30" s="22"/>
      <c r="N30" s="22"/>
      <c r="O30" s="22"/>
      <c r="P30" s="22"/>
      <c r="Q30" s="22"/>
      <c r="R30" s="22"/>
    </row>
    <row r="31" spans="1:18">
      <c r="A31" s="693" t="s">
        <v>0</v>
      </c>
      <c r="B31" s="695" t="s">
        <v>1</v>
      </c>
      <c r="C31" s="695" t="s">
        <v>2</v>
      </c>
      <c r="D31" s="697" t="s">
        <v>3</v>
      </c>
      <c r="E31" s="698"/>
      <c r="F31" s="698"/>
      <c r="G31" s="698"/>
      <c r="H31" s="698"/>
      <c r="I31" s="699" t="s">
        <v>4</v>
      </c>
      <c r="J31" s="700"/>
      <c r="K31" s="700"/>
      <c r="L31" s="700"/>
      <c r="M31" s="700"/>
      <c r="N31" s="698" t="s">
        <v>5</v>
      </c>
      <c r="O31" s="698"/>
      <c r="P31" s="698"/>
      <c r="Q31" s="698"/>
      <c r="R31" s="698"/>
    </row>
    <row r="32" spans="1:18">
      <c r="A32" s="694"/>
      <c r="B32" s="759"/>
      <c r="C32" s="696"/>
      <c r="D32" s="45" t="s">
        <v>6</v>
      </c>
      <c r="E32" s="46" t="s">
        <v>2</v>
      </c>
      <c r="F32" s="46" t="s">
        <v>7</v>
      </c>
      <c r="G32" s="46" t="s">
        <v>8</v>
      </c>
      <c r="H32" s="46" t="s">
        <v>9</v>
      </c>
      <c r="I32" s="46" t="s">
        <v>10</v>
      </c>
      <c r="J32" s="46" t="s">
        <v>2</v>
      </c>
      <c r="K32" s="46" t="s">
        <v>7</v>
      </c>
      <c r="L32" s="46" t="s">
        <v>8</v>
      </c>
      <c r="M32" s="47" t="s">
        <v>9</v>
      </c>
      <c r="N32" s="46" t="s">
        <v>10</v>
      </c>
      <c r="O32" s="46" t="s">
        <v>2</v>
      </c>
      <c r="P32" s="46" t="s">
        <v>7</v>
      </c>
      <c r="Q32" s="46" t="s">
        <v>8</v>
      </c>
      <c r="R32" s="46" t="s">
        <v>9</v>
      </c>
    </row>
    <row r="33" spans="1:18">
      <c r="A33" s="33" t="s">
        <v>23</v>
      </c>
      <c r="B33" s="127"/>
      <c r="C33" s="31"/>
      <c r="D33" s="31"/>
      <c r="E33" s="31"/>
      <c r="F33" s="31"/>
      <c r="G33" s="31"/>
      <c r="H33" s="31"/>
      <c r="I33" s="31"/>
      <c r="J33" s="31"/>
      <c r="K33" s="31"/>
      <c r="L33" s="31"/>
      <c r="M33" s="31"/>
      <c r="N33" s="31"/>
      <c r="O33" s="31"/>
      <c r="P33" s="31"/>
      <c r="Q33" s="31"/>
      <c r="R33" s="32"/>
    </row>
    <row r="34" spans="1:18">
      <c r="A34" s="34">
        <f>A4+1</f>
        <v>2</v>
      </c>
      <c r="B34" s="713" t="s">
        <v>499</v>
      </c>
      <c r="C34" s="66">
        <f>ROUND((3.142*1.75^2/2+3.5*1.75)*0.5,2)</f>
        <v>5.47</v>
      </c>
      <c r="D34" s="4"/>
      <c r="E34" s="6"/>
      <c r="F34" s="29"/>
      <c r="G34" s="26"/>
      <c r="H34" s="26"/>
      <c r="I34" s="6"/>
      <c r="J34" s="6"/>
      <c r="K34" s="29"/>
      <c r="L34" s="26"/>
      <c r="M34" s="26"/>
      <c r="N34" s="6"/>
      <c r="O34" s="6"/>
      <c r="P34" s="29"/>
      <c r="Q34" s="26"/>
      <c r="R34" s="26"/>
    </row>
    <row r="35" spans="1:18">
      <c r="A35" s="2"/>
      <c r="B35" s="714"/>
      <c r="C35" s="124" t="s">
        <v>11</v>
      </c>
      <c r="D35" s="4" t="s">
        <v>75</v>
      </c>
      <c r="E35" s="66" t="s">
        <v>81</v>
      </c>
      <c r="F35" s="29">
        <v>1</v>
      </c>
      <c r="G35" s="26">
        <f>fr</f>
        <v>1100</v>
      </c>
      <c r="H35" s="26">
        <f>F35*G35</f>
        <v>1100</v>
      </c>
      <c r="I35" s="7" t="s">
        <v>493</v>
      </c>
      <c r="J35" s="145" t="s">
        <v>424</v>
      </c>
      <c r="K35" s="29">
        <v>5.5</v>
      </c>
      <c r="L35" s="28">
        <f>gelatine</f>
        <v>408.15999999999997</v>
      </c>
      <c r="M35" s="26">
        <f>K35*L35</f>
        <v>2244.8799999999997</v>
      </c>
      <c r="N35" s="8" t="s">
        <v>500</v>
      </c>
      <c r="O35" s="66" t="s">
        <v>101</v>
      </c>
      <c r="P35" s="29">
        <v>8</v>
      </c>
      <c r="Q35" s="28">
        <f>compressor</f>
        <v>270.39999999999998</v>
      </c>
      <c r="R35" s="26">
        <f t="shared" ref="R35:R40" si="3">P35*Q35</f>
        <v>2163.1999999999998</v>
      </c>
    </row>
    <row r="36" spans="1:18">
      <c r="A36" s="2"/>
      <c r="B36" s="714"/>
      <c r="C36" s="6"/>
      <c r="D36" s="4" t="s">
        <v>461</v>
      </c>
      <c r="E36" s="66" t="s">
        <v>81</v>
      </c>
      <c r="F36" s="29">
        <v>1</v>
      </c>
      <c r="G36" s="26">
        <f>sr</f>
        <v>1100</v>
      </c>
      <c r="H36" s="26">
        <f t="shared" ref="H36:H48" si="4">F36*G36</f>
        <v>1100</v>
      </c>
      <c r="I36" s="7" t="s">
        <v>44</v>
      </c>
      <c r="J36" s="145" t="s">
        <v>45</v>
      </c>
      <c r="K36" s="29">
        <v>45</v>
      </c>
      <c r="L36" s="28">
        <f>detonator</f>
        <v>11.95</v>
      </c>
      <c r="M36" s="26">
        <f>K36*L36</f>
        <v>537.75</v>
      </c>
      <c r="N36" s="8" t="s">
        <v>497</v>
      </c>
      <c r="O36" s="66" t="s">
        <v>101</v>
      </c>
      <c r="P36" s="29">
        <v>8</v>
      </c>
      <c r="Q36" s="28">
        <f>hand_drill</f>
        <v>75.709999999999994</v>
      </c>
      <c r="R36" s="26">
        <f t="shared" si="3"/>
        <v>605.67999999999995</v>
      </c>
    </row>
    <row r="37" spans="1:18">
      <c r="A37" s="2"/>
      <c r="B37" s="126"/>
      <c r="C37" s="6"/>
      <c r="D37" s="4" t="s">
        <v>89</v>
      </c>
      <c r="E37" s="66" t="s">
        <v>81</v>
      </c>
      <c r="F37" s="29">
        <v>2</v>
      </c>
      <c r="G37" s="26">
        <f>dr</f>
        <v>1100</v>
      </c>
      <c r="H37" s="26">
        <f t="shared" si="4"/>
        <v>2200</v>
      </c>
      <c r="I37" s="7" t="s">
        <v>494</v>
      </c>
      <c r="J37" s="145" t="s">
        <v>45</v>
      </c>
      <c r="K37" s="29">
        <v>0.25</v>
      </c>
      <c r="L37" s="28">
        <f>Drillbit_38</f>
        <v>3875.91</v>
      </c>
      <c r="M37" s="26">
        <f t="shared" ref="M37:M44" si="5">K37*L37</f>
        <v>968.97749999999996</v>
      </c>
      <c r="N37" s="8" t="s">
        <v>498</v>
      </c>
      <c r="O37" s="66" t="s">
        <v>101</v>
      </c>
      <c r="P37" s="29">
        <v>8</v>
      </c>
      <c r="Q37" s="28">
        <f>fan</f>
        <v>260.67</v>
      </c>
      <c r="R37" s="26">
        <f t="shared" si="3"/>
        <v>2085.36</v>
      </c>
    </row>
    <row r="38" spans="1:18">
      <c r="A38" s="2"/>
      <c r="B38" s="126"/>
      <c r="C38" s="6"/>
      <c r="D38" s="4" t="s">
        <v>462</v>
      </c>
      <c r="E38" s="66" t="s">
        <v>81</v>
      </c>
      <c r="F38" s="29">
        <v>2</v>
      </c>
      <c r="G38" s="26">
        <f>drh</f>
        <v>750</v>
      </c>
      <c r="H38" s="26">
        <f t="shared" si="4"/>
        <v>1500</v>
      </c>
      <c r="I38" s="7" t="s">
        <v>396</v>
      </c>
      <c r="J38" s="145" t="s">
        <v>45</v>
      </c>
      <c r="K38" s="29">
        <v>0.05</v>
      </c>
      <c r="L38" s="28">
        <f>drill_rod</f>
        <v>6733.47</v>
      </c>
      <c r="M38" s="26">
        <f t="shared" si="5"/>
        <v>336.67350000000005</v>
      </c>
      <c r="N38" s="8" t="s">
        <v>384</v>
      </c>
      <c r="O38" s="66" t="s">
        <v>101</v>
      </c>
      <c r="P38" s="29">
        <v>5</v>
      </c>
      <c r="Q38" s="28">
        <f>wheel_loader</f>
        <v>1622.4</v>
      </c>
      <c r="R38" s="26">
        <f t="shared" si="3"/>
        <v>8112</v>
      </c>
    </row>
    <row r="39" spans="1:18">
      <c r="A39" s="2"/>
      <c r="B39" s="126"/>
      <c r="C39" s="6"/>
      <c r="D39" s="4" t="s">
        <v>87</v>
      </c>
      <c r="E39" s="66" t="s">
        <v>81</v>
      </c>
      <c r="F39" s="29">
        <v>1</v>
      </c>
      <c r="G39" s="26">
        <f>br</f>
        <v>1100</v>
      </c>
      <c r="H39" s="26">
        <f t="shared" si="4"/>
        <v>1100</v>
      </c>
      <c r="I39" s="7" t="s">
        <v>495</v>
      </c>
      <c r="J39" s="145" t="s">
        <v>47</v>
      </c>
      <c r="K39" s="29">
        <v>0.5</v>
      </c>
      <c r="L39" s="28">
        <f>Detonating_chord</f>
        <v>7.4</v>
      </c>
      <c r="M39" s="26">
        <f t="shared" si="5"/>
        <v>3.7</v>
      </c>
      <c r="N39" s="8" t="s">
        <v>204</v>
      </c>
      <c r="O39" s="66" t="s">
        <v>101</v>
      </c>
      <c r="P39" s="29">
        <v>0.5</v>
      </c>
      <c r="Q39" s="28">
        <f>truck</f>
        <v>486.72</v>
      </c>
      <c r="R39" s="26">
        <f t="shared" si="3"/>
        <v>243.36</v>
      </c>
    </row>
    <row r="40" spans="1:18">
      <c r="A40" s="2"/>
      <c r="B40" s="126"/>
      <c r="C40" s="6"/>
      <c r="D40" s="4" t="s">
        <v>463</v>
      </c>
      <c r="E40" s="66" t="s">
        <v>81</v>
      </c>
      <c r="F40" s="29">
        <v>1</v>
      </c>
      <c r="G40" s="26">
        <f>mech</f>
        <v>1100</v>
      </c>
      <c r="H40" s="26">
        <f t="shared" si="4"/>
        <v>1100</v>
      </c>
      <c r="I40" s="7" t="s">
        <v>465</v>
      </c>
      <c r="J40" s="145" t="s">
        <v>250</v>
      </c>
      <c r="K40" s="29">
        <v>1</v>
      </c>
      <c r="L40" s="28">
        <f>lubricant</f>
        <v>459.84</v>
      </c>
      <c r="M40" s="26">
        <f t="shared" si="5"/>
        <v>459.84</v>
      </c>
      <c r="N40" s="8" t="s">
        <v>480</v>
      </c>
      <c r="O40" s="66" t="s">
        <v>101</v>
      </c>
      <c r="P40" s="29">
        <v>2</v>
      </c>
      <c r="Q40" s="28">
        <f>survey_equipments</f>
        <v>378.56</v>
      </c>
      <c r="R40" s="26">
        <f t="shared" si="3"/>
        <v>757.12</v>
      </c>
    </row>
    <row r="41" spans="1:18">
      <c r="A41" s="2"/>
      <c r="B41" s="126"/>
      <c r="C41" s="6"/>
      <c r="D41" s="4" t="s">
        <v>88</v>
      </c>
      <c r="E41" s="66" t="s">
        <v>81</v>
      </c>
      <c r="F41" s="29">
        <v>1</v>
      </c>
      <c r="G41" s="26">
        <f>el</f>
        <v>1100</v>
      </c>
      <c r="H41" s="26">
        <f t="shared" si="4"/>
        <v>1100</v>
      </c>
      <c r="I41" s="7" t="s">
        <v>466</v>
      </c>
      <c r="J41" s="145" t="s">
        <v>250</v>
      </c>
      <c r="K41" s="29">
        <v>1</v>
      </c>
      <c r="L41" s="28">
        <f>Hydraulic_oil</f>
        <v>339.84</v>
      </c>
      <c r="M41" s="26">
        <f t="shared" si="5"/>
        <v>339.84</v>
      </c>
      <c r="N41" s="8"/>
      <c r="O41" s="6"/>
      <c r="P41" s="29"/>
      <c r="Q41" s="28"/>
      <c r="R41" s="26"/>
    </row>
    <row r="42" spans="1:18">
      <c r="A42" s="2"/>
      <c r="B42" s="126"/>
      <c r="C42" s="6"/>
      <c r="D42" s="4" t="s">
        <v>486</v>
      </c>
      <c r="E42" s="66" t="s">
        <v>81</v>
      </c>
      <c r="F42" s="29">
        <v>1</v>
      </c>
      <c r="G42" s="26">
        <f>or</f>
        <v>1840</v>
      </c>
      <c r="H42" s="26">
        <f t="shared" si="4"/>
        <v>1840</v>
      </c>
      <c r="I42" s="7" t="s">
        <v>67</v>
      </c>
      <c r="J42" s="145" t="s">
        <v>250</v>
      </c>
      <c r="K42" s="29">
        <v>30</v>
      </c>
      <c r="L42" s="28">
        <f>diesel</f>
        <v>177.6</v>
      </c>
      <c r="M42" s="26">
        <f>K42*L42</f>
        <v>5328</v>
      </c>
      <c r="N42" s="8"/>
      <c r="O42" s="6"/>
      <c r="P42" s="29"/>
      <c r="Q42" s="28"/>
      <c r="R42" s="26"/>
    </row>
    <row r="43" spans="1:18">
      <c r="A43" s="2"/>
      <c r="B43" s="126"/>
      <c r="C43" s="6"/>
      <c r="D43" s="4" t="s">
        <v>487</v>
      </c>
      <c r="E43" s="66" t="s">
        <v>81</v>
      </c>
      <c r="F43" s="29">
        <v>2</v>
      </c>
      <c r="G43" s="26">
        <f>hr</f>
        <v>750</v>
      </c>
      <c r="H43" s="26">
        <f t="shared" si="4"/>
        <v>1500</v>
      </c>
      <c r="I43" s="7" t="s">
        <v>467</v>
      </c>
      <c r="J43" s="145" t="s">
        <v>250</v>
      </c>
      <c r="K43" s="29">
        <v>0.5</v>
      </c>
      <c r="L43" s="28">
        <f>lubricant</f>
        <v>459.84</v>
      </c>
      <c r="M43" s="26">
        <f t="shared" si="5"/>
        <v>229.92</v>
      </c>
      <c r="N43" s="8"/>
      <c r="O43" s="6"/>
      <c r="P43" s="29"/>
      <c r="Q43" s="28"/>
      <c r="R43" s="26"/>
    </row>
    <row r="44" spans="1:18">
      <c r="A44" s="2"/>
      <c r="B44" s="126"/>
      <c r="C44" s="6"/>
      <c r="D44" s="4" t="s">
        <v>488</v>
      </c>
      <c r="E44" s="66" t="s">
        <v>81</v>
      </c>
      <c r="F44" s="29">
        <v>0.75</v>
      </c>
      <c r="G44" s="26">
        <f>hr</f>
        <v>750</v>
      </c>
      <c r="H44" s="26">
        <f t="shared" si="4"/>
        <v>562.5</v>
      </c>
      <c r="I44" s="7" t="s">
        <v>468</v>
      </c>
      <c r="J44" s="145" t="s">
        <v>47</v>
      </c>
      <c r="K44" s="29">
        <v>0.5</v>
      </c>
      <c r="L44" s="28">
        <f>Ventilation_duct</f>
        <v>2008.25</v>
      </c>
      <c r="M44" s="26">
        <f t="shared" si="5"/>
        <v>1004.125</v>
      </c>
      <c r="N44" s="8"/>
      <c r="O44" s="6"/>
      <c r="P44" s="29"/>
      <c r="Q44" s="28"/>
      <c r="R44" s="26"/>
    </row>
    <row r="45" spans="1:18">
      <c r="A45" s="2"/>
      <c r="B45" s="126"/>
      <c r="C45" s="6"/>
      <c r="D45" s="4" t="s">
        <v>489</v>
      </c>
      <c r="E45" s="66" t="s">
        <v>81</v>
      </c>
      <c r="F45" s="29">
        <v>0.625</v>
      </c>
      <c r="G45" s="26">
        <f>drv</f>
        <v>1100</v>
      </c>
      <c r="H45" s="26">
        <f t="shared" si="4"/>
        <v>687.5</v>
      </c>
      <c r="I45" s="7"/>
      <c r="J45" s="145"/>
      <c r="K45" s="29"/>
      <c r="L45" s="28"/>
      <c r="M45" s="26"/>
      <c r="N45" s="8"/>
      <c r="O45" s="6"/>
      <c r="P45" s="29"/>
      <c r="Q45" s="28"/>
      <c r="R45" s="26"/>
    </row>
    <row r="46" spans="1:18">
      <c r="A46" s="2"/>
      <c r="B46" s="126"/>
      <c r="C46" s="6"/>
      <c r="D46" s="4" t="s">
        <v>490</v>
      </c>
      <c r="E46" s="66" t="s">
        <v>81</v>
      </c>
      <c r="F46" s="29">
        <v>0.5</v>
      </c>
      <c r="G46" s="26">
        <f>drv</f>
        <v>1100</v>
      </c>
      <c r="H46" s="26">
        <f t="shared" si="4"/>
        <v>550</v>
      </c>
      <c r="I46" s="7"/>
      <c r="J46" s="145"/>
      <c r="K46" s="29"/>
      <c r="L46" s="28"/>
      <c r="M46" s="26"/>
      <c r="N46" s="8"/>
      <c r="O46" s="6"/>
      <c r="P46" s="29"/>
      <c r="Q46" s="28"/>
      <c r="R46" s="26"/>
    </row>
    <row r="47" spans="1:18">
      <c r="A47" s="2"/>
      <c r="B47" s="126"/>
      <c r="C47" s="6"/>
      <c r="D47" s="4" t="s">
        <v>491</v>
      </c>
      <c r="E47" s="66" t="s">
        <v>81</v>
      </c>
      <c r="F47" s="29">
        <v>0.5</v>
      </c>
      <c r="G47" s="26">
        <f>hr</f>
        <v>750</v>
      </c>
      <c r="H47" s="26">
        <f t="shared" si="4"/>
        <v>375</v>
      </c>
      <c r="I47" s="7"/>
      <c r="J47" s="145"/>
      <c r="K47" s="29"/>
      <c r="L47" s="28"/>
      <c r="M47" s="26"/>
      <c r="N47" s="8"/>
      <c r="O47" s="6"/>
      <c r="P47" s="29"/>
      <c r="Q47" s="28"/>
      <c r="R47" s="26"/>
    </row>
    <row r="48" spans="1:18">
      <c r="A48" s="2"/>
      <c r="B48" s="126"/>
      <c r="C48" s="6"/>
      <c r="D48" s="4" t="s">
        <v>492</v>
      </c>
      <c r="E48" s="66" t="s">
        <v>81</v>
      </c>
      <c r="F48" s="29">
        <v>5</v>
      </c>
      <c r="G48" s="26">
        <f>ur</f>
        <v>850</v>
      </c>
      <c r="H48" s="26">
        <f t="shared" si="4"/>
        <v>4250</v>
      </c>
      <c r="I48" s="7"/>
      <c r="J48" s="145"/>
      <c r="K48" s="29"/>
      <c r="L48" s="28"/>
      <c r="M48" s="26"/>
      <c r="N48" s="8"/>
      <c r="O48" s="6"/>
      <c r="P48" s="29"/>
      <c r="Q48" s="28"/>
      <c r="R48" s="26"/>
    </row>
    <row r="49" spans="1:18">
      <c r="A49" s="2"/>
      <c r="B49" s="5"/>
      <c r="C49" s="6"/>
      <c r="D49" s="4"/>
      <c r="E49" s="9"/>
      <c r="F49" s="30"/>
      <c r="G49" s="27"/>
      <c r="H49" s="27"/>
      <c r="I49" s="9"/>
      <c r="J49" s="10"/>
      <c r="K49" s="30"/>
      <c r="L49" s="28"/>
      <c r="M49" s="28"/>
      <c r="N49" s="8"/>
      <c r="O49" s="6"/>
      <c r="P49" s="30"/>
      <c r="Q49" s="28"/>
      <c r="R49" s="28"/>
    </row>
    <row r="50" spans="1:18">
      <c r="A50" s="2"/>
      <c r="B50" s="11"/>
      <c r="C50" s="6"/>
      <c r="D50" s="12"/>
      <c r="E50" s="59"/>
      <c r="F50" s="13"/>
      <c r="G50" s="13" t="s">
        <v>20</v>
      </c>
      <c r="H50" s="25">
        <f>SUM(H34:H49)</f>
        <v>18965</v>
      </c>
      <c r="I50" s="703"/>
      <c r="J50" s="703"/>
      <c r="K50" s="14"/>
      <c r="L50" s="13" t="s">
        <v>21</v>
      </c>
      <c r="M50" s="25">
        <f>SUM(M34:M49)</f>
        <v>11453.706</v>
      </c>
      <c r="N50" s="3"/>
      <c r="O50" s="14"/>
      <c r="P50" s="14"/>
      <c r="Q50" s="13" t="s">
        <v>22</v>
      </c>
      <c r="R50" s="25">
        <f>SUM(R34:R49)</f>
        <v>13966.720000000001</v>
      </c>
    </row>
    <row r="51" spans="1:18">
      <c r="A51" s="2"/>
      <c r="B51" s="16" t="s">
        <v>13</v>
      </c>
      <c r="C51" s="14"/>
      <c r="D51" s="14"/>
      <c r="E51" s="14"/>
      <c r="F51" s="14"/>
      <c r="G51" s="13"/>
      <c r="H51" s="35">
        <f>M50+R50+H50</f>
        <v>44385.425999999999</v>
      </c>
      <c r="I51" s="17"/>
      <c r="J51" s="14"/>
      <c r="K51" s="14"/>
      <c r="L51" s="13"/>
      <c r="M51" s="15"/>
      <c r="N51" s="14"/>
      <c r="O51" s="14"/>
      <c r="P51" s="14"/>
      <c r="Q51" s="14"/>
      <c r="R51" s="17"/>
    </row>
    <row r="52" spans="1:18">
      <c r="A52" s="2"/>
      <c r="B52" s="11" t="s">
        <v>25</v>
      </c>
      <c r="C52" s="4" t="s">
        <v>647</v>
      </c>
      <c r="D52" s="4"/>
      <c r="E52" s="4"/>
      <c r="F52" s="4"/>
      <c r="G52" s="18"/>
      <c r="H52" s="36">
        <f>20%*H50</f>
        <v>3793</v>
      </c>
      <c r="I52" s="20"/>
      <c r="J52" s="4" t="s">
        <v>26</v>
      </c>
      <c r="K52" s="4"/>
      <c r="L52" s="18"/>
      <c r="M52" s="19"/>
      <c r="N52" s="4"/>
      <c r="O52" s="4"/>
      <c r="P52" s="4"/>
      <c r="Q52" s="4"/>
      <c r="R52" s="20"/>
    </row>
    <row r="53" spans="1:18">
      <c r="A53" s="23"/>
      <c r="B53" s="11" t="s">
        <v>14</v>
      </c>
      <c r="C53" s="4"/>
      <c r="D53" s="4"/>
      <c r="E53" s="4"/>
      <c r="F53" s="4"/>
      <c r="G53" s="18"/>
      <c r="H53" s="36">
        <f>SUM(H51:H52)</f>
        <v>48178.425999999999</v>
      </c>
      <c r="I53" s="20"/>
      <c r="J53" s="741"/>
      <c r="K53" s="742"/>
      <c r="L53" s="742"/>
      <c r="M53" s="742"/>
      <c r="N53" s="742"/>
      <c r="O53" s="742"/>
      <c r="P53" s="742"/>
      <c r="Q53" s="742"/>
      <c r="R53" s="743"/>
    </row>
    <row r="54" spans="1:18">
      <c r="A54" s="23"/>
      <c r="B54" s="11" t="s">
        <v>24</v>
      </c>
      <c r="C54" s="4"/>
      <c r="D54" s="4"/>
      <c r="E54" s="4"/>
      <c r="F54" s="4"/>
      <c r="G54" s="18"/>
      <c r="H54" s="36">
        <f>H53*15%</f>
        <v>7226.7638999999999</v>
      </c>
      <c r="I54" s="20"/>
      <c r="J54" s="744"/>
      <c r="K54" s="745"/>
      <c r="L54" s="745"/>
      <c r="M54" s="745"/>
      <c r="N54" s="745"/>
      <c r="O54" s="745"/>
      <c r="P54" s="745"/>
      <c r="Q54" s="745"/>
      <c r="R54" s="746"/>
    </row>
    <row r="55" spans="1:18">
      <c r="A55" s="23"/>
      <c r="B55" s="11" t="s">
        <v>15</v>
      </c>
      <c r="C55" s="4"/>
      <c r="D55" s="4"/>
      <c r="E55" s="4"/>
      <c r="F55" s="4"/>
      <c r="G55" s="21" t="s">
        <v>16</v>
      </c>
      <c r="H55" s="37">
        <f>H54+H53</f>
        <v>55405.189899999998</v>
      </c>
      <c r="I55" s="38" t="str">
        <f>CONCATENATE("per ",C34, C35)</f>
        <v>per 5.47cum</v>
      </c>
      <c r="J55" s="744"/>
      <c r="K55" s="745"/>
      <c r="L55" s="745"/>
      <c r="M55" s="745"/>
      <c r="N55" s="745"/>
      <c r="O55" s="745"/>
      <c r="P55" s="745"/>
      <c r="Q55" s="745"/>
      <c r="R55" s="746"/>
    </row>
    <row r="56" spans="1:18">
      <c r="A56" s="23"/>
      <c r="B56" s="11"/>
      <c r="C56" s="4"/>
      <c r="D56" s="4"/>
      <c r="E56" s="4"/>
      <c r="F56" s="4"/>
      <c r="G56" s="21" t="s">
        <v>16</v>
      </c>
      <c r="H56" s="37">
        <f>H55/C34</f>
        <v>10128.919542961608</v>
      </c>
      <c r="I56" s="38" t="str">
        <f>CONCATENATE("per ",C35)</f>
        <v>per cum</v>
      </c>
      <c r="J56" s="744"/>
      <c r="K56" s="745"/>
      <c r="L56" s="745"/>
      <c r="M56" s="745"/>
      <c r="N56" s="745"/>
      <c r="O56" s="745"/>
      <c r="P56" s="745"/>
      <c r="Q56" s="745"/>
      <c r="R56" s="746"/>
    </row>
    <row r="57" spans="1:18">
      <c r="A57" s="23"/>
      <c r="B57" s="11" t="s">
        <v>18</v>
      </c>
      <c r="C57" s="4" t="s">
        <v>19</v>
      </c>
      <c r="D57" s="4"/>
      <c r="E57" s="4"/>
      <c r="F57" s="4"/>
      <c r="G57" s="21" t="s">
        <v>16</v>
      </c>
      <c r="H57" s="37">
        <f>CEILING(H56,0.5)</f>
        <v>10129</v>
      </c>
      <c r="I57" s="38" t="str">
        <f>CONCATENATE("per ",C35)</f>
        <v>per cum</v>
      </c>
      <c r="J57" s="744"/>
      <c r="K57" s="745"/>
      <c r="L57" s="745"/>
      <c r="M57" s="745"/>
      <c r="N57" s="745"/>
      <c r="O57" s="745"/>
      <c r="P57" s="745"/>
      <c r="Q57" s="745"/>
      <c r="R57" s="746"/>
    </row>
    <row r="58" spans="1:18">
      <c r="A58" s="23"/>
      <c r="B58" s="11"/>
      <c r="C58" s="4"/>
      <c r="D58" s="4"/>
      <c r="E58" s="4"/>
      <c r="F58" s="4"/>
      <c r="G58" s="24" t="s">
        <v>17</v>
      </c>
      <c r="H58" s="37"/>
      <c r="I58" s="38" t="str">
        <f>CONCATENATE("per ",C35)</f>
        <v>per cum</v>
      </c>
      <c r="J58" s="747"/>
      <c r="K58" s="748"/>
      <c r="L58" s="748"/>
      <c r="M58" s="748"/>
      <c r="N58" s="748"/>
      <c r="O58" s="748"/>
      <c r="P58" s="748"/>
      <c r="Q58" s="748"/>
      <c r="R58" s="749"/>
    </row>
    <row r="59" spans="1:18">
      <c r="A59" s="39"/>
      <c r="B59" s="40"/>
      <c r="C59" s="41"/>
      <c r="D59" s="41"/>
      <c r="E59" s="41"/>
      <c r="F59" s="41"/>
      <c r="G59" s="149" t="s">
        <v>460</v>
      </c>
      <c r="H59" s="150">
        <f>CEILING(SUM(M37,M38,M39,M40,M41,M42,M43,M44,R50)/H51,0.0025)</f>
        <v>0.51249999999999996</v>
      </c>
      <c r="I59" s="42"/>
      <c r="J59" s="43"/>
      <c r="K59" s="43"/>
      <c r="L59" s="43"/>
      <c r="M59" s="43"/>
      <c r="N59" s="43"/>
      <c r="O59" s="43"/>
      <c r="P59" s="43"/>
      <c r="Q59" s="43"/>
      <c r="R59" s="44"/>
    </row>
    <row r="61" spans="1:18">
      <c r="A61" s="693" t="s">
        <v>0</v>
      </c>
      <c r="B61" s="695" t="s">
        <v>1</v>
      </c>
      <c r="C61" s="695" t="s">
        <v>2</v>
      </c>
      <c r="D61" s="697" t="s">
        <v>3</v>
      </c>
      <c r="E61" s="698"/>
      <c r="F61" s="698"/>
      <c r="G61" s="698"/>
      <c r="H61" s="698"/>
      <c r="I61" s="699" t="s">
        <v>4</v>
      </c>
      <c r="J61" s="700"/>
      <c r="K61" s="700"/>
      <c r="L61" s="700"/>
      <c r="M61" s="700"/>
      <c r="N61" s="698" t="s">
        <v>5</v>
      </c>
      <c r="O61" s="698"/>
      <c r="P61" s="698"/>
      <c r="Q61" s="698"/>
      <c r="R61" s="698"/>
    </row>
    <row r="62" spans="1:18">
      <c r="A62" s="694"/>
      <c r="B62" s="759"/>
      <c r="C62" s="696"/>
      <c r="D62" s="45" t="s">
        <v>6</v>
      </c>
      <c r="E62" s="46" t="s">
        <v>2</v>
      </c>
      <c r="F62" s="46" t="s">
        <v>7</v>
      </c>
      <c r="G62" s="46" t="s">
        <v>8</v>
      </c>
      <c r="H62" s="46" t="s">
        <v>9</v>
      </c>
      <c r="I62" s="46" t="s">
        <v>10</v>
      </c>
      <c r="J62" s="46" t="s">
        <v>2</v>
      </c>
      <c r="K62" s="46" t="s">
        <v>7</v>
      </c>
      <c r="L62" s="46" t="s">
        <v>8</v>
      </c>
      <c r="M62" s="47" t="s">
        <v>9</v>
      </c>
      <c r="N62" s="46" t="s">
        <v>10</v>
      </c>
      <c r="O62" s="46" t="s">
        <v>2</v>
      </c>
      <c r="P62" s="46" t="s">
        <v>7</v>
      </c>
      <c r="Q62" s="46" t="s">
        <v>8</v>
      </c>
      <c r="R62" s="46" t="s">
        <v>9</v>
      </c>
    </row>
    <row r="63" spans="1:18">
      <c r="A63" s="33" t="s">
        <v>23</v>
      </c>
      <c r="B63" s="127"/>
      <c r="C63" s="31"/>
      <c r="D63" s="31"/>
      <c r="E63" s="31"/>
      <c r="F63" s="31"/>
      <c r="G63" s="31"/>
      <c r="H63" s="31"/>
      <c r="I63" s="31"/>
      <c r="J63" s="31"/>
      <c r="K63" s="31"/>
      <c r="L63" s="31"/>
      <c r="M63" s="31"/>
      <c r="N63" s="31"/>
      <c r="O63" s="31"/>
      <c r="P63" s="31"/>
      <c r="Q63" s="31"/>
      <c r="R63" s="32"/>
    </row>
    <row r="64" spans="1:18">
      <c r="A64" s="34">
        <f>A34+1</f>
        <v>3</v>
      </c>
      <c r="B64" s="713" t="s">
        <v>1006</v>
      </c>
      <c r="C64" s="66">
        <v>1</v>
      </c>
      <c r="D64" s="4"/>
      <c r="E64" s="6"/>
      <c r="F64" s="29"/>
      <c r="G64" s="26"/>
      <c r="H64" s="26"/>
      <c r="I64" s="6"/>
      <c r="J64" s="6"/>
      <c r="K64" s="29"/>
      <c r="L64" s="26"/>
      <c r="M64" s="26"/>
      <c r="N64" s="6"/>
      <c r="O64" s="6"/>
      <c r="P64" s="29"/>
      <c r="Q64" s="26"/>
      <c r="R64" s="26"/>
    </row>
    <row r="65" spans="1:18">
      <c r="A65" s="2"/>
      <c r="B65" s="714"/>
      <c r="C65" s="124" t="s">
        <v>11</v>
      </c>
      <c r="D65" s="4"/>
      <c r="E65" s="66"/>
      <c r="F65" s="29"/>
      <c r="G65" s="26"/>
      <c r="H65" s="26"/>
      <c r="I65" s="7"/>
      <c r="J65" s="145"/>
      <c r="K65" s="29"/>
      <c r="L65" s="28"/>
      <c r="M65" s="26"/>
      <c r="N65" s="8"/>
      <c r="O65" s="66"/>
      <c r="P65" s="29"/>
      <c r="Q65" s="28"/>
      <c r="R65" s="26"/>
    </row>
    <row r="66" spans="1:18">
      <c r="A66" s="2"/>
      <c r="B66" s="714"/>
      <c r="C66" s="6"/>
      <c r="D66" s="4"/>
      <c r="E66" s="66"/>
      <c r="F66" s="29"/>
      <c r="G66" s="26"/>
      <c r="H66" s="26"/>
      <c r="I66" s="7"/>
      <c r="J66" s="145"/>
      <c r="K66" s="29"/>
      <c r="L66" s="28"/>
      <c r="M66" s="26"/>
      <c r="N66" s="8"/>
      <c r="O66" s="66"/>
      <c r="P66" s="29"/>
      <c r="Q66" s="28"/>
      <c r="R66" s="26"/>
    </row>
    <row r="67" spans="1:18">
      <c r="A67" s="2"/>
      <c r="B67" s="126"/>
      <c r="C67" s="6"/>
      <c r="D67" s="4"/>
      <c r="E67" s="66"/>
      <c r="F67" s="29"/>
      <c r="G67" s="26"/>
      <c r="H67" s="26"/>
      <c r="I67" s="7"/>
      <c r="J67" s="145"/>
      <c r="K67" s="29"/>
      <c r="L67" s="28"/>
      <c r="M67" s="26"/>
      <c r="N67" s="8"/>
      <c r="O67" s="66"/>
      <c r="P67" s="29"/>
      <c r="Q67" s="28"/>
      <c r="R67" s="26"/>
    </row>
    <row r="68" spans="1:18">
      <c r="A68" s="2"/>
      <c r="B68" s="126"/>
      <c r="C68" s="6"/>
      <c r="D68" s="4"/>
      <c r="E68" s="66"/>
      <c r="F68" s="29"/>
      <c r="G68" s="26"/>
      <c r="H68" s="26"/>
      <c r="I68" s="7"/>
      <c r="J68" s="145"/>
      <c r="K68" s="29"/>
      <c r="L68" s="28"/>
      <c r="M68" s="26"/>
      <c r="N68" s="8"/>
      <c r="O68" s="66"/>
      <c r="P68" s="29"/>
      <c r="Q68" s="28"/>
      <c r="R68" s="26"/>
    </row>
    <row r="69" spans="1:18">
      <c r="A69" s="2"/>
      <c r="B69" s="126"/>
      <c r="C69" s="6"/>
      <c r="D69" s="4"/>
      <c r="E69" s="66"/>
      <c r="F69" s="29"/>
      <c r="G69" s="26"/>
      <c r="H69" s="26"/>
      <c r="I69" s="7"/>
      <c r="J69" s="145"/>
      <c r="K69" s="29"/>
      <c r="L69" s="28"/>
      <c r="M69" s="26"/>
      <c r="N69" s="8"/>
      <c r="O69" s="66"/>
      <c r="P69" s="29"/>
      <c r="Q69" s="28"/>
      <c r="R69" s="26"/>
    </row>
    <row r="70" spans="1:18">
      <c r="A70" s="2"/>
      <c r="B70" s="126"/>
      <c r="C70" s="6"/>
      <c r="D70" s="4"/>
      <c r="E70" s="66"/>
      <c r="F70" s="29"/>
      <c r="G70" s="26"/>
      <c r="H70" s="26"/>
      <c r="I70" s="7"/>
      <c r="J70" s="145"/>
      <c r="K70" s="29"/>
      <c r="L70" s="28"/>
      <c r="M70" s="26"/>
      <c r="N70" s="8"/>
      <c r="O70" s="66"/>
      <c r="P70" s="29"/>
      <c r="Q70" s="28"/>
      <c r="R70" s="26"/>
    </row>
    <row r="71" spans="1:18">
      <c r="A71" s="2"/>
      <c r="B71" s="126"/>
      <c r="C71" s="6"/>
      <c r="D71" s="4"/>
      <c r="E71" s="66"/>
      <c r="F71" s="29"/>
      <c r="G71" s="26"/>
      <c r="H71" s="26"/>
      <c r="I71" s="7"/>
      <c r="J71" s="145"/>
      <c r="K71" s="29"/>
      <c r="L71" s="28"/>
      <c r="M71" s="26"/>
      <c r="N71" s="8"/>
      <c r="O71" s="66"/>
      <c r="P71" s="29"/>
      <c r="Q71" s="28"/>
      <c r="R71" s="26"/>
    </row>
    <row r="72" spans="1:18">
      <c r="A72" s="2"/>
      <c r="B72" s="126"/>
      <c r="C72" s="6"/>
      <c r="D72" s="4"/>
      <c r="E72" s="66"/>
      <c r="F72" s="29"/>
      <c r="G72" s="26"/>
      <c r="H72" s="26"/>
      <c r="I72" s="7"/>
      <c r="J72" s="145"/>
      <c r="K72" s="29"/>
      <c r="L72" s="28"/>
      <c r="M72" s="26"/>
      <c r="N72" s="8"/>
      <c r="O72" s="6"/>
      <c r="P72" s="29"/>
      <c r="Q72" s="28"/>
      <c r="R72" s="26"/>
    </row>
    <row r="73" spans="1:18">
      <c r="A73" s="2"/>
      <c r="B73" s="126"/>
      <c r="C73" s="6"/>
      <c r="D73" s="4"/>
      <c r="E73" s="66"/>
      <c r="F73" s="29"/>
      <c r="G73" s="26"/>
      <c r="H73" s="26"/>
      <c r="I73" s="7"/>
      <c r="J73" s="145"/>
      <c r="K73" s="29"/>
      <c r="L73" s="28"/>
      <c r="M73" s="26"/>
      <c r="N73" s="8"/>
      <c r="O73" s="6"/>
      <c r="P73" s="29"/>
      <c r="Q73" s="28"/>
      <c r="R73" s="26"/>
    </row>
    <row r="74" spans="1:18">
      <c r="A74" s="2"/>
      <c r="B74" s="126"/>
      <c r="C74" s="6"/>
      <c r="D74" s="4"/>
      <c r="E74" s="66"/>
      <c r="F74" s="29"/>
      <c r="G74" s="26"/>
      <c r="H74" s="26"/>
      <c r="I74" s="7"/>
      <c r="J74" s="145"/>
      <c r="K74" s="29"/>
      <c r="L74" s="28"/>
      <c r="M74" s="26"/>
      <c r="N74" s="8"/>
      <c r="O74" s="6"/>
      <c r="P74" s="29"/>
      <c r="Q74" s="28"/>
      <c r="R74" s="26"/>
    </row>
    <row r="75" spans="1:18">
      <c r="A75" s="2"/>
      <c r="B75" s="126"/>
      <c r="C75" s="6"/>
      <c r="D75" s="4"/>
      <c r="E75" s="66"/>
      <c r="F75" s="29"/>
      <c r="G75" s="26"/>
      <c r="H75" s="26"/>
      <c r="I75" s="7"/>
      <c r="J75" s="145"/>
      <c r="K75" s="29"/>
      <c r="L75" s="28"/>
      <c r="M75" s="26"/>
      <c r="N75" s="8"/>
      <c r="O75" s="6"/>
      <c r="P75" s="29"/>
      <c r="Q75" s="28"/>
      <c r="R75" s="26"/>
    </row>
    <row r="76" spans="1:18">
      <c r="A76" s="2"/>
      <c r="B76" s="126"/>
      <c r="C76" s="6"/>
      <c r="D76" s="4"/>
      <c r="E76" s="66"/>
      <c r="F76" s="29"/>
      <c r="G76" s="26"/>
      <c r="H76" s="26"/>
      <c r="I76" s="7"/>
      <c r="J76" s="145"/>
      <c r="K76" s="29"/>
      <c r="L76" s="28"/>
      <c r="M76" s="26"/>
      <c r="N76" s="8"/>
      <c r="O76" s="6"/>
      <c r="P76" s="29"/>
      <c r="Q76" s="28"/>
      <c r="R76" s="26"/>
    </row>
    <row r="77" spans="1:18">
      <c r="A77" s="2"/>
      <c r="B77" s="126"/>
      <c r="C77" s="6"/>
      <c r="D77" s="4"/>
      <c r="E77" s="66"/>
      <c r="F77" s="29"/>
      <c r="G77" s="26"/>
      <c r="H77" s="26"/>
      <c r="I77" s="7"/>
      <c r="J77" s="145"/>
      <c r="K77" s="29"/>
      <c r="L77" s="28"/>
      <c r="M77" s="26"/>
      <c r="N77" s="8"/>
      <c r="O77" s="6"/>
      <c r="P77" s="29"/>
      <c r="Q77" s="28"/>
      <c r="R77" s="26"/>
    </row>
    <row r="78" spans="1:18">
      <c r="A78" s="2"/>
      <c r="B78" s="126"/>
      <c r="C78" s="6"/>
      <c r="D78" s="4"/>
      <c r="E78" s="66"/>
      <c r="F78" s="29"/>
      <c r="G78" s="26"/>
      <c r="H78" s="26"/>
      <c r="I78" s="7"/>
      <c r="J78" s="145"/>
      <c r="K78" s="29"/>
      <c r="L78" s="28"/>
      <c r="M78" s="26"/>
      <c r="N78" s="8"/>
      <c r="O78" s="6"/>
      <c r="P78" s="29"/>
      <c r="Q78" s="28"/>
      <c r="R78" s="26"/>
    </row>
    <row r="79" spans="1:18">
      <c r="A79" s="2"/>
      <c r="B79" s="126"/>
      <c r="C79" s="6"/>
      <c r="D79" s="4"/>
      <c r="E79" s="66"/>
      <c r="F79" s="29"/>
      <c r="G79" s="26"/>
      <c r="H79" s="26"/>
      <c r="I79" s="7"/>
      <c r="J79" s="145"/>
      <c r="K79" s="29"/>
      <c r="L79" s="28"/>
      <c r="M79" s="26"/>
      <c r="N79" s="8"/>
      <c r="O79" s="6"/>
      <c r="P79" s="29"/>
      <c r="Q79" s="28"/>
      <c r="R79" s="26"/>
    </row>
    <row r="80" spans="1:18">
      <c r="A80" s="2"/>
      <c r="B80" s="5"/>
      <c r="C80" s="6"/>
      <c r="D80" s="4"/>
      <c r="E80" s="9"/>
      <c r="F80" s="30"/>
      <c r="G80" s="27"/>
      <c r="H80" s="27"/>
      <c r="I80" s="9"/>
      <c r="J80" s="10"/>
      <c r="K80" s="30"/>
      <c r="L80" s="28"/>
      <c r="M80" s="28"/>
      <c r="N80" s="8"/>
      <c r="O80" s="6"/>
      <c r="P80" s="30"/>
      <c r="Q80" s="28"/>
      <c r="R80" s="28"/>
    </row>
    <row r="81" spans="1:18">
      <c r="A81" s="2"/>
      <c r="B81" s="11"/>
      <c r="C81" s="6"/>
      <c r="D81" s="12"/>
      <c r="E81" s="59"/>
      <c r="F81" s="13"/>
      <c r="G81" s="13" t="s">
        <v>20</v>
      </c>
      <c r="H81" s="25">
        <f>SUM(H64:H80)</f>
        <v>0</v>
      </c>
      <c r="I81" s="703"/>
      <c r="J81" s="703"/>
      <c r="K81" s="14"/>
      <c r="L81" s="13" t="s">
        <v>21</v>
      </c>
      <c r="M81" s="25">
        <f>SUM(M64:M80)</f>
        <v>0</v>
      </c>
      <c r="N81" s="3"/>
      <c r="O81" s="14"/>
      <c r="P81" s="14"/>
      <c r="Q81" s="13" t="s">
        <v>22</v>
      </c>
      <c r="R81" s="25">
        <f>SUM(R64:R80)</f>
        <v>0</v>
      </c>
    </row>
    <row r="82" spans="1:18">
      <c r="A82" s="2"/>
      <c r="B82" s="16" t="s">
        <v>13</v>
      </c>
      <c r="C82" s="14"/>
      <c r="D82" s="14"/>
      <c r="E82" s="14"/>
      <c r="F82" s="14"/>
      <c r="G82" s="13"/>
      <c r="H82" s="35">
        <f>2.75*$H$23/$C$4</f>
        <v>14811.51057357595</v>
      </c>
      <c r="I82" s="17"/>
      <c r="J82" s="14"/>
      <c r="K82" s="14"/>
      <c r="L82" s="13"/>
      <c r="M82" s="15"/>
      <c r="N82" s="14"/>
      <c r="O82" s="14"/>
      <c r="P82" s="14"/>
      <c r="Q82" s="14"/>
      <c r="R82" s="17"/>
    </row>
    <row r="83" spans="1:18">
      <c r="A83" s="2"/>
      <c r="B83" s="11" t="s">
        <v>25</v>
      </c>
      <c r="C83" s="4"/>
      <c r="D83" s="4"/>
      <c r="E83" s="4"/>
      <c r="F83" s="4"/>
      <c r="G83" s="18"/>
      <c r="H83" s="36">
        <v>0</v>
      </c>
      <c r="I83" s="20"/>
      <c r="J83" s="4" t="s">
        <v>26</v>
      </c>
      <c r="K83" s="4"/>
      <c r="L83" s="18"/>
      <c r="M83" s="19"/>
      <c r="N83" s="4"/>
      <c r="O83" s="4"/>
      <c r="P83" s="4"/>
      <c r="Q83" s="4"/>
      <c r="R83" s="20"/>
    </row>
    <row r="84" spans="1:18">
      <c r="A84" s="23"/>
      <c r="B84" s="11" t="s">
        <v>14</v>
      </c>
      <c r="C84" s="4"/>
      <c r="D84" s="4"/>
      <c r="E84" s="4"/>
      <c r="F84" s="4"/>
      <c r="G84" s="18"/>
      <c r="H84" s="36">
        <f>SUM(H82:H83)</f>
        <v>14811.51057357595</v>
      </c>
      <c r="I84" s="20"/>
      <c r="J84" s="741"/>
      <c r="K84" s="742"/>
      <c r="L84" s="742"/>
      <c r="M84" s="742"/>
      <c r="N84" s="742"/>
      <c r="O84" s="742"/>
      <c r="P84" s="742"/>
      <c r="Q84" s="742"/>
      <c r="R84" s="743"/>
    </row>
    <row r="85" spans="1:18">
      <c r="A85" s="23"/>
      <c r="B85" s="11" t="s">
        <v>24</v>
      </c>
      <c r="C85" s="4"/>
      <c r="D85" s="4"/>
      <c r="E85" s="4"/>
      <c r="F85" s="4"/>
      <c r="G85" s="18"/>
      <c r="H85" s="36">
        <f>H84*15%</f>
        <v>2221.7265860363923</v>
      </c>
      <c r="I85" s="20"/>
      <c r="J85" s="744"/>
      <c r="K85" s="745"/>
      <c r="L85" s="745"/>
      <c r="M85" s="745"/>
      <c r="N85" s="745"/>
      <c r="O85" s="745"/>
      <c r="P85" s="745"/>
      <c r="Q85" s="745"/>
      <c r="R85" s="746"/>
    </row>
    <row r="86" spans="1:18">
      <c r="A86" s="23"/>
      <c r="B86" s="11" t="s">
        <v>15</v>
      </c>
      <c r="C86" s="4"/>
      <c r="D86" s="4"/>
      <c r="E86" s="4"/>
      <c r="F86" s="4"/>
      <c r="G86" s="21" t="s">
        <v>16</v>
      </c>
      <c r="H86" s="37">
        <f>H85+H84</f>
        <v>17033.237159612341</v>
      </c>
      <c r="I86" s="38" t="str">
        <f>CONCATENATE("per ",C64, C65)</f>
        <v>per 1cum</v>
      </c>
      <c r="J86" s="744"/>
      <c r="K86" s="745"/>
      <c r="L86" s="745"/>
      <c r="M86" s="745"/>
      <c r="N86" s="745"/>
      <c r="O86" s="745"/>
      <c r="P86" s="745"/>
      <c r="Q86" s="745"/>
      <c r="R86" s="746"/>
    </row>
    <row r="87" spans="1:18">
      <c r="A87" s="23"/>
      <c r="B87" s="11"/>
      <c r="C87" s="4"/>
      <c r="D87" s="4"/>
      <c r="E87" s="4"/>
      <c r="F87" s="4"/>
      <c r="G87" s="21" t="s">
        <v>16</v>
      </c>
      <c r="H87" s="37">
        <f>H86/C64</f>
        <v>17033.237159612341</v>
      </c>
      <c r="I87" s="38" t="str">
        <f>CONCATENATE("per ",C65)</f>
        <v>per cum</v>
      </c>
      <c r="J87" s="744"/>
      <c r="K87" s="745"/>
      <c r="L87" s="745"/>
      <c r="M87" s="745"/>
      <c r="N87" s="745"/>
      <c r="O87" s="745"/>
      <c r="P87" s="745"/>
      <c r="Q87" s="745"/>
      <c r="R87" s="746"/>
    </row>
    <row r="88" spans="1:18">
      <c r="A88" s="23"/>
      <c r="B88" s="11" t="s">
        <v>18</v>
      </c>
      <c r="C88" s="4" t="s">
        <v>19</v>
      </c>
      <c r="D88" s="4"/>
      <c r="E88" s="4"/>
      <c r="F88" s="4"/>
      <c r="G88" s="21" t="s">
        <v>16</v>
      </c>
      <c r="H88" s="37">
        <f>CEILING(H87,0.5)</f>
        <v>17033.5</v>
      </c>
      <c r="I88" s="38" t="str">
        <f>CONCATENATE("per ",C65)</f>
        <v>per cum</v>
      </c>
      <c r="J88" s="744"/>
      <c r="K88" s="745"/>
      <c r="L88" s="745"/>
      <c r="M88" s="745"/>
      <c r="N88" s="745"/>
      <c r="O88" s="745"/>
      <c r="P88" s="745"/>
      <c r="Q88" s="745"/>
      <c r="R88" s="746"/>
    </row>
    <row r="89" spans="1:18">
      <c r="A89" s="23"/>
      <c r="B89" s="11"/>
      <c r="C89" s="4"/>
      <c r="D89" s="4"/>
      <c r="E89" s="4"/>
      <c r="F89" s="4"/>
      <c r="G89" s="24" t="s">
        <v>17</v>
      </c>
      <c r="H89" s="37">
        <f>H88/exr</f>
        <v>131.02692307692308</v>
      </c>
      <c r="I89" s="38" t="str">
        <f>CONCATENATE("per ",C65)</f>
        <v>per cum</v>
      </c>
      <c r="J89" s="747"/>
      <c r="K89" s="748"/>
      <c r="L89" s="748"/>
      <c r="M89" s="748"/>
      <c r="N89" s="748"/>
      <c r="O89" s="748"/>
      <c r="P89" s="748"/>
      <c r="Q89" s="748"/>
      <c r="R89" s="749"/>
    </row>
    <row r="90" spans="1:18">
      <c r="A90" s="39"/>
      <c r="B90" s="40"/>
      <c r="C90" s="41"/>
      <c r="D90" s="41"/>
      <c r="E90" s="41"/>
      <c r="F90" s="41"/>
      <c r="G90" s="149" t="s">
        <v>460</v>
      </c>
      <c r="H90" s="150">
        <f>H29</f>
        <v>0.59250000000000003</v>
      </c>
      <c r="I90" s="42"/>
      <c r="J90" s="43"/>
      <c r="K90" s="43"/>
      <c r="L90" s="43"/>
      <c r="M90" s="43"/>
      <c r="N90" s="43"/>
      <c r="O90" s="43"/>
      <c r="P90" s="43"/>
      <c r="Q90" s="43"/>
      <c r="R90" s="44"/>
    </row>
    <row r="92" spans="1:18">
      <c r="A92" s="693" t="s">
        <v>0</v>
      </c>
      <c r="B92" s="695" t="s">
        <v>1</v>
      </c>
      <c r="C92" s="695" t="s">
        <v>2</v>
      </c>
      <c r="D92" s="697" t="s">
        <v>3</v>
      </c>
      <c r="E92" s="698"/>
      <c r="F92" s="698"/>
      <c r="G92" s="698"/>
      <c r="H92" s="698"/>
      <c r="I92" s="699" t="s">
        <v>4</v>
      </c>
      <c r="J92" s="700"/>
      <c r="K92" s="700"/>
      <c r="L92" s="700"/>
      <c r="M92" s="700"/>
      <c r="N92" s="698" t="s">
        <v>5</v>
      </c>
      <c r="O92" s="698"/>
      <c r="P92" s="698"/>
      <c r="Q92" s="698"/>
      <c r="R92" s="698"/>
    </row>
    <row r="93" spans="1:18">
      <c r="A93" s="694"/>
      <c r="B93" s="759"/>
      <c r="C93" s="696"/>
      <c r="D93" s="45" t="s">
        <v>6</v>
      </c>
      <c r="E93" s="46" t="s">
        <v>2</v>
      </c>
      <c r="F93" s="46" t="s">
        <v>7</v>
      </c>
      <c r="G93" s="46" t="s">
        <v>8</v>
      </c>
      <c r="H93" s="46" t="s">
        <v>9</v>
      </c>
      <c r="I93" s="46" t="s">
        <v>10</v>
      </c>
      <c r="J93" s="46" t="s">
        <v>2</v>
      </c>
      <c r="K93" s="46" t="s">
        <v>7</v>
      </c>
      <c r="L93" s="46" t="s">
        <v>8</v>
      </c>
      <c r="M93" s="47" t="s">
        <v>9</v>
      </c>
      <c r="N93" s="46" t="s">
        <v>10</v>
      </c>
      <c r="O93" s="46" t="s">
        <v>2</v>
      </c>
      <c r="P93" s="46" t="s">
        <v>7</v>
      </c>
      <c r="Q93" s="46" t="s">
        <v>8</v>
      </c>
      <c r="R93" s="46" t="s">
        <v>9</v>
      </c>
    </row>
    <row r="94" spans="1:18">
      <c r="A94" s="33" t="s">
        <v>23</v>
      </c>
      <c r="B94" s="127"/>
      <c r="C94" s="31"/>
      <c r="D94" s="31"/>
      <c r="E94" s="31"/>
      <c r="F94" s="31"/>
      <c r="G94" s="31"/>
      <c r="H94" s="31"/>
      <c r="I94" s="31"/>
      <c r="J94" s="31"/>
      <c r="K94" s="31"/>
      <c r="L94" s="31"/>
      <c r="M94" s="31"/>
      <c r="N94" s="31"/>
      <c r="O94" s="31"/>
      <c r="P94" s="31"/>
      <c r="Q94" s="31"/>
      <c r="R94" s="32"/>
    </row>
    <row r="95" spans="1:18">
      <c r="A95" s="34">
        <f>A64+1</f>
        <v>4</v>
      </c>
      <c r="B95" s="713" t="s">
        <v>1007</v>
      </c>
      <c r="C95" s="66">
        <v>1</v>
      </c>
      <c r="D95" s="4"/>
      <c r="E95" s="6"/>
      <c r="F95" s="29"/>
      <c r="G95" s="26"/>
      <c r="H95" s="26"/>
      <c r="I95" s="6"/>
      <c r="J95" s="6"/>
      <c r="K95" s="29"/>
      <c r="L95" s="26"/>
      <c r="M95" s="26"/>
      <c r="N95" s="6"/>
      <c r="O95" s="6"/>
      <c r="P95" s="29"/>
      <c r="Q95" s="26"/>
      <c r="R95" s="26"/>
    </row>
    <row r="96" spans="1:18">
      <c r="A96" s="2"/>
      <c r="B96" s="714"/>
      <c r="C96" s="124" t="s">
        <v>11</v>
      </c>
      <c r="D96" s="4"/>
      <c r="E96" s="66"/>
      <c r="F96" s="29"/>
      <c r="G96" s="26"/>
      <c r="H96" s="26"/>
      <c r="I96" s="7"/>
      <c r="J96" s="546"/>
      <c r="K96" s="29"/>
      <c r="L96" s="28"/>
      <c r="M96" s="26"/>
      <c r="N96" s="8"/>
      <c r="O96" s="66"/>
      <c r="P96" s="29"/>
      <c r="Q96" s="28"/>
      <c r="R96" s="26"/>
    </row>
    <row r="97" spans="1:18">
      <c r="A97" s="2"/>
      <c r="B97" s="714"/>
      <c r="C97" s="6"/>
      <c r="D97" s="4"/>
      <c r="E97" s="66"/>
      <c r="F97" s="29"/>
      <c r="G97" s="26"/>
      <c r="H97" s="26"/>
      <c r="I97" s="7"/>
      <c r="J97" s="546"/>
      <c r="K97" s="29"/>
      <c r="L97" s="28"/>
      <c r="M97" s="26"/>
      <c r="N97" s="8"/>
      <c r="O97" s="66"/>
      <c r="P97" s="29"/>
      <c r="Q97" s="28"/>
      <c r="R97" s="26"/>
    </row>
    <row r="98" spans="1:18">
      <c r="A98" s="2"/>
      <c r="B98" s="126"/>
      <c r="C98" s="6"/>
      <c r="D98" s="4"/>
      <c r="E98" s="66"/>
      <c r="F98" s="29"/>
      <c r="G98" s="26"/>
      <c r="H98" s="26"/>
      <c r="I98" s="7"/>
      <c r="J98" s="546"/>
      <c r="K98" s="29"/>
      <c r="L98" s="28"/>
      <c r="M98" s="26"/>
      <c r="N98" s="8"/>
      <c r="O98" s="66"/>
      <c r="P98" s="29"/>
      <c r="Q98" s="28"/>
      <c r="R98" s="26"/>
    </row>
    <row r="99" spans="1:18">
      <c r="A99" s="2"/>
      <c r="B99" s="126"/>
      <c r="C99" s="6"/>
      <c r="D99" s="4"/>
      <c r="E99" s="66"/>
      <c r="F99" s="29"/>
      <c r="G99" s="26"/>
      <c r="H99" s="26"/>
      <c r="I99" s="7"/>
      <c r="J99" s="546"/>
      <c r="K99" s="29"/>
      <c r="L99" s="28"/>
      <c r="M99" s="26"/>
      <c r="N99" s="8"/>
      <c r="O99" s="66"/>
      <c r="P99" s="29"/>
      <c r="Q99" s="28"/>
      <c r="R99" s="26"/>
    </row>
    <row r="100" spans="1:18">
      <c r="A100" s="2"/>
      <c r="B100" s="126"/>
      <c r="C100" s="6"/>
      <c r="D100" s="4"/>
      <c r="E100" s="66"/>
      <c r="F100" s="29"/>
      <c r="G100" s="26"/>
      <c r="H100" s="26"/>
      <c r="I100" s="7"/>
      <c r="J100" s="546"/>
      <c r="K100" s="29"/>
      <c r="L100" s="28"/>
      <c r="M100" s="26"/>
      <c r="N100" s="8"/>
      <c r="O100" s="66"/>
      <c r="P100" s="29"/>
      <c r="Q100" s="28"/>
      <c r="R100" s="26"/>
    </row>
    <row r="101" spans="1:18">
      <c r="A101" s="2"/>
      <c r="B101" s="126"/>
      <c r="C101" s="6"/>
      <c r="D101" s="4"/>
      <c r="E101" s="66"/>
      <c r="F101" s="29"/>
      <c r="G101" s="26"/>
      <c r="H101" s="26"/>
      <c r="I101" s="7"/>
      <c r="J101" s="546"/>
      <c r="K101" s="29"/>
      <c r="L101" s="28"/>
      <c r="M101" s="26"/>
      <c r="N101" s="8"/>
      <c r="O101" s="66"/>
      <c r="P101" s="29"/>
      <c r="Q101" s="28"/>
      <c r="R101" s="26"/>
    </row>
    <row r="102" spans="1:18">
      <c r="A102" s="2"/>
      <c r="B102" s="126"/>
      <c r="C102" s="6"/>
      <c r="D102" s="4"/>
      <c r="E102" s="66"/>
      <c r="F102" s="29"/>
      <c r="G102" s="26"/>
      <c r="H102" s="26"/>
      <c r="I102" s="7"/>
      <c r="J102" s="546"/>
      <c r="K102" s="29"/>
      <c r="L102" s="28"/>
      <c r="M102" s="26"/>
      <c r="N102" s="8"/>
      <c r="O102" s="66"/>
      <c r="P102" s="29"/>
      <c r="Q102" s="28"/>
      <c r="R102" s="26"/>
    </row>
    <row r="103" spans="1:18">
      <c r="A103" s="2"/>
      <c r="B103" s="126"/>
      <c r="C103" s="6"/>
      <c r="D103" s="4"/>
      <c r="E103" s="66"/>
      <c r="F103" s="29"/>
      <c r="G103" s="26"/>
      <c r="H103" s="26"/>
      <c r="I103" s="7"/>
      <c r="J103" s="546"/>
      <c r="K103" s="29"/>
      <c r="L103" s="28"/>
      <c r="M103" s="26"/>
      <c r="N103" s="8"/>
      <c r="O103" s="6"/>
      <c r="P103" s="29"/>
      <c r="Q103" s="28"/>
      <c r="R103" s="26"/>
    </row>
    <row r="104" spans="1:18">
      <c r="A104" s="2"/>
      <c r="B104" s="126"/>
      <c r="C104" s="6"/>
      <c r="D104" s="4"/>
      <c r="E104" s="66"/>
      <c r="F104" s="29"/>
      <c r="G104" s="26"/>
      <c r="H104" s="26"/>
      <c r="I104" s="7"/>
      <c r="J104" s="546"/>
      <c r="K104" s="29"/>
      <c r="L104" s="28"/>
      <c r="M104" s="26"/>
      <c r="N104" s="8"/>
      <c r="O104" s="6"/>
      <c r="P104" s="29"/>
      <c r="Q104" s="28"/>
      <c r="R104" s="26"/>
    </row>
    <row r="105" spans="1:18">
      <c r="A105" s="2"/>
      <c r="B105" s="126"/>
      <c r="C105" s="6"/>
      <c r="D105" s="4"/>
      <c r="E105" s="66"/>
      <c r="F105" s="29"/>
      <c r="G105" s="26"/>
      <c r="H105" s="26"/>
      <c r="I105" s="7"/>
      <c r="J105" s="546"/>
      <c r="K105" s="29"/>
      <c r="L105" s="28"/>
      <c r="M105" s="26"/>
      <c r="N105" s="8"/>
      <c r="O105" s="6"/>
      <c r="P105" s="29"/>
      <c r="Q105" s="28"/>
      <c r="R105" s="26"/>
    </row>
    <row r="106" spans="1:18">
      <c r="A106" s="2"/>
      <c r="B106" s="126"/>
      <c r="C106" s="6"/>
      <c r="D106" s="4"/>
      <c r="E106" s="66"/>
      <c r="F106" s="29"/>
      <c r="G106" s="26"/>
      <c r="H106" s="26"/>
      <c r="I106" s="7"/>
      <c r="J106" s="546"/>
      <c r="K106" s="29"/>
      <c r="L106" s="28"/>
      <c r="M106" s="26"/>
      <c r="N106" s="8"/>
      <c r="O106" s="6"/>
      <c r="P106" s="29"/>
      <c r="Q106" s="28"/>
      <c r="R106" s="26"/>
    </row>
    <row r="107" spans="1:18">
      <c r="A107" s="2"/>
      <c r="B107" s="126"/>
      <c r="C107" s="6"/>
      <c r="D107" s="4"/>
      <c r="E107" s="66"/>
      <c r="F107" s="29"/>
      <c r="G107" s="26"/>
      <c r="H107" s="26"/>
      <c r="I107" s="7"/>
      <c r="J107" s="546"/>
      <c r="K107" s="29"/>
      <c r="L107" s="28"/>
      <c r="M107" s="26"/>
      <c r="N107" s="8"/>
      <c r="O107" s="6"/>
      <c r="P107" s="29"/>
      <c r="Q107" s="28"/>
      <c r="R107" s="26"/>
    </row>
    <row r="108" spans="1:18">
      <c r="A108" s="2"/>
      <c r="B108" s="126"/>
      <c r="C108" s="6"/>
      <c r="D108" s="4"/>
      <c r="E108" s="66"/>
      <c r="F108" s="29"/>
      <c r="G108" s="26"/>
      <c r="H108" s="26"/>
      <c r="I108" s="7"/>
      <c r="J108" s="546"/>
      <c r="K108" s="29"/>
      <c r="L108" s="28"/>
      <c r="M108" s="26"/>
      <c r="N108" s="8"/>
      <c r="O108" s="6"/>
      <c r="P108" s="29"/>
      <c r="Q108" s="28"/>
      <c r="R108" s="26"/>
    </row>
    <row r="109" spans="1:18">
      <c r="A109" s="2"/>
      <c r="B109" s="126"/>
      <c r="C109" s="6"/>
      <c r="D109" s="4"/>
      <c r="E109" s="66"/>
      <c r="F109" s="29"/>
      <c r="G109" s="26"/>
      <c r="H109" s="26"/>
      <c r="I109" s="7"/>
      <c r="J109" s="546"/>
      <c r="K109" s="29"/>
      <c r="L109" s="28"/>
      <c r="M109" s="26"/>
      <c r="N109" s="8"/>
      <c r="O109" s="6"/>
      <c r="P109" s="29"/>
      <c r="Q109" s="28"/>
      <c r="R109" s="26"/>
    </row>
    <row r="110" spans="1:18">
      <c r="A110" s="2"/>
      <c r="B110" s="126"/>
      <c r="C110" s="6"/>
      <c r="D110" s="4"/>
      <c r="E110" s="66"/>
      <c r="F110" s="29"/>
      <c r="G110" s="26"/>
      <c r="H110" s="26"/>
      <c r="I110" s="7"/>
      <c r="J110" s="546"/>
      <c r="K110" s="29"/>
      <c r="L110" s="28"/>
      <c r="M110" s="26"/>
      <c r="N110" s="8"/>
      <c r="O110" s="6"/>
      <c r="P110" s="29"/>
      <c r="Q110" s="28"/>
      <c r="R110" s="26"/>
    </row>
    <row r="111" spans="1:18">
      <c r="A111" s="2"/>
      <c r="B111" s="5"/>
      <c r="C111" s="6"/>
      <c r="D111" s="4"/>
      <c r="E111" s="9"/>
      <c r="F111" s="30"/>
      <c r="G111" s="27"/>
      <c r="H111" s="27"/>
      <c r="I111" s="9"/>
      <c r="J111" s="10"/>
      <c r="K111" s="30"/>
      <c r="L111" s="28"/>
      <c r="M111" s="28"/>
      <c r="N111" s="8"/>
      <c r="O111" s="6"/>
      <c r="P111" s="30"/>
      <c r="Q111" s="28"/>
      <c r="R111" s="28"/>
    </row>
    <row r="112" spans="1:18">
      <c r="A112" s="2"/>
      <c r="B112" s="11"/>
      <c r="C112" s="6"/>
      <c r="D112" s="12"/>
      <c r="E112" s="579"/>
      <c r="F112" s="13"/>
      <c r="G112" s="13" t="s">
        <v>20</v>
      </c>
      <c r="H112" s="25">
        <f>SUM(H95:H111)</f>
        <v>0</v>
      </c>
      <c r="I112" s="703"/>
      <c r="J112" s="703"/>
      <c r="K112" s="14"/>
      <c r="L112" s="13" t="s">
        <v>21</v>
      </c>
      <c r="M112" s="25">
        <f>SUM(M95:M111)</f>
        <v>0</v>
      </c>
      <c r="N112" s="3"/>
      <c r="O112" s="14"/>
      <c r="P112" s="14"/>
      <c r="Q112" s="13" t="s">
        <v>22</v>
      </c>
      <c r="R112" s="25">
        <f>SUM(R95:R111)</f>
        <v>0</v>
      </c>
    </row>
    <row r="113" spans="1:18">
      <c r="A113" s="2"/>
      <c r="B113" s="16" t="s">
        <v>13</v>
      </c>
      <c r="C113" s="14"/>
      <c r="D113" s="14"/>
      <c r="E113" s="14"/>
      <c r="F113" s="14"/>
      <c r="G113" s="13"/>
      <c r="H113" s="35">
        <f>1.75*$H$23/$C$4</f>
        <v>9425.5067286392405</v>
      </c>
      <c r="I113" s="17"/>
      <c r="J113" s="14"/>
      <c r="K113" s="14"/>
      <c r="L113" s="13"/>
      <c r="M113" s="15"/>
      <c r="N113" s="14"/>
      <c r="O113" s="14"/>
      <c r="P113" s="14"/>
      <c r="Q113" s="14"/>
      <c r="R113" s="17"/>
    </row>
    <row r="114" spans="1:18">
      <c r="A114" s="2"/>
      <c r="B114" s="11" t="s">
        <v>25</v>
      </c>
      <c r="C114" s="4"/>
      <c r="D114" s="4"/>
      <c r="E114" s="4"/>
      <c r="F114" s="4"/>
      <c r="G114" s="18"/>
      <c r="H114" s="36">
        <v>0</v>
      </c>
      <c r="I114" s="20"/>
      <c r="J114" s="4" t="s">
        <v>26</v>
      </c>
      <c r="K114" s="4"/>
      <c r="L114" s="18"/>
      <c r="M114" s="19"/>
      <c r="N114" s="4"/>
      <c r="O114" s="4"/>
      <c r="P114" s="4"/>
      <c r="Q114" s="4"/>
      <c r="R114" s="20"/>
    </row>
    <row r="115" spans="1:18">
      <c r="A115" s="23"/>
      <c r="B115" s="11" t="s">
        <v>14</v>
      </c>
      <c r="C115" s="4"/>
      <c r="D115" s="4"/>
      <c r="E115" s="4"/>
      <c r="F115" s="4"/>
      <c r="G115" s="18"/>
      <c r="H115" s="36">
        <f>SUM(H113:H114)</f>
        <v>9425.5067286392405</v>
      </c>
      <c r="I115" s="20"/>
      <c r="J115" s="741"/>
      <c r="K115" s="742"/>
      <c r="L115" s="742"/>
      <c r="M115" s="742"/>
      <c r="N115" s="742"/>
      <c r="O115" s="742"/>
      <c r="P115" s="742"/>
      <c r="Q115" s="742"/>
      <c r="R115" s="743"/>
    </row>
    <row r="116" spans="1:18">
      <c r="A116" s="23"/>
      <c r="B116" s="11" t="s">
        <v>24</v>
      </c>
      <c r="C116" s="4"/>
      <c r="D116" s="4"/>
      <c r="E116" s="4"/>
      <c r="F116" s="4"/>
      <c r="G116" s="18"/>
      <c r="H116" s="36">
        <f>H115*15%</f>
        <v>1413.826009295886</v>
      </c>
      <c r="I116" s="20"/>
      <c r="J116" s="744"/>
      <c r="K116" s="745"/>
      <c r="L116" s="745"/>
      <c r="M116" s="745"/>
      <c r="N116" s="745"/>
      <c r="O116" s="745"/>
      <c r="P116" s="745"/>
      <c r="Q116" s="745"/>
      <c r="R116" s="746"/>
    </row>
    <row r="117" spans="1:18">
      <c r="A117" s="23"/>
      <c r="B117" s="11" t="s">
        <v>15</v>
      </c>
      <c r="C117" s="4"/>
      <c r="D117" s="4"/>
      <c r="E117" s="4"/>
      <c r="F117" s="4"/>
      <c r="G117" s="21" t="s">
        <v>16</v>
      </c>
      <c r="H117" s="37">
        <f>H116+H115</f>
        <v>10839.332737935127</v>
      </c>
      <c r="I117" s="38" t="str">
        <f>CONCATENATE("per ",C95, C96)</f>
        <v>per 1cum</v>
      </c>
      <c r="J117" s="744"/>
      <c r="K117" s="745"/>
      <c r="L117" s="745"/>
      <c r="M117" s="745"/>
      <c r="N117" s="745"/>
      <c r="O117" s="745"/>
      <c r="P117" s="745"/>
      <c r="Q117" s="745"/>
      <c r="R117" s="746"/>
    </row>
    <row r="118" spans="1:18">
      <c r="A118" s="23"/>
      <c r="B118" s="11"/>
      <c r="C118" s="4"/>
      <c r="D118" s="4"/>
      <c r="E118" s="4"/>
      <c r="F118" s="4"/>
      <c r="G118" s="21" t="s">
        <v>16</v>
      </c>
      <c r="H118" s="37">
        <f>H117/C95</f>
        <v>10839.332737935127</v>
      </c>
      <c r="I118" s="38" t="str">
        <f>CONCATENATE("per ",C96)</f>
        <v>per cum</v>
      </c>
      <c r="J118" s="744"/>
      <c r="K118" s="745"/>
      <c r="L118" s="745"/>
      <c r="M118" s="745"/>
      <c r="N118" s="745"/>
      <c r="O118" s="745"/>
      <c r="P118" s="745"/>
      <c r="Q118" s="745"/>
      <c r="R118" s="746"/>
    </row>
    <row r="119" spans="1:18">
      <c r="A119" s="23"/>
      <c r="B119" s="11" t="s">
        <v>18</v>
      </c>
      <c r="C119" s="4" t="s">
        <v>19</v>
      </c>
      <c r="D119" s="4"/>
      <c r="E119" s="4"/>
      <c r="F119" s="4"/>
      <c r="G119" s="21" t="s">
        <v>16</v>
      </c>
      <c r="H119" s="37">
        <f>CEILING(H118,0.5)</f>
        <v>10839.5</v>
      </c>
      <c r="I119" s="38" t="str">
        <f>CONCATENATE("per ",C96)</f>
        <v>per cum</v>
      </c>
      <c r="J119" s="744"/>
      <c r="K119" s="745"/>
      <c r="L119" s="745"/>
      <c r="M119" s="745"/>
      <c r="N119" s="745"/>
      <c r="O119" s="745"/>
      <c r="P119" s="745"/>
      <c r="Q119" s="745"/>
      <c r="R119" s="746"/>
    </row>
    <row r="120" spans="1:18">
      <c r="A120" s="23"/>
      <c r="B120" s="11"/>
      <c r="C120" s="4"/>
      <c r="D120" s="4"/>
      <c r="E120" s="4"/>
      <c r="F120" s="4"/>
      <c r="G120" s="24" t="s">
        <v>17</v>
      </c>
      <c r="H120" s="37">
        <f>H119/exr</f>
        <v>83.380769230769232</v>
      </c>
      <c r="I120" s="38" t="str">
        <f>CONCATENATE("per ",C96)</f>
        <v>per cum</v>
      </c>
      <c r="J120" s="747"/>
      <c r="K120" s="748"/>
      <c r="L120" s="748"/>
      <c r="M120" s="748"/>
      <c r="N120" s="748"/>
      <c r="O120" s="748"/>
      <c r="P120" s="748"/>
      <c r="Q120" s="748"/>
      <c r="R120" s="749"/>
    </row>
    <row r="121" spans="1:18">
      <c r="A121" s="39"/>
      <c r="B121" s="40"/>
      <c r="C121" s="41"/>
      <c r="D121" s="41"/>
      <c r="E121" s="41"/>
      <c r="F121" s="41"/>
      <c r="G121" s="149" t="s">
        <v>460</v>
      </c>
      <c r="H121" s="150">
        <f>H60</f>
        <v>0</v>
      </c>
      <c r="I121" s="42"/>
      <c r="J121" s="43"/>
      <c r="K121" s="43"/>
      <c r="L121" s="43"/>
      <c r="M121" s="43"/>
      <c r="N121" s="43"/>
      <c r="O121" s="43"/>
      <c r="P121" s="43"/>
      <c r="Q121" s="43"/>
      <c r="R121" s="44"/>
    </row>
    <row r="123" spans="1:18">
      <c r="A123" s="693" t="s">
        <v>0</v>
      </c>
      <c r="B123" s="695" t="s">
        <v>1</v>
      </c>
      <c r="C123" s="695" t="s">
        <v>2</v>
      </c>
      <c r="D123" s="697" t="s">
        <v>3</v>
      </c>
      <c r="E123" s="698"/>
      <c r="F123" s="698"/>
      <c r="G123" s="698"/>
      <c r="H123" s="698"/>
      <c r="I123" s="699" t="s">
        <v>4</v>
      </c>
      <c r="J123" s="700"/>
      <c r="K123" s="700"/>
      <c r="L123" s="700"/>
      <c r="M123" s="700"/>
      <c r="N123" s="698" t="s">
        <v>5</v>
      </c>
      <c r="O123" s="698"/>
      <c r="P123" s="698"/>
      <c r="Q123" s="698"/>
      <c r="R123" s="698"/>
    </row>
    <row r="124" spans="1:18">
      <c r="A124" s="694"/>
      <c r="B124" s="759"/>
      <c r="C124" s="696"/>
      <c r="D124" s="45" t="s">
        <v>6</v>
      </c>
      <c r="E124" s="46" t="s">
        <v>2</v>
      </c>
      <c r="F124" s="46" t="s">
        <v>7</v>
      </c>
      <c r="G124" s="46" t="s">
        <v>8</v>
      </c>
      <c r="H124" s="46" t="s">
        <v>9</v>
      </c>
      <c r="I124" s="46" t="s">
        <v>10</v>
      </c>
      <c r="J124" s="46" t="s">
        <v>2</v>
      </c>
      <c r="K124" s="46" t="s">
        <v>7</v>
      </c>
      <c r="L124" s="46" t="s">
        <v>8</v>
      </c>
      <c r="M124" s="47" t="s">
        <v>9</v>
      </c>
      <c r="N124" s="46" t="s">
        <v>10</v>
      </c>
      <c r="O124" s="46" t="s">
        <v>2</v>
      </c>
      <c r="P124" s="46" t="s">
        <v>7</v>
      </c>
      <c r="Q124" s="46" t="s">
        <v>8</v>
      </c>
      <c r="R124" s="46" t="s">
        <v>9</v>
      </c>
    </row>
    <row r="125" spans="1:18">
      <c r="A125" s="33" t="s">
        <v>23</v>
      </c>
      <c r="B125" s="127"/>
      <c r="C125" s="31"/>
      <c r="D125" s="31"/>
      <c r="E125" s="31"/>
      <c r="F125" s="31"/>
      <c r="G125" s="31"/>
      <c r="H125" s="31"/>
      <c r="I125" s="31"/>
      <c r="J125" s="31"/>
      <c r="K125" s="31"/>
      <c r="L125" s="31"/>
      <c r="M125" s="31"/>
      <c r="N125" s="31"/>
      <c r="O125" s="31"/>
      <c r="P125" s="31"/>
      <c r="Q125" s="31"/>
      <c r="R125" s="32"/>
    </row>
    <row r="126" spans="1:18">
      <c r="A126" s="34">
        <f>A95+1</f>
        <v>5</v>
      </c>
      <c r="B126" s="713" t="s">
        <v>510</v>
      </c>
      <c r="C126" s="66">
        <v>7.5</v>
      </c>
      <c r="D126" s="4"/>
      <c r="E126" s="6"/>
      <c r="F126" s="29"/>
      <c r="G126" s="26"/>
      <c r="H126" s="26"/>
      <c r="I126" s="6"/>
      <c r="J126" s="6"/>
      <c r="K126" s="29"/>
      <c r="L126" s="26"/>
      <c r="M126" s="26"/>
      <c r="N126" s="6"/>
      <c r="O126" s="6"/>
      <c r="P126" s="29"/>
      <c r="Q126" s="26"/>
      <c r="R126" s="26"/>
    </row>
    <row r="127" spans="1:18">
      <c r="A127" s="2"/>
      <c r="B127" s="714"/>
      <c r="C127" s="124" t="s">
        <v>11</v>
      </c>
      <c r="D127" s="4" t="s">
        <v>75</v>
      </c>
      <c r="E127" s="66" t="s">
        <v>81</v>
      </c>
      <c r="F127" s="29">
        <v>0.25</v>
      </c>
      <c r="G127" s="26">
        <f>fr</f>
        <v>1100</v>
      </c>
      <c r="H127" s="26">
        <f>F127*G127</f>
        <v>275</v>
      </c>
      <c r="I127" s="7" t="s">
        <v>515</v>
      </c>
      <c r="J127" s="145" t="s">
        <v>113</v>
      </c>
      <c r="K127" s="29">
        <f>440*C126/1000</f>
        <v>3.3</v>
      </c>
      <c r="L127" s="28">
        <f>cement</f>
        <v>24049.69</v>
      </c>
      <c r="M127" s="26">
        <f>K127*L127</f>
        <v>79363.976999999984</v>
      </c>
      <c r="N127" s="8" t="s">
        <v>398</v>
      </c>
      <c r="O127" s="66" t="s">
        <v>101</v>
      </c>
      <c r="P127" s="29">
        <v>11</v>
      </c>
      <c r="Q127" s="28">
        <f>compressor</f>
        <v>270.39999999999998</v>
      </c>
      <c r="R127" s="26">
        <f t="shared" ref="R127:R132" si="6">P127*Q127</f>
        <v>2974.3999999999996</v>
      </c>
    </row>
    <row r="128" spans="1:18">
      <c r="A128" s="2"/>
      <c r="B128" s="714"/>
      <c r="C128" s="6"/>
      <c r="D128" s="4" t="s">
        <v>461</v>
      </c>
      <c r="E128" s="66" t="s">
        <v>81</v>
      </c>
      <c r="F128" s="29">
        <v>1.375</v>
      </c>
      <c r="G128" s="26">
        <f>sr</f>
        <v>1100</v>
      </c>
      <c r="H128" s="26">
        <f t="shared" ref="H128:H138" si="7">F128*G128</f>
        <v>1512.5</v>
      </c>
      <c r="I128" s="7" t="s">
        <v>471</v>
      </c>
      <c r="J128" s="145" t="s">
        <v>424</v>
      </c>
      <c r="K128" s="29">
        <f>4%*K127*1000</f>
        <v>132</v>
      </c>
      <c r="L128" s="28">
        <f>accelerator</f>
        <v>89.04</v>
      </c>
      <c r="M128" s="26">
        <f>K128*L128</f>
        <v>11753.28</v>
      </c>
      <c r="N128" s="8" t="s">
        <v>287</v>
      </c>
      <c r="O128" s="66" t="s">
        <v>101</v>
      </c>
      <c r="P128" s="29">
        <v>11</v>
      </c>
      <c r="Q128" s="28">
        <f>mixer</f>
        <v>216.32</v>
      </c>
      <c r="R128" s="26">
        <f t="shared" si="6"/>
        <v>2379.52</v>
      </c>
    </row>
    <row r="129" spans="1:18">
      <c r="A129" s="2"/>
      <c r="B129" s="126"/>
      <c r="C129" s="6"/>
      <c r="D129" s="4" t="s">
        <v>511</v>
      </c>
      <c r="E129" s="66" t="s">
        <v>81</v>
      </c>
      <c r="F129" s="29">
        <v>1.375</v>
      </c>
      <c r="G129" s="26">
        <f>or</f>
        <v>1840</v>
      </c>
      <c r="H129" s="26">
        <f t="shared" si="7"/>
        <v>2530</v>
      </c>
      <c r="I129" s="7" t="s">
        <v>286</v>
      </c>
      <c r="J129" s="145" t="s">
        <v>11</v>
      </c>
      <c r="K129" s="29">
        <v>5.6</v>
      </c>
      <c r="L129" s="28">
        <f>sand</f>
        <v>1050</v>
      </c>
      <c r="M129" s="26">
        <f t="shared" ref="M129:M134" si="8">K129*L129</f>
        <v>5880</v>
      </c>
      <c r="N129" s="8" t="s">
        <v>517</v>
      </c>
      <c r="O129" s="66" t="s">
        <v>101</v>
      </c>
      <c r="P129" s="29">
        <v>11</v>
      </c>
      <c r="Q129" s="28">
        <f>Shotcrete_boomtruck</f>
        <v>540.79999999999995</v>
      </c>
      <c r="R129" s="26">
        <f t="shared" si="6"/>
        <v>5948.7999999999993</v>
      </c>
    </row>
    <row r="130" spans="1:18">
      <c r="A130" s="2"/>
      <c r="B130" s="126"/>
      <c r="C130" s="6"/>
      <c r="D130" s="4" t="s">
        <v>512</v>
      </c>
      <c r="E130" s="66" t="s">
        <v>81</v>
      </c>
      <c r="F130" s="29">
        <v>1.375</v>
      </c>
      <c r="G130" s="26">
        <f>or</f>
        <v>1840</v>
      </c>
      <c r="H130" s="26">
        <f t="shared" si="7"/>
        <v>2530</v>
      </c>
      <c r="I130" s="7" t="s">
        <v>516</v>
      </c>
      <c r="J130" s="145" t="s">
        <v>11</v>
      </c>
      <c r="K130" s="29">
        <v>2.8</v>
      </c>
      <c r="L130" s="28">
        <f>Agg_10</f>
        <v>2950</v>
      </c>
      <c r="M130" s="26">
        <f t="shared" si="8"/>
        <v>8260</v>
      </c>
      <c r="N130" s="8" t="s">
        <v>384</v>
      </c>
      <c r="O130" s="66" t="s">
        <v>101</v>
      </c>
      <c r="P130" s="29">
        <v>11</v>
      </c>
      <c r="Q130" s="28">
        <f>wheel_loader</f>
        <v>1622.4</v>
      </c>
      <c r="R130" s="26">
        <f t="shared" si="6"/>
        <v>17846.400000000001</v>
      </c>
    </row>
    <row r="131" spans="1:18">
      <c r="A131" s="2"/>
      <c r="B131" s="126"/>
      <c r="C131" s="6"/>
      <c r="D131" s="4" t="s">
        <v>486</v>
      </c>
      <c r="E131" s="66" t="s">
        <v>81</v>
      </c>
      <c r="F131" s="29">
        <v>1.375</v>
      </c>
      <c r="G131" s="26">
        <f>or</f>
        <v>1840</v>
      </c>
      <c r="H131" s="26">
        <f t="shared" si="7"/>
        <v>2530</v>
      </c>
      <c r="I131" s="7" t="s">
        <v>67</v>
      </c>
      <c r="J131" s="145" t="s">
        <v>250</v>
      </c>
      <c r="K131" s="29">
        <v>120</v>
      </c>
      <c r="L131" s="28">
        <f>diesel</f>
        <v>177.6</v>
      </c>
      <c r="M131" s="26">
        <f t="shared" si="8"/>
        <v>21312</v>
      </c>
      <c r="N131" s="8" t="s">
        <v>204</v>
      </c>
      <c r="O131" s="66" t="s">
        <v>101</v>
      </c>
      <c r="P131" s="29">
        <v>1</v>
      </c>
      <c r="Q131" s="28">
        <f>truck</f>
        <v>486.72</v>
      </c>
      <c r="R131" s="26">
        <f t="shared" si="6"/>
        <v>486.72</v>
      </c>
    </row>
    <row r="132" spans="1:18">
      <c r="A132" s="2"/>
      <c r="B132" s="126"/>
      <c r="C132" s="6"/>
      <c r="D132" s="4" t="s">
        <v>513</v>
      </c>
      <c r="E132" s="66" t="s">
        <v>81</v>
      </c>
      <c r="F132" s="29">
        <v>1.375</v>
      </c>
      <c r="G132" s="26">
        <f>drv</f>
        <v>1100</v>
      </c>
      <c r="H132" s="26">
        <f t="shared" si="7"/>
        <v>1512.5</v>
      </c>
      <c r="I132" s="7" t="s">
        <v>467</v>
      </c>
      <c r="J132" s="145" t="s">
        <v>250</v>
      </c>
      <c r="K132" s="29">
        <v>2</v>
      </c>
      <c r="L132" s="28">
        <f>lubricant</f>
        <v>459.84</v>
      </c>
      <c r="M132" s="26">
        <f t="shared" si="8"/>
        <v>919.68</v>
      </c>
      <c r="N132" s="8" t="s">
        <v>518</v>
      </c>
      <c r="O132" s="66" t="s">
        <v>101</v>
      </c>
      <c r="P132" s="29">
        <v>11</v>
      </c>
      <c r="Q132" s="28">
        <f>fan</f>
        <v>260.67</v>
      </c>
      <c r="R132" s="26">
        <f t="shared" si="6"/>
        <v>2867.3700000000003</v>
      </c>
    </row>
    <row r="133" spans="1:18">
      <c r="A133" s="2"/>
      <c r="B133" s="126"/>
      <c r="C133" s="6"/>
      <c r="D133" s="4" t="s">
        <v>492</v>
      </c>
      <c r="E133" s="66" t="s">
        <v>81</v>
      </c>
      <c r="F133" s="29">
        <v>15</v>
      </c>
      <c r="G133" s="26">
        <f>ur</f>
        <v>850</v>
      </c>
      <c r="H133" s="26">
        <f t="shared" si="7"/>
        <v>12750</v>
      </c>
      <c r="I133" s="7" t="s">
        <v>416</v>
      </c>
      <c r="J133" s="145" t="s">
        <v>28</v>
      </c>
      <c r="K133" s="29">
        <f>10%*K127*1000</f>
        <v>330</v>
      </c>
      <c r="L133" s="28">
        <f>silica_fumes</f>
        <v>365.65</v>
      </c>
      <c r="M133" s="26">
        <f t="shared" si="8"/>
        <v>120664.49999999999</v>
      </c>
      <c r="N133" s="8"/>
      <c r="O133" s="66"/>
      <c r="P133" s="29"/>
      <c r="Q133" s="28"/>
      <c r="R133" s="26"/>
    </row>
    <row r="134" spans="1:18">
      <c r="A134" s="2"/>
      <c r="B134" s="126"/>
      <c r="C134" s="6"/>
      <c r="D134" s="4" t="s">
        <v>88</v>
      </c>
      <c r="E134" s="66" t="s">
        <v>81</v>
      </c>
      <c r="F134" s="29">
        <v>0.25</v>
      </c>
      <c r="G134" s="26">
        <f>el</f>
        <v>1100</v>
      </c>
      <c r="H134" s="26">
        <f t="shared" si="7"/>
        <v>275</v>
      </c>
      <c r="I134" s="7" t="s">
        <v>565</v>
      </c>
      <c r="J134" s="145" t="s">
        <v>28</v>
      </c>
      <c r="K134" s="29">
        <f>1%*K127*1000</f>
        <v>33</v>
      </c>
      <c r="L134" s="28">
        <f>plasticizers</f>
        <v>139.63</v>
      </c>
      <c r="M134" s="26">
        <f t="shared" si="8"/>
        <v>4607.79</v>
      </c>
      <c r="N134" s="8"/>
      <c r="O134" s="66"/>
      <c r="P134" s="29"/>
      <c r="Q134" s="28"/>
      <c r="R134" s="26"/>
    </row>
    <row r="135" spans="1:18">
      <c r="A135" s="2"/>
      <c r="B135" s="126"/>
      <c r="C135" s="6"/>
      <c r="D135" s="4" t="s">
        <v>463</v>
      </c>
      <c r="E135" s="66" t="s">
        <v>81</v>
      </c>
      <c r="F135" s="29">
        <v>0.25</v>
      </c>
      <c r="G135" s="26">
        <f>mech</f>
        <v>1100</v>
      </c>
      <c r="H135" s="26">
        <f t="shared" si="7"/>
        <v>275</v>
      </c>
      <c r="I135" s="7"/>
      <c r="J135" s="145"/>
      <c r="K135" s="29"/>
      <c r="L135" s="28"/>
      <c r="M135" s="26"/>
      <c r="N135" s="8"/>
      <c r="O135" s="66"/>
      <c r="P135" s="29"/>
      <c r="Q135" s="28"/>
      <c r="R135" s="26"/>
    </row>
    <row r="136" spans="1:18">
      <c r="A136" s="2"/>
      <c r="B136" s="126"/>
      <c r="C136" s="6"/>
      <c r="D136" s="4" t="s">
        <v>489</v>
      </c>
      <c r="E136" s="66" t="s">
        <v>81</v>
      </c>
      <c r="F136" s="29">
        <v>1.375</v>
      </c>
      <c r="G136" s="26">
        <f>drv</f>
        <v>1100</v>
      </c>
      <c r="H136" s="26">
        <f t="shared" si="7"/>
        <v>1512.5</v>
      </c>
      <c r="I136" s="7"/>
      <c r="J136" s="145"/>
      <c r="K136" s="29"/>
      <c r="L136" s="28"/>
      <c r="M136" s="26"/>
      <c r="N136" s="8"/>
      <c r="O136" s="66"/>
      <c r="P136" s="29"/>
      <c r="Q136" s="28"/>
      <c r="R136" s="26"/>
    </row>
    <row r="137" spans="1:18">
      <c r="A137" s="2"/>
      <c r="B137" s="126"/>
      <c r="C137" s="6"/>
      <c r="D137" s="4" t="s">
        <v>490</v>
      </c>
      <c r="E137" s="66" t="s">
        <v>81</v>
      </c>
      <c r="F137" s="29">
        <v>0.125</v>
      </c>
      <c r="G137" s="26">
        <f>drv</f>
        <v>1100</v>
      </c>
      <c r="H137" s="26">
        <f t="shared" si="7"/>
        <v>137.5</v>
      </c>
      <c r="I137" s="7"/>
      <c r="J137" s="145"/>
      <c r="K137" s="29"/>
      <c r="L137" s="28"/>
      <c r="M137" s="26"/>
      <c r="N137" s="8"/>
      <c r="O137" s="66"/>
      <c r="P137" s="29"/>
      <c r="Q137" s="28"/>
      <c r="R137" s="26"/>
    </row>
    <row r="138" spans="1:18">
      <c r="A138" s="2"/>
      <c r="B138" s="126"/>
      <c r="C138" s="6"/>
      <c r="D138" s="4" t="s">
        <v>514</v>
      </c>
      <c r="E138" s="66" t="s">
        <v>81</v>
      </c>
      <c r="F138" s="29">
        <v>0.125</v>
      </c>
      <c r="G138" s="26">
        <f>hr</f>
        <v>750</v>
      </c>
      <c r="H138" s="26">
        <f t="shared" si="7"/>
        <v>93.75</v>
      </c>
      <c r="I138" s="7"/>
      <c r="J138" s="145"/>
      <c r="K138" s="29"/>
      <c r="L138" s="28"/>
      <c r="M138" s="26"/>
      <c r="N138" s="153"/>
      <c r="O138" s="66"/>
      <c r="P138" s="29"/>
      <c r="Q138" s="28"/>
      <c r="R138" s="26"/>
    </row>
    <row r="139" spans="1:18">
      <c r="A139" s="2"/>
      <c r="B139" s="5"/>
      <c r="C139" s="6"/>
      <c r="D139" s="4"/>
      <c r="E139" s="9"/>
      <c r="F139" s="30"/>
      <c r="G139" s="27"/>
      <c r="H139" s="27"/>
      <c r="I139" s="9"/>
      <c r="J139" s="10"/>
      <c r="K139" s="30"/>
      <c r="L139" s="28"/>
      <c r="M139" s="28"/>
      <c r="N139" s="8"/>
      <c r="O139" s="6"/>
      <c r="P139" s="30"/>
      <c r="Q139" s="28"/>
      <c r="R139" s="28"/>
    </row>
    <row r="140" spans="1:18">
      <c r="A140" s="2"/>
      <c r="B140" s="11"/>
      <c r="C140" s="6"/>
      <c r="D140" s="12"/>
      <c r="E140" s="59"/>
      <c r="F140" s="13"/>
      <c r="G140" s="13" t="s">
        <v>20</v>
      </c>
      <c r="H140" s="25">
        <f>SUM(H126:H139)</f>
        <v>25933.75</v>
      </c>
      <c r="I140" s="703"/>
      <c r="J140" s="703"/>
      <c r="K140" s="14"/>
      <c r="L140" s="13" t="s">
        <v>21</v>
      </c>
      <c r="M140" s="25">
        <f>SUM(M126:M139)</f>
        <v>252761.22699999998</v>
      </c>
      <c r="N140" s="3"/>
      <c r="O140" s="14"/>
      <c r="P140" s="14"/>
      <c r="Q140" s="13" t="s">
        <v>22</v>
      </c>
      <c r="R140" s="25">
        <f>SUM(R126:R139)</f>
        <v>32503.210000000003</v>
      </c>
    </row>
    <row r="141" spans="1:18">
      <c r="A141" s="2"/>
      <c r="B141" s="16" t="s">
        <v>13</v>
      </c>
      <c r="C141" s="14"/>
      <c r="D141" s="14"/>
      <c r="E141" s="14"/>
      <c r="F141" s="14"/>
      <c r="G141" s="13"/>
      <c r="H141" s="35">
        <f>M140+R140+H140</f>
        <v>311198.18699999998</v>
      </c>
      <c r="I141" s="17"/>
      <c r="J141" s="14"/>
      <c r="K141" s="14"/>
      <c r="L141" s="13"/>
      <c r="M141" s="15"/>
      <c r="N141" s="14"/>
      <c r="O141" s="14"/>
      <c r="P141" s="14"/>
      <c r="Q141" s="14"/>
      <c r="R141" s="17"/>
    </row>
    <row r="142" spans="1:18">
      <c r="A142" s="2"/>
      <c r="B142" s="11" t="s">
        <v>25</v>
      </c>
      <c r="C142" s="4"/>
      <c r="D142" s="4" t="s">
        <v>648</v>
      </c>
      <c r="E142" s="4"/>
      <c r="F142" s="4"/>
      <c r="G142" s="18"/>
      <c r="H142" s="36">
        <f>15%*(H141+20%*H140)+20%*H140</f>
        <v>52644.490549999995</v>
      </c>
      <c r="I142" s="20"/>
      <c r="J142" s="4" t="s">
        <v>26</v>
      </c>
      <c r="K142" s="4"/>
      <c r="L142" s="18"/>
      <c r="M142" s="19"/>
      <c r="N142" s="4"/>
      <c r="O142" s="4"/>
      <c r="P142" s="4"/>
      <c r="Q142" s="4"/>
      <c r="R142" s="20"/>
    </row>
    <row r="143" spans="1:18">
      <c r="A143" s="23"/>
      <c r="B143" s="11" t="s">
        <v>14</v>
      </c>
      <c r="C143" s="4"/>
      <c r="D143" s="4"/>
      <c r="E143" s="4"/>
      <c r="F143" s="4"/>
      <c r="G143" s="18"/>
      <c r="H143" s="36">
        <f>SUM(H141:H142)</f>
        <v>363842.67754999996</v>
      </c>
      <c r="I143" s="20"/>
      <c r="J143" s="741"/>
      <c r="K143" s="742"/>
      <c r="L143" s="742"/>
      <c r="M143" s="742"/>
      <c r="N143" s="742"/>
      <c r="O143" s="742"/>
      <c r="P143" s="742"/>
      <c r="Q143" s="742"/>
      <c r="R143" s="743"/>
    </row>
    <row r="144" spans="1:18">
      <c r="A144" s="23"/>
      <c r="B144" s="11" t="s">
        <v>24</v>
      </c>
      <c r="C144" s="4"/>
      <c r="D144" s="4"/>
      <c r="E144" s="4"/>
      <c r="F144" s="4"/>
      <c r="G144" s="18"/>
      <c r="H144" s="36">
        <f>H143*15%</f>
        <v>54576.40163249999</v>
      </c>
      <c r="I144" s="20"/>
      <c r="J144" s="744"/>
      <c r="K144" s="745"/>
      <c r="L144" s="745"/>
      <c r="M144" s="745"/>
      <c r="N144" s="745"/>
      <c r="O144" s="745"/>
      <c r="P144" s="745"/>
      <c r="Q144" s="745"/>
      <c r="R144" s="746"/>
    </row>
    <row r="145" spans="1:18">
      <c r="A145" s="23"/>
      <c r="B145" s="11" t="s">
        <v>15</v>
      </c>
      <c r="C145" s="4"/>
      <c r="D145" s="4"/>
      <c r="E145" s="4"/>
      <c r="F145" s="4"/>
      <c r="G145" s="21" t="s">
        <v>16</v>
      </c>
      <c r="H145" s="37">
        <f>H144+H143</f>
        <v>418419.07918249996</v>
      </c>
      <c r="I145" s="38" t="str">
        <f>CONCATENATE("per ",C126, C127)</f>
        <v>per 7.5cum</v>
      </c>
      <c r="J145" s="744"/>
      <c r="K145" s="745"/>
      <c r="L145" s="745"/>
      <c r="M145" s="745"/>
      <c r="N145" s="745"/>
      <c r="O145" s="745"/>
      <c r="P145" s="745"/>
      <c r="Q145" s="745"/>
      <c r="R145" s="746"/>
    </row>
    <row r="146" spans="1:18">
      <c r="A146" s="23"/>
      <c r="B146" s="11"/>
      <c r="C146" s="4"/>
      <c r="D146" s="4"/>
      <c r="E146" s="4"/>
      <c r="F146" s="4"/>
      <c r="G146" s="21" t="s">
        <v>16</v>
      </c>
      <c r="H146" s="37">
        <f>H145/C126</f>
        <v>55789.210557666658</v>
      </c>
      <c r="I146" s="38" t="str">
        <f>CONCATENATE("per ",C127)</f>
        <v>per cum</v>
      </c>
      <c r="J146" s="744"/>
      <c r="K146" s="745"/>
      <c r="L146" s="745"/>
      <c r="M146" s="745"/>
      <c r="N146" s="745"/>
      <c r="O146" s="745"/>
      <c r="P146" s="745"/>
      <c r="Q146" s="745"/>
      <c r="R146" s="746"/>
    </row>
    <row r="147" spans="1:18">
      <c r="A147" s="23"/>
      <c r="B147" s="11" t="s">
        <v>18</v>
      </c>
      <c r="C147" s="4" t="s">
        <v>19</v>
      </c>
      <c r="D147" s="4"/>
      <c r="E147" s="4"/>
      <c r="F147" s="4"/>
      <c r="G147" s="21" t="s">
        <v>16</v>
      </c>
      <c r="H147" s="37">
        <f>CEILING(H146,0.5)</f>
        <v>55789.5</v>
      </c>
      <c r="I147" s="38" t="str">
        <f>CONCATENATE("per ",C127)</f>
        <v>per cum</v>
      </c>
      <c r="J147" s="744"/>
      <c r="K147" s="745"/>
      <c r="L147" s="745"/>
      <c r="M147" s="745"/>
      <c r="N147" s="745"/>
      <c r="O147" s="745"/>
      <c r="P147" s="745"/>
      <c r="Q147" s="745"/>
      <c r="R147" s="746"/>
    </row>
    <row r="148" spans="1:18">
      <c r="A148" s="23"/>
      <c r="B148" s="11"/>
      <c r="C148" s="4"/>
      <c r="D148" s="4"/>
      <c r="E148" s="4"/>
      <c r="F148" s="4" t="s">
        <v>1011</v>
      </c>
      <c r="G148" s="21" t="s">
        <v>16</v>
      </c>
      <c r="H148" s="37">
        <f>H147*(50/1000)</f>
        <v>2789.4750000000004</v>
      </c>
      <c r="I148" s="38" t="s">
        <v>848</v>
      </c>
      <c r="J148" s="744"/>
      <c r="K148" s="745"/>
      <c r="L148" s="745"/>
      <c r="M148" s="745"/>
      <c r="N148" s="745"/>
      <c r="O148" s="745"/>
      <c r="P148" s="745"/>
      <c r="Q148" s="745"/>
      <c r="R148" s="746"/>
    </row>
    <row r="149" spans="1:18">
      <c r="A149" s="23"/>
      <c r="B149" s="11"/>
      <c r="C149" s="4"/>
      <c r="D149" s="4"/>
      <c r="E149" s="4"/>
      <c r="F149" s="4" t="s">
        <v>1008</v>
      </c>
      <c r="G149" s="21" t="s">
        <v>16</v>
      </c>
      <c r="H149" s="37">
        <f>H147*(100/1000)</f>
        <v>5578.9500000000007</v>
      </c>
      <c r="I149" s="38" t="s">
        <v>848</v>
      </c>
      <c r="J149" s="744"/>
      <c r="K149" s="745"/>
      <c r="L149" s="745"/>
      <c r="M149" s="745"/>
      <c r="N149" s="745"/>
      <c r="O149" s="745"/>
      <c r="P149" s="745"/>
      <c r="Q149" s="745"/>
      <c r="R149" s="746"/>
    </row>
    <row r="150" spans="1:18">
      <c r="A150" s="23"/>
      <c r="B150" s="11"/>
      <c r="C150" s="4"/>
      <c r="D150" s="4"/>
      <c r="E150" s="4"/>
      <c r="F150" s="4"/>
      <c r="G150" s="24" t="s">
        <v>17</v>
      </c>
      <c r="H150" s="37">
        <f>H147/exr</f>
        <v>429.15</v>
      </c>
      <c r="I150" s="38" t="str">
        <f>CONCATENATE("per ",C127)</f>
        <v>per cum</v>
      </c>
      <c r="J150" s="747"/>
      <c r="K150" s="748"/>
      <c r="L150" s="748"/>
      <c r="M150" s="748"/>
      <c r="N150" s="748"/>
      <c r="O150" s="748"/>
      <c r="P150" s="748"/>
      <c r="Q150" s="748"/>
      <c r="R150" s="749"/>
    </row>
    <row r="151" spans="1:18">
      <c r="A151" s="23"/>
      <c r="B151" s="11"/>
      <c r="C151" s="4"/>
      <c r="D151" s="4"/>
      <c r="E151" s="4"/>
      <c r="F151" s="4"/>
      <c r="G151" s="24" t="s">
        <v>17</v>
      </c>
      <c r="H151" s="37">
        <f>H148/exr</f>
        <v>21.457500000000003</v>
      </c>
      <c r="I151" s="38" t="str">
        <f>CONCATENATE("per ",C127)</f>
        <v>per cum</v>
      </c>
      <c r="J151" s="241"/>
      <c r="K151" s="241"/>
      <c r="L151" s="241"/>
      <c r="M151" s="241"/>
      <c r="N151" s="241"/>
      <c r="O151" s="241"/>
      <c r="P151" s="241"/>
      <c r="Q151" s="241"/>
      <c r="R151" s="242"/>
    </row>
    <row r="152" spans="1:18">
      <c r="A152" s="23"/>
      <c r="B152" s="11"/>
      <c r="C152" s="4"/>
      <c r="D152" s="4"/>
      <c r="E152" s="4"/>
      <c r="F152" s="4"/>
      <c r="G152" s="24" t="s">
        <v>17</v>
      </c>
      <c r="H152" s="37">
        <f>H149/exr</f>
        <v>42.915000000000006</v>
      </c>
      <c r="I152" s="38" t="str">
        <f>CONCATENATE("per ",C127)</f>
        <v>per cum</v>
      </c>
      <c r="J152" s="241"/>
      <c r="K152" s="241"/>
      <c r="L152" s="241"/>
      <c r="M152" s="241"/>
      <c r="N152" s="241"/>
      <c r="O152" s="241"/>
      <c r="P152" s="241"/>
      <c r="Q152" s="241"/>
      <c r="R152" s="242"/>
    </row>
    <row r="153" spans="1:18">
      <c r="A153" s="39"/>
      <c r="B153" s="40"/>
      <c r="C153" s="41"/>
      <c r="D153" s="41"/>
      <c r="E153" s="41"/>
      <c r="F153" s="41"/>
      <c r="G153" s="149" t="s">
        <v>460</v>
      </c>
      <c r="H153" s="150">
        <f>CEILING(SUM(M128,M131,M132,M133,M134,R127,R128,R129,R130,R131,R132)/H141,0.0025)</f>
        <v>0.61750000000000005</v>
      </c>
      <c r="I153" s="42"/>
      <c r="J153" s="43"/>
      <c r="K153" s="43"/>
      <c r="L153" s="43"/>
      <c r="M153" s="43"/>
      <c r="N153" s="43"/>
      <c r="O153" s="43"/>
      <c r="P153" s="43"/>
      <c r="Q153" s="43"/>
      <c r="R153" s="44"/>
    </row>
    <row r="155" spans="1:18">
      <c r="A155" s="693" t="s">
        <v>0</v>
      </c>
      <c r="B155" s="695" t="s">
        <v>1</v>
      </c>
      <c r="C155" s="695" t="s">
        <v>2</v>
      </c>
      <c r="D155" s="697" t="s">
        <v>3</v>
      </c>
      <c r="E155" s="698"/>
      <c r="F155" s="698"/>
      <c r="G155" s="698"/>
      <c r="H155" s="698"/>
      <c r="I155" s="699" t="s">
        <v>4</v>
      </c>
      <c r="J155" s="700"/>
      <c r="K155" s="700"/>
      <c r="L155" s="700"/>
      <c r="M155" s="700"/>
      <c r="N155" s="698" t="s">
        <v>5</v>
      </c>
      <c r="O155" s="698"/>
      <c r="P155" s="698"/>
      <c r="Q155" s="698"/>
      <c r="R155" s="698"/>
    </row>
    <row r="156" spans="1:18">
      <c r="A156" s="694"/>
      <c r="B156" s="759"/>
      <c r="C156" s="696"/>
      <c r="D156" s="45" t="s">
        <v>6</v>
      </c>
      <c r="E156" s="46" t="s">
        <v>2</v>
      </c>
      <c r="F156" s="46" t="s">
        <v>7</v>
      </c>
      <c r="G156" s="46" t="s">
        <v>8</v>
      </c>
      <c r="H156" s="46" t="s">
        <v>9</v>
      </c>
      <c r="I156" s="46" t="s">
        <v>10</v>
      </c>
      <c r="J156" s="46" t="s">
        <v>2</v>
      </c>
      <c r="K156" s="46" t="s">
        <v>7</v>
      </c>
      <c r="L156" s="46" t="s">
        <v>8</v>
      </c>
      <c r="M156" s="47" t="s">
        <v>9</v>
      </c>
      <c r="N156" s="46" t="s">
        <v>10</v>
      </c>
      <c r="O156" s="46" t="s">
        <v>2</v>
      </c>
      <c r="P156" s="46" t="s">
        <v>7</v>
      </c>
      <c r="Q156" s="46" t="s">
        <v>8</v>
      </c>
      <c r="R156" s="46" t="s">
        <v>9</v>
      </c>
    </row>
    <row r="157" spans="1:18">
      <c r="A157" s="33" t="s">
        <v>23</v>
      </c>
      <c r="B157" s="127"/>
      <c r="C157" s="31"/>
      <c r="D157" s="31"/>
      <c r="E157" s="31"/>
      <c r="F157" s="31"/>
      <c r="G157" s="31"/>
      <c r="H157" s="31"/>
      <c r="I157" s="31"/>
      <c r="J157" s="31"/>
      <c r="K157" s="31"/>
      <c r="L157" s="31"/>
      <c r="M157" s="31"/>
      <c r="N157" s="31"/>
      <c r="O157" s="31"/>
      <c r="P157" s="31"/>
      <c r="Q157" s="31"/>
      <c r="R157" s="32"/>
    </row>
    <row r="158" spans="1:18">
      <c r="A158" s="34">
        <f>A126+1</f>
        <v>6</v>
      </c>
      <c r="B158" s="713" t="s">
        <v>519</v>
      </c>
      <c r="C158" s="66">
        <v>7.5</v>
      </c>
      <c r="D158" s="4"/>
      <c r="E158" s="6"/>
      <c r="F158" s="29"/>
      <c r="G158" s="26"/>
      <c r="H158" s="26"/>
      <c r="I158" s="6"/>
      <c r="J158" s="6"/>
      <c r="K158" s="29"/>
      <c r="L158" s="26"/>
      <c r="M158" s="26"/>
      <c r="N158" s="6"/>
      <c r="O158" s="6"/>
      <c r="P158" s="29"/>
      <c r="Q158" s="26"/>
      <c r="R158" s="26"/>
    </row>
    <row r="159" spans="1:18">
      <c r="A159" s="2"/>
      <c r="B159" s="714"/>
      <c r="C159" s="124" t="s">
        <v>11</v>
      </c>
      <c r="D159" s="4" t="s">
        <v>75</v>
      </c>
      <c r="E159" s="66" t="s">
        <v>81</v>
      </c>
      <c r="F159" s="29">
        <v>0.25</v>
      </c>
      <c r="G159" s="26">
        <f>fr</f>
        <v>1100</v>
      </c>
      <c r="H159" s="26">
        <f>F159*G159</f>
        <v>275</v>
      </c>
      <c r="I159" s="7" t="s">
        <v>515</v>
      </c>
      <c r="J159" s="145" t="s">
        <v>113</v>
      </c>
      <c r="K159" s="29">
        <f>440*C158/1000</f>
        <v>3.3</v>
      </c>
      <c r="L159" s="28">
        <f>cement*0.85</f>
        <v>20442.236499999999</v>
      </c>
      <c r="M159" s="26">
        <f>K159*L159</f>
        <v>67459.380449999997</v>
      </c>
      <c r="N159" s="8" t="s">
        <v>398</v>
      </c>
      <c r="O159" s="66" t="s">
        <v>101</v>
      </c>
      <c r="P159" s="29">
        <v>11</v>
      </c>
      <c r="Q159" s="28">
        <f>compressor</f>
        <v>270.39999999999998</v>
      </c>
      <c r="R159" s="26">
        <f t="shared" ref="R159:R164" si="9">P159*Q159</f>
        <v>2974.3999999999996</v>
      </c>
    </row>
    <row r="160" spans="1:18">
      <c r="A160" s="2"/>
      <c r="B160" s="714"/>
      <c r="C160" s="6"/>
      <c r="D160" s="4" t="s">
        <v>461</v>
      </c>
      <c r="E160" s="66" t="s">
        <v>81</v>
      </c>
      <c r="F160" s="29">
        <v>1.375</v>
      </c>
      <c r="G160" s="26">
        <f>sr</f>
        <v>1100</v>
      </c>
      <c r="H160" s="26">
        <f t="shared" ref="H160:H170" si="10">F160*G160</f>
        <v>1512.5</v>
      </c>
      <c r="I160" s="7" t="s">
        <v>471</v>
      </c>
      <c r="J160" s="145" t="s">
        <v>424</v>
      </c>
      <c r="K160" s="29">
        <f>4%*K159*1000</f>
        <v>132</v>
      </c>
      <c r="L160" s="28">
        <f>accelerator</f>
        <v>89.04</v>
      </c>
      <c r="M160" s="26">
        <f>K160*L160</f>
        <v>11753.28</v>
      </c>
      <c r="N160" s="8" t="s">
        <v>287</v>
      </c>
      <c r="O160" s="66" t="s">
        <v>101</v>
      </c>
      <c r="P160" s="29">
        <v>11</v>
      </c>
      <c r="Q160" s="28">
        <f>mixer</f>
        <v>216.32</v>
      </c>
      <c r="R160" s="26">
        <f t="shared" si="9"/>
        <v>2379.52</v>
      </c>
    </row>
    <row r="161" spans="1:20">
      <c r="A161" s="2"/>
      <c r="B161" s="126"/>
      <c r="C161" s="6"/>
      <c r="D161" s="4" t="s">
        <v>511</v>
      </c>
      <c r="E161" s="66" t="s">
        <v>81</v>
      </c>
      <c r="F161" s="29">
        <v>1.375</v>
      </c>
      <c r="G161" s="26">
        <f>or</f>
        <v>1840</v>
      </c>
      <c r="H161" s="26">
        <f t="shared" si="10"/>
        <v>2530</v>
      </c>
      <c r="I161" s="7" t="s">
        <v>286</v>
      </c>
      <c r="J161" s="145" t="s">
        <v>11</v>
      </c>
      <c r="K161" s="29">
        <v>5.6</v>
      </c>
      <c r="L161" s="28">
        <f>sand</f>
        <v>1050</v>
      </c>
      <c r="M161" s="26">
        <f t="shared" ref="M161:M167" si="11">K161*L161</f>
        <v>5880</v>
      </c>
      <c r="N161" s="8" t="s">
        <v>517</v>
      </c>
      <c r="O161" s="66" t="s">
        <v>101</v>
      </c>
      <c r="P161" s="29">
        <v>11</v>
      </c>
      <c r="Q161" s="28">
        <f>Shotcrete_boomtruck</f>
        <v>540.79999999999995</v>
      </c>
      <c r="R161" s="26">
        <f t="shared" si="9"/>
        <v>5948.7999999999993</v>
      </c>
      <c r="S161" s="580"/>
      <c r="T161" s="580"/>
    </row>
    <row r="162" spans="1:20">
      <c r="A162" s="2"/>
      <c r="B162" s="126"/>
      <c r="C162" s="6"/>
      <c r="D162" s="4" t="s">
        <v>512</v>
      </c>
      <c r="E162" s="66" t="s">
        <v>81</v>
      </c>
      <c r="F162" s="29">
        <v>1.375</v>
      </c>
      <c r="G162" s="26">
        <f>or</f>
        <v>1840</v>
      </c>
      <c r="H162" s="26">
        <f t="shared" si="10"/>
        <v>2530</v>
      </c>
      <c r="I162" s="7" t="s">
        <v>516</v>
      </c>
      <c r="J162" s="145" t="s">
        <v>11</v>
      </c>
      <c r="K162" s="29">
        <v>2.8</v>
      </c>
      <c r="L162" s="28">
        <f>Agg_10</f>
        <v>2950</v>
      </c>
      <c r="M162" s="26">
        <f t="shared" si="11"/>
        <v>8260</v>
      </c>
      <c r="N162" s="8" t="s">
        <v>384</v>
      </c>
      <c r="O162" s="66" t="s">
        <v>101</v>
      </c>
      <c r="P162" s="29">
        <v>11</v>
      </c>
      <c r="Q162" s="28">
        <f>wheel_loader</f>
        <v>1622.4</v>
      </c>
      <c r="R162" s="26">
        <f t="shared" si="9"/>
        <v>17846.400000000001</v>
      </c>
      <c r="S162" s="580"/>
      <c r="T162" s="580"/>
    </row>
    <row r="163" spans="1:20">
      <c r="A163" s="2"/>
      <c r="B163" s="126"/>
      <c r="C163" s="6"/>
      <c r="D163" s="4" t="s">
        <v>486</v>
      </c>
      <c r="E163" s="66" t="s">
        <v>81</v>
      </c>
      <c r="F163" s="29">
        <v>1.375</v>
      </c>
      <c r="G163" s="26">
        <f>or</f>
        <v>1840</v>
      </c>
      <c r="H163" s="26">
        <f t="shared" si="10"/>
        <v>2530</v>
      </c>
      <c r="I163" s="7" t="s">
        <v>67</v>
      </c>
      <c r="J163" s="145" t="s">
        <v>250</v>
      </c>
      <c r="K163" s="29">
        <v>120</v>
      </c>
      <c r="L163" s="28">
        <f>diesel</f>
        <v>177.6</v>
      </c>
      <c r="M163" s="26">
        <f t="shared" si="11"/>
        <v>21312</v>
      </c>
      <c r="N163" s="8" t="s">
        <v>204</v>
      </c>
      <c r="O163" s="66" t="s">
        <v>101</v>
      </c>
      <c r="P163" s="29">
        <v>1</v>
      </c>
      <c r="Q163" s="28">
        <f>truck</f>
        <v>486.72</v>
      </c>
      <c r="R163" s="26">
        <f t="shared" si="9"/>
        <v>486.72</v>
      </c>
    </row>
    <row r="164" spans="1:20">
      <c r="A164" s="2"/>
      <c r="B164" s="126"/>
      <c r="C164" s="6"/>
      <c r="D164" s="4" t="s">
        <v>513</v>
      </c>
      <c r="E164" s="66" t="s">
        <v>81</v>
      </c>
      <c r="F164" s="29">
        <v>1.375</v>
      </c>
      <c r="G164" s="26">
        <f>drv</f>
        <v>1100</v>
      </c>
      <c r="H164" s="26">
        <f t="shared" si="10"/>
        <v>1512.5</v>
      </c>
      <c r="I164" s="7" t="s">
        <v>467</v>
      </c>
      <c r="J164" s="145" t="s">
        <v>250</v>
      </c>
      <c r="K164" s="29">
        <v>2</v>
      </c>
      <c r="L164" s="28">
        <f>lubricant</f>
        <v>459.84</v>
      </c>
      <c r="M164" s="26">
        <f t="shared" si="11"/>
        <v>919.68</v>
      </c>
      <c r="N164" s="8" t="s">
        <v>518</v>
      </c>
      <c r="O164" s="66" t="s">
        <v>101</v>
      </c>
      <c r="P164" s="29">
        <v>11</v>
      </c>
      <c r="Q164" s="28">
        <f>fan</f>
        <v>260.67</v>
      </c>
      <c r="R164" s="26">
        <f t="shared" si="9"/>
        <v>2867.3700000000003</v>
      </c>
    </row>
    <row r="165" spans="1:20">
      <c r="A165" s="2"/>
      <c r="B165" s="126"/>
      <c r="C165" s="6"/>
      <c r="D165" s="4" t="s">
        <v>492</v>
      </c>
      <c r="E165" s="66" t="s">
        <v>81</v>
      </c>
      <c r="F165" s="29">
        <v>15</v>
      </c>
      <c r="G165" s="26">
        <f>ur</f>
        <v>850</v>
      </c>
      <c r="H165" s="26">
        <f t="shared" si="10"/>
        <v>12750</v>
      </c>
      <c r="I165" s="7" t="s">
        <v>520</v>
      </c>
      <c r="J165" s="145" t="s">
        <v>113</v>
      </c>
      <c r="K165" s="29">
        <f>35*C158/1000</f>
        <v>0.26250000000000001</v>
      </c>
      <c r="L165" s="28">
        <f>100*1000</f>
        <v>100000</v>
      </c>
      <c r="M165" s="26">
        <f t="shared" si="11"/>
        <v>26250</v>
      </c>
      <c r="N165" s="8"/>
      <c r="O165" s="66"/>
      <c r="P165" s="29"/>
      <c r="Q165" s="28"/>
      <c r="R165" s="26"/>
    </row>
    <row r="166" spans="1:20">
      <c r="A166" s="2"/>
      <c r="B166" s="126"/>
      <c r="C166" s="6"/>
      <c r="D166" s="4" t="s">
        <v>88</v>
      </c>
      <c r="E166" s="66" t="s">
        <v>81</v>
      </c>
      <c r="F166" s="29">
        <v>0.25</v>
      </c>
      <c r="G166" s="26">
        <f>el</f>
        <v>1100</v>
      </c>
      <c r="H166" s="26">
        <f t="shared" si="10"/>
        <v>275</v>
      </c>
      <c r="I166" s="7" t="s">
        <v>416</v>
      </c>
      <c r="J166" s="145" t="s">
        <v>28</v>
      </c>
      <c r="K166" s="29">
        <f>10%*K159*1000</f>
        <v>330</v>
      </c>
      <c r="L166" s="28">
        <f>silica_fumes</f>
        <v>365.65</v>
      </c>
      <c r="M166" s="26">
        <f t="shared" si="11"/>
        <v>120664.49999999999</v>
      </c>
      <c r="N166" s="8"/>
      <c r="O166" s="66"/>
      <c r="P166" s="29"/>
      <c r="Q166" s="28"/>
      <c r="R166" s="26"/>
    </row>
    <row r="167" spans="1:20">
      <c r="A167" s="2"/>
      <c r="B167" s="126"/>
      <c r="C167" s="6"/>
      <c r="D167" s="4" t="s">
        <v>463</v>
      </c>
      <c r="E167" s="66" t="s">
        <v>81</v>
      </c>
      <c r="F167" s="29">
        <v>0.25</v>
      </c>
      <c r="G167" s="26">
        <f>mech</f>
        <v>1100</v>
      </c>
      <c r="H167" s="26">
        <f t="shared" si="10"/>
        <v>275</v>
      </c>
      <c r="I167" s="7" t="s">
        <v>565</v>
      </c>
      <c r="J167" s="145" t="s">
        <v>28</v>
      </c>
      <c r="K167" s="29">
        <f>1%*K159*1000</f>
        <v>33</v>
      </c>
      <c r="L167" s="28">
        <f>plasticizers</f>
        <v>139.63</v>
      </c>
      <c r="M167" s="26">
        <f t="shared" si="11"/>
        <v>4607.79</v>
      </c>
      <c r="N167" s="8"/>
      <c r="O167" s="66"/>
      <c r="P167" s="29"/>
      <c r="Q167" s="28"/>
      <c r="R167" s="26"/>
    </row>
    <row r="168" spans="1:20">
      <c r="A168" s="2"/>
      <c r="B168" s="126"/>
      <c r="C168" s="6"/>
      <c r="D168" s="4" t="s">
        <v>489</v>
      </c>
      <c r="E168" s="66" t="s">
        <v>81</v>
      </c>
      <c r="F168" s="29">
        <v>1.375</v>
      </c>
      <c r="G168" s="26">
        <f>drv</f>
        <v>1100</v>
      </c>
      <c r="H168" s="26">
        <f t="shared" si="10"/>
        <v>1512.5</v>
      </c>
      <c r="I168" s="7"/>
      <c r="J168" s="145"/>
      <c r="K168" s="29"/>
      <c r="L168" s="28"/>
      <c r="M168" s="26"/>
      <c r="N168" s="8"/>
      <c r="O168" s="66"/>
      <c r="P168" s="29"/>
      <c r="Q168" s="28"/>
      <c r="R168" s="26"/>
      <c r="S168" s="580"/>
    </row>
    <row r="169" spans="1:20">
      <c r="A169" s="2"/>
      <c r="B169" s="126"/>
      <c r="C169" s="6"/>
      <c r="D169" s="4" t="s">
        <v>490</v>
      </c>
      <c r="E169" s="66" t="s">
        <v>81</v>
      </c>
      <c r="F169" s="29">
        <v>0.125</v>
      </c>
      <c r="G169" s="26">
        <f>drv</f>
        <v>1100</v>
      </c>
      <c r="H169" s="26">
        <f t="shared" si="10"/>
        <v>137.5</v>
      </c>
      <c r="I169" s="7"/>
      <c r="J169" s="145"/>
      <c r="K169" s="29"/>
      <c r="L169" s="28"/>
      <c r="M169" s="26"/>
      <c r="N169" s="8"/>
      <c r="O169" s="66"/>
      <c r="P169" s="29"/>
      <c r="Q169" s="28"/>
      <c r="R169" s="26"/>
    </row>
    <row r="170" spans="1:20">
      <c r="A170" s="2"/>
      <c r="B170" s="126"/>
      <c r="C170" s="6"/>
      <c r="D170" s="4" t="s">
        <v>514</v>
      </c>
      <c r="E170" s="66" t="s">
        <v>81</v>
      </c>
      <c r="F170" s="29">
        <v>0.125</v>
      </c>
      <c r="G170" s="26">
        <f>hr</f>
        <v>750</v>
      </c>
      <c r="H170" s="26">
        <f t="shared" si="10"/>
        <v>93.75</v>
      </c>
      <c r="I170" s="7"/>
      <c r="J170" s="145"/>
      <c r="K170" s="29"/>
      <c r="L170" s="28"/>
      <c r="M170" s="26"/>
      <c r="N170" s="8"/>
      <c r="O170" s="66"/>
      <c r="P170" s="29"/>
      <c r="Q170" s="28"/>
      <c r="R170" s="26"/>
    </row>
    <row r="171" spans="1:20">
      <c r="A171" s="2"/>
      <c r="B171" s="5"/>
      <c r="C171" s="6"/>
      <c r="D171" s="4"/>
      <c r="E171" s="9"/>
      <c r="F171" s="30"/>
      <c r="G171" s="27"/>
      <c r="H171" s="27"/>
      <c r="I171" s="9"/>
      <c r="J171" s="10"/>
      <c r="K171" s="30"/>
      <c r="L171" s="28"/>
      <c r="M171" s="28"/>
      <c r="N171" s="8"/>
      <c r="O171" s="6"/>
      <c r="P171" s="30"/>
      <c r="Q171" s="28"/>
      <c r="R171" s="28"/>
    </row>
    <row r="172" spans="1:20">
      <c r="A172" s="2"/>
      <c r="B172" s="11"/>
      <c r="C172" s="6"/>
      <c r="D172" s="12"/>
      <c r="E172" s="59"/>
      <c r="F172" s="13"/>
      <c r="G172" s="13" t="s">
        <v>20</v>
      </c>
      <c r="H172" s="25">
        <f>SUM(H158:H171)</f>
        <v>25933.75</v>
      </c>
      <c r="I172" s="703"/>
      <c r="J172" s="703"/>
      <c r="K172" s="14"/>
      <c r="L172" s="13" t="s">
        <v>21</v>
      </c>
      <c r="M172" s="25">
        <f>SUM(M158:M171)</f>
        <v>267106.63044999994</v>
      </c>
      <c r="N172" s="3"/>
      <c r="O172" s="14"/>
      <c r="P172" s="14"/>
      <c r="Q172" s="13" t="s">
        <v>22</v>
      </c>
      <c r="R172" s="25">
        <f>SUM(R158:R171)</f>
        <v>32503.210000000003</v>
      </c>
    </row>
    <row r="173" spans="1:20">
      <c r="A173" s="2"/>
      <c r="B173" s="16" t="s">
        <v>13</v>
      </c>
      <c r="C173" s="14"/>
      <c r="D173" s="14"/>
      <c r="E173" s="14"/>
      <c r="F173" s="14"/>
      <c r="G173" s="13"/>
      <c r="H173" s="35">
        <f>M172+R172+H172</f>
        <v>325543.59044999996</v>
      </c>
      <c r="I173" s="17"/>
      <c r="J173" s="14"/>
      <c r="K173" s="14"/>
      <c r="L173" s="13"/>
      <c r="M173" s="15"/>
      <c r="N173" s="14"/>
      <c r="O173" s="14"/>
      <c r="P173" s="14"/>
      <c r="Q173" s="14"/>
      <c r="R173" s="17"/>
    </row>
    <row r="174" spans="1:20">
      <c r="A174" s="2"/>
      <c r="B174" s="11" t="s">
        <v>25</v>
      </c>
      <c r="C174" s="4"/>
      <c r="D174" s="4" t="s">
        <v>648</v>
      </c>
      <c r="E174" s="4"/>
      <c r="F174" s="4"/>
      <c r="G174" s="18"/>
      <c r="H174" s="36">
        <f>15%*(H173+20%*H172)+20%*H172</f>
        <v>54796.30106749999</v>
      </c>
      <c r="I174" s="20"/>
      <c r="J174" s="4" t="s">
        <v>26</v>
      </c>
      <c r="K174" s="4"/>
      <c r="L174" s="18"/>
      <c r="M174" s="19"/>
      <c r="N174" s="4"/>
      <c r="O174" s="4"/>
      <c r="P174" s="4"/>
      <c r="Q174" s="4"/>
      <c r="R174" s="20"/>
    </row>
    <row r="175" spans="1:20">
      <c r="A175" s="23"/>
      <c r="B175" s="11" t="s">
        <v>14</v>
      </c>
      <c r="C175" s="4"/>
      <c r="D175" s="4"/>
      <c r="E175" s="4"/>
      <c r="F175" s="4"/>
      <c r="G175" s="18"/>
      <c r="H175" s="36">
        <f>SUM(H173:H174)</f>
        <v>380339.89151749993</v>
      </c>
      <c r="I175" s="20"/>
      <c r="J175" s="741"/>
      <c r="K175" s="742"/>
      <c r="L175" s="742"/>
      <c r="M175" s="742"/>
      <c r="N175" s="742"/>
      <c r="O175" s="742"/>
      <c r="P175" s="742"/>
      <c r="Q175" s="742"/>
      <c r="R175" s="743"/>
    </row>
    <row r="176" spans="1:20">
      <c r="A176" s="23"/>
      <c r="B176" s="11" t="s">
        <v>24</v>
      </c>
      <c r="C176" s="4"/>
      <c r="D176" s="4"/>
      <c r="E176" s="4"/>
      <c r="F176" s="4"/>
      <c r="G176" s="18"/>
      <c r="H176" s="36">
        <f>H175*15%</f>
        <v>57050.983727624989</v>
      </c>
      <c r="I176" s="20"/>
      <c r="J176" s="744"/>
      <c r="K176" s="745"/>
      <c r="L176" s="745"/>
      <c r="M176" s="745"/>
      <c r="N176" s="745"/>
      <c r="O176" s="745"/>
      <c r="P176" s="745"/>
      <c r="Q176" s="745"/>
      <c r="R176" s="746"/>
    </row>
    <row r="177" spans="1:18">
      <c r="A177" s="23"/>
      <c r="B177" s="11" t="s">
        <v>15</v>
      </c>
      <c r="C177" s="4"/>
      <c r="D177" s="4"/>
      <c r="E177" s="4"/>
      <c r="F177" s="4"/>
      <c r="G177" s="21" t="s">
        <v>16</v>
      </c>
      <c r="H177" s="37">
        <f>H176+H175</f>
        <v>437390.87524512492</v>
      </c>
      <c r="I177" s="38" t="str">
        <f>CONCATENATE("per ",C158, C159)</f>
        <v>per 7.5cum</v>
      </c>
      <c r="J177" s="744"/>
      <c r="K177" s="745"/>
      <c r="L177" s="745"/>
      <c r="M177" s="745"/>
      <c r="N177" s="745"/>
      <c r="O177" s="745"/>
      <c r="P177" s="745"/>
      <c r="Q177" s="745"/>
      <c r="R177" s="746"/>
    </row>
    <row r="178" spans="1:18">
      <c r="A178" s="23"/>
      <c r="B178" s="11"/>
      <c r="C178" s="4"/>
      <c r="D178" s="4"/>
      <c r="E178" s="4"/>
      <c r="F178" s="4"/>
      <c r="G178" s="21" t="s">
        <v>16</v>
      </c>
      <c r="H178" s="37">
        <f>H177/C158</f>
        <v>58318.783366016658</v>
      </c>
      <c r="I178" s="38" t="str">
        <f>CONCATENATE("per ",C159)</f>
        <v>per cum</v>
      </c>
      <c r="J178" s="744"/>
      <c r="K178" s="745"/>
      <c r="L178" s="745"/>
      <c r="M178" s="745"/>
      <c r="N178" s="745"/>
      <c r="O178" s="745"/>
      <c r="P178" s="745"/>
      <c r="Q178" s="745"/>
      <c r="R178" s="746"/>
    </row>
    <row r="179" spans="1:18">
      <c r="A179" s="23"/>
      <c r="B179" s="11" t="s">
        <v>18</v>
      </c>
      <c r="C179" s="4" t="s">
        <v>19</v>
      </c>
      <c r="D179" s="4"/>
      <c r="E179" s="4"/>
      <c r="F179" s="4"/>
      <c r="G179" s="21" t="s">
        <v>16</v>
      </c>
      <c r="H179" s="37">
        <f>CEILING(H178,0.5)</f>
        <v>58319</v>
      </c>
      <c r="I179" s="38" t="str">
        <f>CONCATENATE("per ",C159)</f>
        <v>per cum</v>
      </c>
      <c r="J179" s="744"/>
      <c r="K179" s="745"/>
      <c r="L179" s="745"/>
      <c r="M179" s="745"/>
      <c r="N179" s="745"/>
      <c r="O179" s="745"/>
      <c r="P179" s="745"/>
      <c r="Q179" s="745"/>
      <c r="R179" s="746"/>
    </row>
    <row r="180" spans="1:18">
      <c r="A180" s="23"/>
      <c r="B180" s="11"/>
      <c r="C180" s="4"/>
      <c r="D180" s="4"/>
      <c r="E180" s="4"/>
      <c r="F180" s="4" t="s">
        <v>1008</v>
      </c>
      <c r="G180" s="21" t="s">
        <v>16</v>
      </c>
      <c r="H180" s="37">
        <f>H179*(100/1000)</f>
        <v>5831.9000000000005</v>
      </c>
      <c r="I180" s="38" t="s">
        <v>848</v>
      </c>
      <c r="J180" s="744"/>
      <c r="K180" s="745"/>
      <c r="L180" s="745"/>
      <c r="M180" s="745"/>
      <c r="N180" s="745"/>
      <c r="O180" s="745"/>
      <c r="P180" s="745"/>
      <c r="Q180" s="745"/>
      <c r="R180" s="746"/>
    </row>
    <row r="181" spans="1:18">
      <c r="A181" s="23"/>
      <c r="B181" s="11"/>
      <c r="C181" s="4"/>
      <c r="D181" s="4"/>
      <c r="E181" s="4"/>
      <c r="F181" s="4" t="s">
        <v>1009</v>
      </c>
      <c r="G181" s="21" t="s">
        <v>16</v>
      </c>
      <c r="H181" s="37">
        <f>H179*(150/1000)</f>
        <v>8747.85</v>
      </c>
      <c r="I181" s="38" t="s">
        <v>848</v>
      </c>
      <c r="J181" s="744"/>
      <c r="K181" s="745"/>
      <c r="L181" s="745"/>
      <c r="M181" s="745"/>
      <c r="N181" s="745"/>
      <c r="O181" s="745"/>
      <c r="P181" s="745"/>
      <c r="Q181" s="745"/>
      <c r="R181" s="746"/>
    </row>
    <row r="182" spans="1:18">
      <c r="A182" s="23"/>
      <c r="B182" s="11"/>
      <c r="C182" s="4"/>
      <c r="D182" s="4"/>
      <c r="E182" s="4"/>
      <c r="F182" s="4" t="s">
        <v>1010</v>
      </c>
      <c r="G182" s="21" t="s">
        <v>16</v>
      </c>
      <c r="H182" s="37">
        <f>(H179)*(200/1000)</f>
        <v>11663.800000000001</v>
      </c>
      <c r="I182" s="38" t="s">
        <v>848</v>
      </c>
      <c r="J182" s="744"/>
      <c r="K182" s="745"/>
      <c r="L182" s="745"/>
      <c r="M182" s="745"/>
      <c r="N182" s="745"/>
      <c r="O182" s="745"/>
      <c r="P182" s="745"/>
      <c r="Q182" s="745"/>
      <c r="R182" s="746"/>
    </row>
    <row r="183" spans="1:18">
      <c r="A183" s="23"/>
      <c r="B183" s="11"/>
      <c r="C183" s="4"/>
      <c r="D183" s="4"/>
      <c r="E183" s="4"/>
      <c r="F183" s="4" t="s">
        <v>1033</v>
      </c>
      <c r="G183" s="21" t="s">
        <v>16</v>
      </c>
      <c r="H183" s="37">
        <f>H179*(75/1000)*1.1</f>
        <v>4811.317500000001</v>
      </c>
      <c r="I183" s="38"/>
      <c r="J183" s="744"/>
      <c r="K183" s="745"/>
      <c r="L183" s="745"/>
      <c r="M183" s="745"/>
      <c r="N183" s="745"/>
      <c r="O183" s="745"/>
      <c r="P183" s="745"/>
      <c r="Q183" s="745"/>
      <c r="R183" s="746"/>
    </row>
    <row r="184" spans="1:18">
      <c r="A184" s="23"/>
      <c r="B184" s="11"/>
      <c r="C184" s="4"/>
      <c r="D184" s="4"/>
      <c r="E184" s="4"/>
      <c r="F184" s="4"/>
      <c r="G184" s="24" t="s">
        <v>17</v>
      </c>
      <c r="H184" s="37">
        <f>H179/exr</f>
        <v>448.60769230769233</v>
      </c>
      <c r="I184" s="38" t="str">
        <f>CONCATENATE("per ",C159)</f>
        <v>per cum</v>
      </c>
      <c r="J184" s="747"/>
      <c r="K184" s="748"/>
      <c r="L184" s="748"/>
      <c r="M184" s="748"/>
      <c r="N184" s="748"/>
      <c r="O184" s="748"/>
      <c r="P184" s="748"/>
      <c r="Q184" s="748"/>
      <c r="R184" s="749"/>
    </row>
    <row r="185" spans="1:18">
      <c r="A185" s="23"/>
      <c r="B185" s="11"/>
      <c r="C185" s="4"/>
      <c r="D185" s="4"/>
      <c r="E185" s="4"/>
      <c r="F185" s="4"/>
      <c r="G185" s="24" t="s">
        <v>17</v>
      </c>
      <c r="H185" s="37">
        <f>H180/exr</f>
        <v>44.860769230769236</v>
      </c>
      <c r="I185" s="38" t="s">
        <v>848</v>
      </c>
      <c r="J185" s="520"/>
      <c r="K185" s="520"/>
      <c r="L185" s="520"/>
      <c r="M185" s="520"/>
      <c r="N185" s="520"/>
      <c r="O185" s="520"/>
      <c r="P185" s="520"/>
      <c r="Q185" s="520"/>
      <c r="R185" s="521"/>
    </row>
    <row r="186" spans="1:18">
      <c r="A186" s="23"/>
      <c r="B186" s="11"/>
      <c r="C186" s="4"/>
      <c r="D186" s="4"/>
      <c r="E186" s="4"/>
      <c r="F186" s="4"/>
      <c r="G186" s="24" t="s">
        <v>17</v>
      </c>
      <c r="H186" s="37">
        <f>H181/exr</f>
        <v>67.291153846153847</v>
      </c>
      <c r="I186" s="38" t="s">
        <v>848</v>
      </c>
      <c r="J186" s="241"/>
      <c r="K186" s="241"/>
      <c r="L186" s="241"/>
      <c r="M186" s="241"/>
      <c r="N186" s="241"/>
      <c r="O186" s="241"/>
      <c r="P186" s="241"/>
      <c r="Q186" s="241"/>
      <c r="R186" s="242"/>
    </row>
    <row r="187" spans="1:18">
      <c r="A187" s="23"/>
      <c r="B187" s="11"/>
      <c r="C187" s="4"/>
      <c r="D187" s="4"/>
      <c r="E187" s="4"/>
      <c r="F187" s="4"/>
      <c r="G187" s="24" t="s">
        <v>17</v>
      </c>
      <c r="H187" s="37">
        <f>H182/exr</f>
        <v>89.721538461538472</v>
      </c>
      <c r="I187" s="38" t="s">
        <v>848</v>
      </c>
      <c r="J187" s="241"/>
      <c r="K187" s="241"/>
      <c r="L187" s="241"/>
      <c r="M187" s="241"/>
      <c r="N187" s="241"/>
      <c r="O187" s="241"/>
      <c r="P187" s="241"/>
      <c r="Q187" s="241"/>
      <c r="R187" s="242"/>
    </row>
    <row r="188" spans="1:18">
      <c r="A188" s="39"/>
      <c r="B188" s="40"/>
      <c r="C188" s="41"/>
      <c r="D188" s="41"/>
      <c r="E188" s="41"/>
      <c r="F188" s="41"/>
      <c r="G188" s="149" t="s">
        <v>460</v>
      </c>
      <c r="H188" s="150">
        <f>CEILING(SUM(M160,M163,M164,M165,M166,M167,R159,R160,R161,R162,R163,R164)/H173,0.0025)</f>
        <v>0.67</v>
      </c>
      <c r="I188" s="42"/>
      <c r="J188" s="43"/>
      <c r="K188" s="43"/>
      <c r="L188" s="43"/>
      <c r="M188" s="43"/>
      <c r="N188" s="43"/>
      <c r="O188" s="43"/>
      <c r="P188" s="43"/>
      <c r="Q188" s="43"/>
      <c r="R188" s="44"/>
    </row>
    <row r="190" spans="1:18">
      <c r="A190" s="693" t="s">
        <v>0</v>
      </c>
      <c r="B190" s="695" t="s">
        <v>1</v>
      </c>
      <c r="C190" s="695" t="s">
        <v>2</v>
      </c>
      <c r="D190" s="697" t="s">
        <v>3</v>
      </c>
      <c r="E190" s="698"/>
      <c r="F190" s="698"/>
      <c r="G190" s="698"/>
      <c r="H190" s="698"/>
      <c r="I190" s="699" t="s">
        <v>4</v>
      </c>
      <c r="J190" s="700"/>
      <c r="K190" s="700"/>
      <c r="L190" s="700"/>
      <c r="M190" s="700"/>
      <c r="N190" s="698" t="s">
        <v>5</v>
      </c>
      <c r="O190" s="698"/>
      <c r="P190" s="698"/>
      <c r="Q190" s="698"/>
      <c r="R190" s="698"/>
    </row>
    <row r="191" spans="1:18">
      <c r="A191" s="694"/>
      <c r="B191" s="759"/>
      <c r="C191" s="696"/>
      <c r="D191" s="45" t="s">
        <v>6</v>
      </c>
      <c r="E191" s="46" t="s">
        <v>2</v>
      </c>
      <c r="F191" s="46" t="s">
        <v>7</v>
      </c>
      <c r="G191" s="46" t="s">
        <v>8</v>
      </c>
      <c r="H191" s="46" t="s">
        <v>9</v>
      </c>
      <c r="I191" s="46" t="s">
        <v>10</v>
      </c>
      <c r="J191" s="46" t="s">
        <v>2</v>
      </c>
      <c r="K191" s="46" t="s">
        <v>7</v>
      </c>
      <c r="L191" s="46" t="s">
        <v>8</v>
      </c>
      <c r="M191" s="47" t="s">
        <v>9</v>
      </c>
      <c r="N191" s="46" t="s">
        <v>10</v>
      </c>
      <c r="O191" s="46" t="s">
        <v>2</v>
      </c>
      <c r="P191" s="46" t="s">
        <v>7</v>
      </c>
      <c r="Q191" s="46" t="s">
        <v>8</v>
      </c>
      <c r="R191" s="46" t="s">
        <v>9</v>
      </c>
    </row>
    <row r="192" spans="1:18">
      <c r="A192" s="33" t="s">
        <v>23</v>
      </c>
      <c r="B192" s="127" t="s">
        <v>564</v>
      </c>
      <c r="C192" s="31"/>
      <c r="D192" s="31"/>
      <c r="E192" s="31"/>
      <c r="F192" s="31"/>
      <c r="G192" s="31"/>
      <c r="H192" s="31"/>
      <c r="I192" s="31"/>
      <c r="J192" s="31"/>
      <c r="K192" s="31"/>
      <c r="L192" s="31"/>
      <c r="M192" s="31"/>
      <c r="N192" s="31"/>
      <c r="O192" s="31"/>
      <c r="P192" s="31"/>
      <c r="Q192" s="31"/>
      <c r="R192" s="32"/>
    </row>
    <row r="193" spans="1:18">
      <c r="A193" s="34">
        <f>A158+1</f>
        <v>7</v>
      </c>
      <c r="B193" s="713" t="s">
        <v>566</v>
      </c>
      <c r="C193" s="66">
        <v>7.5</v>
      </c>
      <c r="D193" s="4"/>
      <c r="E193" s="6"/>
      <c r="F193" s="29"/>
      <c r="G193" s="26"/>
      <c r="H193" s="26"/>
      <c r="I193" s="6"/>
      <c r="J193" s="6"/>
      <c r="K193" s="29"/>
      <c r="L193" s="26"/>
      <c r="M193" s="26"/>
      <c r="N193" s="6"/>
      <c r="O193" s="6"/>
      <c r="P193" s="29"/>
      <c r="Q193" s="26"/>
      <c r="R193" s="26"/>
    </row>
    <row r="194" spans="1:18">
      <c r="A194" s="2"/>
      <c r="B194" s="714"/>
      <c r="C194" s="124" t="s">
        <v>11</v>
      </c>
      <c r="D194" s="4" t="s">
        <v>75</v>
      </c>
      <c r="E194" s="66" t="s">
        <v>81</v>
      </c>
      <c r="F194" s="29">
        <v>0.25</v>
      </c>
      <c r="G194" s="26">
        <f>fr</f>
        <v>1100</v>
      </c>
      <c r="H194" s="26">
        <f>F194*G194</f>
        <v>275</v>
      </c>
      <c r="I194" s="7" t="s">
        <v>515</v>
      </c>
      <c r="J194" s="145" t="s">
        <v>113</v>
      </c>
      <c r="K194" s="29">
        <f>440*C193/1000</f>
        <v>3.3</v>
      </c>
      <c r="L194" s="28">
        <f>cement</f>
        <v>24049.69</v>
      </c>
      <c r="M194" s="26">
        <f>K194*L194</f>
        <v>79363.976999999984</v>
      </c>
      <c r="N194" s="8" t="s">
        <v>398</v>
      </c>
      <c r="O194" s="66" t="s">
        <v>101</v>
      </c>
      <c r="P194" s="29">
        <v>11</v>
      </c>
      <c r="Q194" s="28">
        <f>compressor</f>
        <v>270.39999999999998</v>
      </c>
      <c r="R194" s="26">
        <f t="shared" ref="R194:R200" si="12">P194*Q194</f>
        <v>2974.3999999999996</v>
      </c>
    </row>
    <row r="195" spans="1:18">
      <c r="A195" s="2"/>
      <c r="B195" s="714"/>
      <c r="C195" s="6"/>
      <c r="D195" s="4" t="s">
        <v>461</v>
      </c>
      <c r="E195" s="66" t="s">
        <v>81</v>
      </c>
      <c r="F195" s="29">
        <v>1.2</v>
      </c>
      <c r="G195" s="26">
        <f>sr</f>
        <v>1100</v>
      </c>
      <c r="H195" s="26">
        <f t="shared" ref="H195:H206" si="13">F195*G195</f>
        <v>1320</v>
      </c>
      <c r="I195" s="7" t="s">
        <v>471</v>
      </c>
      <c r="J195" s="145" t="s">
        <v>424</v>
      </c>
      <c r="K195" s="29">
        <f>4%*K194*1000</f>
        <v>132</v>
      </c>
      <c r="L195" s="28">
        <f>accelerator</f>
        <v>89.04</v>
      </c>
      <c r="M195" s="26">
        <f>K195*L195</f>
        <v>11753.28</v>
      </c>
      <c r="N195" s="8" t="s">
        <v>287</v>
      </c>
      <c r="O195" s="66" t="s">
        <v>101</v>
      </c>
      <c r="P195" s="29">
        <v>11</v>
      </c>
      <c r="Q195" s="28">
        <f>mixer</f>
        <v>216.32</v>
      </c>
      <c r="R195" s="26">
        <f t="shared" si="12"/>
        <v>2379.52</v>
      </c>
    </row>
    <row r="196" spans="1:18">
      <c r="A196" s="2"/>
      <c r="B196" s="126"/>
      <c r="C196" s="6"/>
      <c r="D196" s="4" t="s">
        <v>511</v>
      </c>
      <c r="E196" s="66" t="s">
        <v>81</v>
      </c>
      <c r="F196" s="29">
        <v>1.2</v>
      </c>
      <c r="G196" s="26">
        <f>or</f>
        <v>1840</v>
      </c>
      <c r="H196" s="26">
        <f t="shared" si="13"/>
        <v>2208</v>
      </c>
      <c r="I196" s="7" t="s">
        <v>286</v>
      </c>
      <c r="J196" s="145" t="s">
        <v>11</v>
      </c>
      <c r="K196" s="29">
        <v>5.6</v>
      </c>
      <c r="L196" s="28">
        <f>sand</f>
        <v>1050</v>
      </c>
      <c r="M196" s="26">
        <f t="shared" ref="M196:M201" si="14">K196*L196</f>
        <v>5880</v>
      </c>
      <c r="N196" s="8" t="s">
        <v>517</v>
      </c>
      <c r="O196" s="66" t="s">
        <v>101</v>
      </c>
      <c r="P196" s="29">
        <v>11</v>
      </c>
      <c r="Q196" s="28">
        <f>Shotcrete_boomtruck</f>
        <v>540.79999999999995</v>
      </c>
      <c r="R196" s="26">
        <f t="shared" si="12"/>
        <v>5948.7999999999993</v>
      </c>
    </row>
    <row r="197" spans="1:18">
      <c r="A197" s="2"/>
      <c r="B197" s="126"/>
      <c r="C197" s="6"/>
      <c r="D197" s="4" t="s">
        <v>512</v>
      </c>
      <c r="E197" s="66" t="s">
        <v>81</v>
      </c>
      <c r="F197" s="29">
        <v>1.2</v>
      </c>
      <c r="G197" s="26">
        <f>or</f>
        <v>1840</v>
      </c>
      <c r="H197" s="26">
        <f t="shared" si="13"/>
        <v>2208</v>
      </c>
      <c r="I197" s="7" t="s">
        <v>516</v>
      </c>
      <c r="J197" s="145" t="s">
        <v>11</v>
      </c>
      <c r="K197" s="29">
        <v>2.8</v>
      </c>
      <c r="L197" s="28">
        <f>Agg_10</f>
        <v>2950</v>
      </c>
      <c r="M197" s="26">
        <f t="shared" si="14"/>
        <v>8260</v>
      </c>
      <c r="N197" s="8" t="s">
        <v>384</v>
      </c>
      <c r="O197" s="66" t="s">
        <v>101</v>
      </c>
      <c r="P197" s="29">
        <v>11</v>
      </c>
      <c r="Q197" s="28">
        <f>wheel_loader</f>
        <v>1622.4</v>
      </c>
      <c r="R197" s="26">
        <f t="shared" si="12"/>
        <v>17846.400000000001</v>
      </c>
    </row>
    <row r="198" spans="1:18">
      <c r="A198" s="2"/>
      <c r="B198" s="126"/>
      <c r="C198" s="6"/>
      <c r="D198" s="4" t="s">
        <v>486</v>
      </c>
      <c r="E198" s="66" t="s">
        <v>81</v>
      </c>
      <c r="F198" s="29">
        <v>1.2</v>
      </c>
      <c r="G198" s="26">
        <f>or</f>
        <v>1840</v>
      </c>
      <c r="H198" s="26">
        <f t="shared" si="13"/>
        <v>2208</v>
      </c>
      <c r="I198" s="7" t="s">
        <v>67</v>
      </c>
      <c r="J198" s="145" t="s">
        <v>250</v>
      </c>
      <c r="K198" s="29">
        <v>120</v>
      </c>
      <c r="L198" s="28">
        <f>diesel</f>
        <v>177.6</v>
      </c>
      <c r="M198" s="26">
        <f t="shared" si="14"/>
        <v>21312</v>
      </c>
      <c r="N198" s="8" t="s">
        <v>204</v>
      </c>
      <c r="O198" s="66" t="s">
        <v>101</v>
      </c>
      <c r="P198" s="29">
        <v>1</v>
      </c>
      <c r="Q198" s="28">
        <f>truck</f>
        <v>486.72</v>
      </c>
      <c r="R198" s="26">
        <f t="shared" si="12"/>
        <v>486.72</v>
      </c>
    </row>
    <row r="199" spans="1:18">
      <c r="A199" s="2"/>
      <c r="B199" s="126"/>
      <c r="C199" s="6"/>
      <c r="D199" s="4" t="s">
        <v>513</v>
      </c>
      <c r="E199" s="66" t="s">
        <v>81</v>
      </c>
      <c r="F199" s="29">
        <v>1.2</v>
      </c>
      <c r="G199" s="26">
        <f>drv</f>
        <v>1100</v>
      </c>
      <c r="H199" s="26">
        <f t="shared" si="13"/>
        <v>1320</v>
      </c>
      <c r="I199" s="7" t="s">
        <v>467</v>
      </c>
      <c r="J199" s="145" t="s">
        <v>250</v>
      </c>
      <c r="K199" s="29">
        <v>2</v>
      </c>
      <c r="L199" s="28">
        <f>lubricant</f>
        <v>459.84</v>
      </c>
      <c r="M199" s="26">
        <f t="shared" si="14"/>
        <v>919.68</v>
      </c>
      <c r="N199" s="8" t="s">
        <v>518</v>
      </c>
      <c r="O199" s="66" t="s">
        <v>101</v>
      </c>
      <c r="P199" s="29">
        <v>11</v>
      </c>
      <c r="Q199" s="28">
        <f>fan</f>
        <v>260.67</v>
      </c>
      <c r="R199" s="26">
        <f t="shared" si="12"/>
        <v>2867.3700000000003</v>
      </c>
    </row>
    <row r="200" spans="1:18">
      <c r="A200" s="2"/>
      <c r="B200" s="126"/>
      <c r="C200" s="6"/>
      <c r="D200" s="4" t="s">
        <v>492</v>
      </c>
      <c r="E200" s="66" t="s">
        <v>81</v>
      </c>
      <c r="F200" s="29">
        <v>15</v>
      </c>
      <c r="G200" s="26">
        <f>ur</f>
        <v>850</v>
      </c>
      <c r="H200" s="26">
        <f t="shared" si="13"/>
        <v>12750</v>
      </c>
      <c r="I200" s="7" t="s">
        <v>416</v>
      </c>
      <c r="J200" s="145" t="s">
        <v>28</v>
      </c>
      <c r="K200" s="29">
        <f>10%*K194*1000</f>
        <v>330</v>
      </c>
      <c r="L200" s="28">
        <f>silica_fumes</f>
        <v>365.65</v>
      </c>
      <c r="M200" s="26">
        <f t="shared" si="14"/>
        <v>120664.49999999999</v>
      </c>
      <c r="N200" s="8" t="s">
        <v>568</v>
      </c>
      <c r="O200" s="66" t="s">
        <v>101</v>
      </c>
      <c r="P200" s="29">
        <v>15</v>
      </c>
      <c r="Q200" s="28">
        <f>raiser_climber</f>
        <v>4867.2</v>
      </c>
      <c r="R200" s="26">
        <f t="shared" si="12"/>
        <v>73008</v>
      </c>
    </row>
    <row r="201" spans="1:18">
      <c r="A201" s="2"/>
      <c r="B201" s="126"/>
      <c r="C201" s="6"/>
      <c r="D201" s="4" t="s">
        <v>88</v>
      </c>
      <c r="E201" s="66" t="s">
        <v>81</v>
      </c>
      <c r="F201" s="29">
        <v>0.25</v>
      </c>
      <c r="G201" s="26">
        <f>el</f>
        <v>1100</v>
      </c>
      <c r="H201" s="26">
        <f t="shared" si="13"/>
        <v>275</v>
      </c>
      <c r="I201" s="7" t="s">
        <v>565</v>
      </c>
      <c r="J201" s="145" t="s">
        <v>28</v>
      </c>
      <c r="K201" s="29">
        <f>1%*K194*1000</f>
        <v>33</v>
      </c>
      <c r="L201" s="28">
        <f>plasticizers</f>
        <v>139.63</v>
      </c>
      <c r="M201" s="26">
        <f t="shared" si="14"/>
        <v>4607.79</v>
      </c>
      <c r="N201" s="8"/>
      <c r="O201" s="66"/>
      <c r="P201" s="29"/>
      <c r="Q201" s="28"/>
      <c r="R201" s="26"/>
    </row>
    <row r="202" spans="1:18">
      <c r="A202" s="2"/>
      <c r="B202" s="126"/>
      <c r="C202" s="6"/>
      <c r="D202" s="4" t="s">
        <v>463</v>
      </c>
      <c r="E202" s="66" t="s">
        <v>81</v>
      </c>
      <c r="F202" s="29">
        <v>0.25</v>
      </c>
      <c r="G202" s="26">
        <f>mech</f>
        <v>1100</v>
      </c>
      <c r="H202" s="26">
        <f t="shared" si="13"/>
        <v>275</v>
      </c>
      <c r="I202" s="7"/>
      <c r="J202" s="145"/>
      <c r="K202" s="29"/>
      <c r="L202" s="28"/>
      <c r="M202" s="26"/>
      <c r="N202" s="8"/>
      <c r="O202" s="66"/>
      <c r="P202" s="29"/>
      <c r="Q202" s="28"/>
      <c r="R202" s="26"/>
    </row>
    <row r="203" spans="1:18">
      <c r="A203" s="2"/>
      <c r="B203" s="126"/>
      <c r="C203" s="6"/>
      <c r="D203" s="4" t="s">
        <v>489</v>
      </c>
      <c r="E203" s="66" t="s">
        <v>81</v>
      </c>
      <c r="F203" s="29">
        <v>1.2</v>
      </c>
      <c r="G203" s="26">
        <f>drv</f>
        <v>1100</v>
      </c>
      <c r="H203" s="26">
        <f t="shared" si="13"/>
        <v>1320</v>
      </c>
      <c r="I203" s="7"/>
      <c r="J203" s="145"/>
      <c r="K203" s="29"/>
      <c r="L203" s="28"/>
      <c r="M203" s="26"/>
      <c r="N203" s="8"/>
      <c r="O203" s="66"/>
      <c r="P203" s="29"/>
      <c r="Q203" s="28"/>
      <c r="R203" s="26"/>
    </row>
    <row r="204" spans="1:18">
      <c r="A204" s="2"/>
      <c r="B204" s="126"/>
      <c r="C204" s="6"/>
      <c r="D204" s="4" t="s">
        <v>490</v>
      </c>
      <c r="E204" s="66" t="s">
        <v>81</v>
      </c>
      <c r="F204" s="29">
        <v>0.125</v>
      </c>
      <c r="G204" s="26">
        <f>drv</f>
        <v>1100</v>
      </c>
      <c r="H204" s="26">
        <f t="shared" si="13"/>
        <v>137.5</v>
      </c>
      <c r="I204" s="7"/>
      <c r="J204" s="145"/>
      <c r="K204" s="29"/>
      <c r="L204" s="28"/>
      <c r="M204" s="26"/>
      <c r="N204" s="8"/>
      <c r="O204" s="66"/>
      <c r="P204" s="29"/>
      <c r="Q204" s="28"/>
      <c r="R204" s="26"/>
    </row>
    <row r="205" spans="1:18">
      <c r="A205" s="2"/>
      <c r="B205" s="126"/>
      <c r="C205" s="6"/>
      <c r="D205" s="4" t="s">
        <v>514</v>
      </c>
      <c r="E205" s="66" t="s">
        <v>81</v>
      </c>
      <c r="F205" s="29">
        <v>0.125</v>
      </c>
      <c r="G205" s="26">
        <f>hr</f>
        <v>750</v>
      </c>
      <c r="H205" s="26">
        <f t="shared" si="13"/>
        <v>93.75</v>
      </c>
      <c r="I205" s="7"/>
      <c r="J205" s="145"/>
      <c r="K205" s="29"/>
      <c r="L205" s="28"/>
      <c r="M205" s="26"/>
      <c r="N205" s="153"/>
      <c r="O205" s="66"/>
      <c r="P205" s="29"/>
      <c r="Q205" s="28"/>
      <c r="R205" s="26"/>
    </row>
    <row r="206" spans="1:18">
      <c r="A206" s="2"/>
      <c r="B206" s="126"/>
      <c r="C206" s="6"/>
      <c r="D206" s="4" t="s">
        <v>645</v>
      </c>
      <c r="E206" s="66" t="s">
        <v>81</v>
      </c>
      <c r="F206" s="29">
        <f>15/8</f>
        <v>1.875</v>
      </c>
      <c r="G206" s="26">
        <f>rcr</f>
        <v>1840</v>
      </c>
      <c r="H206" s="26">
        <f t="shared" si="13"/>
        <v>3450</v>
      </c>
      <c r="I206" s="7"/>
      <c r="J206" s="145"/>
      <c r="K206" s="29"/>
      <c r="L206" s="28"/>
      <c r="M206" s="26"/>
      <c r="N206" s="153"/>
      <c r="O206" s="66"/>
      <c r="P206" s="29"/>
      <c r="Q206" s="28"/>
      <c r="R206" s="26"/>
    </row>
    <row r="207" spans="1:18">
      <c r="A207" s="2"/>
      <c r="B207" s="5"/>
      <c r="C207" s="6"/>
      <c r="D207" s="4"/>
      <c r="E207" s="9"/>
      <c r="F207" s="30"/>
      <c r="G207" s="27"/>
      <c r="H207" s="27"/>
      <c r="I207" s="9"/>
      <c r="J207" s="10"/>
      <c r="K207" s="30"/>
      <c r="L207" s="28"/>
      <c r="M207" s="28"/>
      <c r="N207" s="8"/>
      <c r="O207" s="6"/>
      <c r="P207" s="30"/>
      <c r="Q207" s="28"/>
      <c r="R207" s="28"/>
    </row>
    <row r="208" spans="1:18">
      <c r="A208" s="2"/>
      <c r="B208" s="11"/>
      <c r="C208" s="6"/>
      <c r="D208" s="12"/>
      <c r="E208" s="59"/>
      <c r="F208" s="13"/>
      <c r="G208" s="13" t="s">
        <v>20</v>
      </c>
      <c r="H208" s="25">
        <f>SUM(H193:H207)</f>
        <v>27840.25</v>
      </c>
      <c r="I208" s="703"/>
      <c r="J208" s="703"/>
      <c r="K208" s="14"/>
      <c r="L208" s="13" t="s">
        <v>21</v>
      </c>
      <c r="M208" s="25">
        <f>SUM(M193:M207)</f>
        <v>252761.22699999998</v>
      </c>
      <c r="N208" s="3"/>
      <c r="O208" s="14"/>
      <c r="P208" s="14"/>
      <c r="Q208" s="13" t="s">
        <v>22</v>
      </c>
      <c r="R208" s="25">
        <f>SUM(R193:R207)</f>
        <v>105511.21</v>
      </c>
    </row>
    <row r="209" spans="1:18">
      <c r="A209" s="2"/>
      <c r="B209" s="16" t="s">
        <v>13</v>
      </c>
      <c r="C209" s="14"/>
      <c r="D209" s="14"/>
      <c r="E209" s="14"/>
      <c r="F209" s="14"/>
      <c r="G209" s="13"/>
      <c r="H209" s="35">
        <f>M208+R208+H208</f>
        <v>386112.68699999998</v>
      </c>
      <c r="I209" s="17"/>
      <c r="J209" s="14"/>
      <c r="K209" s="14"/>
      <c r="L209" s="13"/>
      <c r="M209" s="15"/>
      <c r="N209" s="14"/>
      <c r="O209" s="14"/>
      <c r="P209" s="14"/>
      <c r="Q209" s="14"/>
      <c r="R209" s="17"/>
    </row>
    <row r="210" spans="1:18">
      <c r="A210" s="2"/>
      <c r="B210" s="11" t="s">
        <v>25</v>
      </c>
      <c r="C210" s="4"/>
      <c r="D210" s="4" t="s">
        <v>648</v>
      </c>
      <c r="E210" s="4"/>
      <c r="F210" s="4"/>
      <c r="G210" s="18"/>
      <c r="H210" s="36">
        <f>15%*(H209+20%*H208)+20%*H208</f>
        <v>64320.160549999993</v>
      </c>
      <c r="I210" s="20"/>
      <c r="J210" s="4" t="s">
        <v>26</v>
      </c>
      <c r="K210" s="4"/>
      <c r="L210" s="18"/>
      <c r="M210" s="19"/>
      <c r="N210" s="4"/>
      <c r="O210" s="4"/>
      <c r="P210" s="4"/>
      <c r="Q210" s="4"/>
      <c r="R210" s="20"/>
    </row>
    <row r="211" spans="1:18">
      <c r="A211" s="23"/>
      <c r="B211" s="11" t="s">
        <v>14</v>
      </c>
      <c r="C211" s="4"/>
      <c r="D211" s="4"/>
      <c r="E211" s="4"/>
      <c r="F211" s="4"/>
      <c r="G211" s="18"/>
      <c r="H211" s="36">
        <f>SUM(H209:H210)</f>
        <v>450432.84754999995</v>
      </c>
      <c r="I211" s="20"/>
      <c r="J211" s="741"/>
      <c r="K211" s="742"/>
      <c r="L211" s="742"/>
      <c r="M211" s="742"/>
      <c r="N211" s="742"/>
      <c r="O211" s="742"/>
      <c r="P211" s="742"/>
      <c r="Q211" s="742"/>
      <c r="R211" s="743"/>
    </row>
    <row r="212" spans="1:18">
      <c r="A212" s="23"/>
      <c r="B212" s="11" t="s">
        <v>24</v>
      </c>
      <c r="C212" s="4"/>
      <c r="D212" s="4"/>
      <c r="E212" s="4"/>
      <c r="F212" s="4"/>
      <c r="G212" s="18"/>
      <c r="H212" s="36">
        <f>H211*15%</f>
        <v>67564.927132499986</v>
      </c>
      <c r="I212" s="20"/>
      <c r="J212" s="744"/>
      <c r="K212" s="745"/>
      <c r="L212" s="745"/>
      <c r="M212" s="745"/>
      <c r="N212" s="745"/>
      <c r="O212" s="745"/>
      <c r="P212" s="745"/>
      <c r="Q212" s="745"/>
      <c r="R212" s="746"/>
    </row>
    <row r="213" spans="1:18">
      <c r="A213" s="23"/>
      <c r="B213" s="11" t="s">
        <v>15</v>
      </c>
      <c r="C213" s="4"/>
      <c r="D213" s="4"/>
      <c r="E213" s="4"/>
      <c r="F213" s="4"/>
      <c r="G213" s="21" t="s">
        <v>16</v>
      </c>
      <c r="H213" s="37">
        <f>H212+H211</f>
        <v>517997.77468249993</v>
      </c>
      <c r="I213" s="38" t="str">
        <f>CONCATENATE("per ",C193, C194)</f>
        <v>per 7.5cum</v>
      </c>
      <c r="J213" s="744"/>
      <c r="K213" s="745"/>
      <c r="L213" s="745"/>
      <c r="M213" s="745"/>
      <c r="N213" s="745"/>
      <c r="O213" s="745"/>
      <c r="P213" s="745"/>
      <c r="Q213" s="745"/>
      <c r="R213" s="746"/>
    </row>
    <row r="214" spans="1:18">
      <c r="A214" s="23"/>
      <c r="B214" s="11"/>
      <c r="C214" s="4"/>
      <c r="D214" s="4"/>
      <c r="E214" s="4"/>
      <c r="F214" s="4"/>
      <c r="G214" s="21" t="s">
        <v>16</v>
      </c>
      <c r="H214" s="37">
        <f>H213/C193</f>
        <v>69066.369957666655</v>
      </c>
      <c r="I214" s="38" t="str">
        <f>CONCATENATE("per ",C194)</f>
        <v>per cum</v>
      </c>
      <c r="J214" s="744"/>
      <c r="K214" s="745"/>
      <c r="L214" s="745"/>
      <c r="M214" s="745"/>
      <c r="N214" s="745"/>
      <c r="O214" s="745"/>
      <c r="P214" s="745"/>
      <c r="Q214" s="745"/>
      <c r="R214" s="746"/>
    </row>
    <row r="215" spans="1:18">
      <c r="A215" s="23"/>
      <c r="B215" s="11" t="s">
        <v>18</v>
      </c>
      <c r="C215" s="4" t="s">
        <v>19</v>
      </c>
      <c r="D215" s="4"/>
      <c r="E215" s="4"/>
      <c r="F215" s="4"/>
      <c r="G215" s="21" t="s">
        <v>16</v>
      </c>
      <c r="H215" s="37">
        <f>CEILING(H214,0.5)</f>
        <v>69066.5</v>
      </c>
      <c r="I215" s="38" t="str">
        <f>CONCATENATE("per ",C194)</f>
        <v>per cum</v>
      </c>
      <c r="J215" s="744"/>
      <c r="K215" s="745"/>
      <c r="L215" s="745"/>
      <c r="M215" s="745"/>
      <c r="N215" s="745"/>
      <c r="O215" s="745"/>
      <c r="P215" s="745"/>
      <c r="Q215" s="745"/>
      <c r="R215" s="746"/>
    </row>
    <row r="216" spans="1:18">
      <c r="A216" s="23"/>
      <c r="B216" s="11"/>
      <c r="C216" s="4"/>
      <c r="D216" s="4"/>
      <c r="E216" s="4"/>
      <c r="F216" s="4"/>
      <c r="G216" s="21" t="s">
        <v>16</v>
      </c>
      <c r="H216" s="37">
        <f>H215/C193</f>
        <v>9208.8666666666668</v>
      </c>
      <c r="I216" s="38" t="s">
        <v>848</v>
      </c>
      <c r="J216" s="744"/>
      <c r="K216" s="745"/>
      <c r="L216" s="745"/>
      <c r="M216" s="745"/>
      <c r="N216" s="745"/>
      <c r="O216" s="745"/>
      <c r="P216" s="745"/>
      <c r="Q216" s="745"/>
      <c r="R216" s="746"/>
    </row>
    <row r="217" spans="1:18">
      <c r="A217" s="23"/>
      <c r="B217" s="11"/>
      <c r="C217" s="4"/>
      <c r="D217" s="4"/>
      <c r="E217" s="4"/>
      <c r="F217" s="4"/>
      <c r="G217" s="24" t="s">
        <v>17</v>
      </c>
      <c r="H217" s="37">
        <f>H215/exr</f>
        <v>531.28076923076924</v>
      </c>
      <c r="I217" s="38" t="str">
        <f>CONCATENATE("per ",C194)</f>
        <v>per cum</v>
      </c>
      <c r="J217" s="747"/>
      <c r="K217" s="748"/>
      <c r="L217" s="748"/>
      <c r="M217" s="748"/>
      <c r="N217" s="748"/>
      <c r="O217" s="748"/>
      <c r="P217" s="748"/>
      <c r="Q217" s="748"/>
      <c r="R217" s="749"/>
    </row>
    <row r="218" spans="1:18">
      <c r="A218" s="39"/>
      <c r="B218" s="40"/>
      <c r="C218" s="41"/>
      <c r="D218" s="41"/>
      <c r="E218" s="41"/>
      <c r="F218" s="41"/>
      <c r="G218" s="149" t="s">
        <v>460</v>
      </c>
      <c r="H218" s="150">
        <f>CEILING(SUM(M195,M198,M199,M200,M201,R194,R195,R196,R197,R198,R199,R200)/H209,0.0025)</f>
        <v>0.6875</v>
      </c>
      <c r="I218" s="42"/>
      <c r="J218" s="43"/>
      <c r="K218" s="43"/>
      <c r="L218" s="43"/>
      <c r="M218" s="43"/>
      <c r="N218" s="43"/>
      <c r="O218" s="43"/>
      <c r="P218" s="43"/>
      <c r="Q218" s="43"/>
      <c r="R218" s="44"/>
    </row>
    <row r="220" spans="1:18">
      <c r="A220" s="693" t="s">
        <v>0</v>
      </c>
      <c r="B220" s="695" t="s">
        <v>1</v>
      </c>
      <c r="C220" s="695" t="s">
        <v>2</v>
      </c>
      <c r="D220" s="697" t="s">
        <v>3</v>
      </c>
      <c r="E220" s="698"/>
      <c r="F220" s="698"/>
      <c r="G220" s="698"/>
      <c r="H220" s="698"/>
      <c r="I220" s="699" t="s">
        <v>4</v>
      </c>
      <c r="J220" s="700"/>
      <c r="K220" s="700"/>
      <c r="L220" s="700"/>
      <c r="M220" s="700"/>
      <c r="N220" s="698" t="s">
        <v>5</v>
      </c>
      <c r="O220" s="698"/>
      <c r="P220" s="698"/>
      <c r="Q220" s="698"/>
      <c r="R220" s="698"/>
    </row>
    <row r="221" spans="1:18">
      <c r="A221" s="694"/>
      <c r="B221" s="759"/>
      <c r="C221" s="696"/>
      <c r="D221" s="45" t="s">
        <v>6</v>
      </c>
      <c r="E221" s="46" t="s">
        <v>2</v>
      </c>
      <c r="F221" s="46" t="s">
        <v>7</v>
      </c>
      <c r="G221" s="46" t="s">
        <v>8</v>
      </c>
      <c r="H221" s="46" t="s">
        <v>9</v>
      </c>
      <c r="I221" s="46" t="s">
        <v>10</v>
      </c>
      <c r="J221" s="46" t="s">
        <v>2</v>
      </c>
      <c r="K221" s="46" t="s">
        <v>7</v>
      </c>
      <c r="L221" s="46" t="s">
        <v>8</v>
      </c>
      <c r="M221" s="47" t="s">
        <v>9</v>
      </c>
      <c r="N221" s="46" t="s">
        <v>10</v>
      </c>
      <c r="O221" s="46" t="s">
        <v>2</v>
      </c>
      <c r="P221" s="46" t="s">
        <v>7</v>
      </c>
      <c r="Q221" s="46" t="s">
        <v>8</v>
      </c>
      <c r="R221" s="46" t="s">
        <v>9</v>
      </c>
    </row>
    <row r="222" spans="1:18">
      <c r="A222" s="33" t="s">
        <v>23</v>
      </c>
      <c r="B222" s="127"/>
      <c r="C222" s="31"/>
      <c r="D222" s="31"/>
      <c r="E222" s="31"/>
      <c r="F222" s="31"/>
      <c r="G222" s="31"/>
      <c r="H222" s="31"/>
      <c r="I222" s="31"/>
      <c r="J222" s="31"/>
      <c r="K222" s="31"/>
      <c r="L222" s="31"/>
      <c r="M222" s="31"/>
      <c r="N222" s="31"/>
      <c r="O222" s="31"/>
      <c r="P222" s="31"/>
      <c r="Q222" s="31"/>
      <c r="R222" s="32"/>
    </row>
    <row r="223" spans="1:18">
      <c r="A223" s="34">
        <f>A193+1</f>
        <v>8</v>
      </c>
      <c r="B223" s="713" t="s">
        <v>567</v>
      </c>
      <c r="C223" s="66">
        <v>7.5</v>
      </c>
      <c r="D223" s="4"/>
      <c r="E223" s="6"/>
      <c r="F223" s="29"/>
      <c r="G223" s="26"/>
      <c r="H223" s="26"/>
      <c r="I223" s="6"/>
      <c r="J223" s="6"/>
      <c r="K223" s="29"/>
      <c r="L223" s="26"/>
      <c r="M223" s="26"/>
      <c r="N223" s="6"/>
      <c r="O223" s="6"/>
      <c r="P223" s="29"/>
      <c r="Q223" s="26"/>
      <c r="R223" s="26"/>
    </row>
    <row r="224" spans="1:18">
      <c r="A224" s="2"/>
      <c r="B224" s="714"/>
      <c r="C224" s="124" t="s">
        <v>11</v>
      </c>
      <c r="D224" s="4" t="s">
        <v>75</v>
      </c>
      <c r="E224" s="66" t="s">
        <v>81</v>
      </c>
      <c r="F224" s="29">
        <v>0.25</v>
      </c>
      <c r="G224" s="26">
        <f>fr</f>
        <v>1100</v>
      </c>
      <c r="H224" s="26">
        <f>F224*G224</f>
        <v>275</v>
      </c>
      <c r="I224" s="7" t="s">
        <v>515</v>
      </c>
      <c r="J224" s="145" t="s">
        <v>113</v>
      </c>
      <c r="K224" s="29">
        <f>500*C223/1000</f>
        <v>3.75</v>
      </c>
      <c r="L224" s="28">
        <f>cement</f>
        <v>24049.69</v>
      </c>
      <c r="M224" s="26">
        <f>K224*L224</f>
        <v>90186.337499999994</v>
      </c>
      <c r="N224" s="8" t="s">
        <v>398</v>
      </c>
      <c r="O224" s="66" t="s">
        <v>101</v>
      </c>
      <c r="P224" s="29">
        <v>11</v>
      </c>
      <c r="Q224" s="28">
        <f>compressor</f>
        <v>270.39999999999998</v>
      </c>
      <c r="R224" s="26">
        <f t="shared" ref="R224:R230" si="15">P224*Q224</f>
        <v>2974.3999999999996</v>
      </c>
    </row>
    <row r="225" spans="1:18">
      <c r="A225" s="2"/>
      <c r="B225" s="714"/>
      <c r="C225" s="6"/>
      <c r="D225" s="4" t="s">
        <v>461</v>
      </c>
      <c r="E225" s="66" t="s">
        <v>81</v>
      </c>
      <c r="F225" s="29">
        <v>1.375</v>
      </c>
      <c r="G225" s="26">
        <f>sr</f>
        <v>1100</v>
      </c>
      <c r="H225" s="26">
        <f t="shared" ref="H225:H236" si="16">F225*G225</f>
        <v>1512.5</v>
      </c>
      <c r="I225" s="7" t="s">
        <v>471</v>
      </c>
      <c r="J225" s="145" t="s">
        <v>424</v>
      </c>
      <c r="K225" s="29">
        <f>4%*K224*1000</f>
        <v>150</v>
      </c>
      <c r="L225" s="28">
        <f>accelerator</f>
        <v>89.04</v>
      </c>
      <c r="M225" s="26">
        <f>K225*L225</f>
        <v>13356.000000000002</v>
      </c>
      <c r="N225" s="8" t="s">
        <v>287</v>
      </c>
      <c r="O225" s="66" t="s">
        <v>101</v>
      </c>
      <c r="P225" s="29">
        <v>11</v>
      </c>
      <c r="Q225" s="28">
        <f>mixer</f>
        <v>216.32</v>
      </c>
      <c r="R225" s="26">
        <f t="shared" si="15"/>
        <v>2379.52</v>
      </c>
    </row>
    <row r="226" spans="1:18">
      <c r="A226" s="2"/>
      <c r="B226" s="126"/>
      <c r="C226" s="6"/>
      <c r="D226" s="4" t="s">
        <v>511</v>
      </c>
      <c r="E226" s="66" t="s">
        <v>81</v>
      </c>
      <c r="F226" s="29">
        <v>1.375</v>
      </c>
      <c r="G226" s="26">
        <f>or</f>
        <v>1840</v>
      </c>
      <c r="H226" s="26">
        <f t="shared" si="16"/>
        <v>2530</v>
      </c>
      <c r="I226" s="7" t="s">
        <v>286</v>
      </c>
      <c r="J226" s="145" t="s">
        <v>11</v>
      </c>
      <c r="K226" s="29">
        <v>7.62</v>
      </c>
      <c r="L226" s="28">
        <f>sand</f>
        <v>1050</v>
      </c>
      <c r="M226" s="26">
        <f t="shared" ref="M226:M232" si="17">K226*L226</f>
        <v>8001</v>
      </c>
      <c r="N226" s="8" t="s">
        <v>517</v>
      </c>
      <c r="O226" s="66" t="s">
        <v>101</v>
      </c>
      <c r="P226" s="29">
        <v>11</v>
      </c>
      <c r="Q226" s="28">
        <f>Shotcrete_boomtruck</f>
        <v>540.79999999999995</v>
      </c>
      <c r="R226" s="26">
        <f t="shared" si="15"/>
        <v>5948.7999999999993</v>
      </c>
    </row>
    <row r="227" spans="1:18">
      <c r="A227" s="2"/>
      <c r="B227" s="126"/>
      <c r="C227" s="6"/>
      <c r="D227" s="4" t="s">
        <v>512</v>
      </c>
      <c r="E227" s="66" t="s">
        <v>81</v>
      </c>
      <c r="F227" s="29">
        <v>1.375</v>
      </c>
      <c r="G227" s="26">
        <f>or</f>
        <v>1840</v>
      </c>
      <c r="H227" s="26">
        <f t="shared" si="16"/>
        <v>2530</v>
      </c>
      <c r="I227" s="7" t="s">
        <v>516</v>
      </c>
      <c r="J227" s="145" t="s">
        <v>11</v>
      </c>
      <c r="K227" s="29">
        <v>4.0999999999999996</v>
      </c>
      <c r="L227" s="28">
        <f>Agg_10</f>
        <v>2950</v>
      </c>
      <c r="M227" s="26">
        <f t="shared" si="17"/>
        <v>12094.999999999998</v>
      </c>
      <c r="N227" s="8" t="s">
        <v>384</v>
      </c>
      <c r="O227" s="66" t="s">
        <v>101</v>
      </c>
      <c r="P227" s="29">
        <v>11</v>
      </c>
      <c r="Q227" s="28">
        <f>wheel_loader</f>
        <v>1622.4</v>
      </c>
      <c r="R227" s="26">
        <f t="shared" si="15"/>
        <v>17846.400000000001</v>
      </c>
    </row>
    <row r="228" spans="1:18">
      <c r="A228" s="2"/>
      <c r="B228" s="126"/>
      <c r="C228" s="6"/>
      <c r="D228" s="4" t="s">
        <v>486</v>
      </c>
      <c r="E228" s="66" t="s">
        <v>81</v>
      </c>
      <c r="F228" s="29">
        <v>1.375</v>
      </c>
      <c r="G228" s="26">
        <f>or</f>
        <v>1840</v>
      </c>
      <c r="H228" s="26">
        <f t="shared" si="16"/>
        <v>2530</v>
      </c>
      <c r="I228" s="7" t="s">
        <v>67</v>
      </c>
      <c r="J228" s="145" t="s">
        <v>250</v>
      </c>
      <c r="K228" s="29">
        <v>190</v>
      </c>
      <c r="L228" s="28">
        <f>diesel</f>
        <v>177.6</v>
      </c>
      <c r="M228" s="26">
        <f t="shared" si="17"/>
        <v>33744</v>
      </c>
      <c r="N228" s="8" t="s">
        <v>204</v>
      </c>
      <c r="O228" s="66" t="s">
        <v>101</v>
      </c>
      <c r="P228" s="29">
        <v>1</v>
      </c>
      <c r="Q228" s="28">
        <f>truck</f>
        <v>486.72</v>
      </c>
      <c r="R228" s="26">
        <f t="shared" si="15"/>
        <v>486.72</v>
      </c>
    </row>
    <row r="229" spans="1:18">
      <c r="A229" s="2"/>
      <c r="B229" s="126"/>
      <c r="C229" s="6"/>
      <c r="D229" s="4" t="s">
        <v>513</v>
      </c>
      <c r="E229" s="66" t="s">
        <v>81</v>
      </c>
      <c r="F229" s="29">
        <v>1.375</v>
      </c>
      <c r="G229" s="26">
        <f>drv</f>
        <v>1100</v>
      </c>
      <c r="H229" s="26">
        <f t="shared" si="16"/>
        <v>1512.5</v>
      </c>
      <c r="I229" s="7" t="s">
        <v>467</v>
      </c>
      <c r="J229" s="145" t="s">
        <v>250</v>
      </c>
      <c r="K229" s="29">
        <v>2</v>
      </c>
      <c r="L229" s="28">
        <f>lubricant</f>
        <v>459.84</v>
      </c>
      <c r="M229" s="26">
        <f t="shared" si="17"/>
        <v>919.68</v>
      </c>
      <c r="N229" s="8" t="s">
        <v>518</v>
      </c>
      <c r="O229" s="66" t="s">
        <v>101</v>
      </c>
      <c r="P229" s="29">
        <v>11</v>
      </c>
      <c r="Q229" s="28">
        <f>fan</f>
        <v>260.67</v>
      </c>
      <c r="R229" s="26">
        <f t="shared" si="15"/>
        <v>2867.3700000000003</v>
      </c>
    </row>
    <row r="230" spans="1:18">
      <c r="A230" s="2"/>
      <c r="B230" s="126"/>
      <c r="C230" s="6"/>
      <c r="D230" s="4" t="s">
        <v>492</v>
      </c>
      <c r="E230" s="66" t="s">
        <v>81</v>
      </c>
      <c r="F230" s="29">
        <v>20.625</v>
      </c>
      <c r="G230" s="26">
        <f>ur</f>
        <v>850</v>
      </c>
      <c r="H230" s="26">
        <f t="shared" si="16"/>
        <v>17531.25</v>
      </c>
      <c r="I230" s="7" t="s">
        <v>520</v>
      </c>
      <c r="J230" s="145" t="s">
        <v>113</v>
      </c>
      <c r="K230" s="29">
        <f>50*C223/1000</f>
        <v>0.375</v>
      </c>
      <c r="L230" s="28">
        <f>100*1000</f>
        <v>100000</v>
      </c>
      <c r="M230" s="26">
        <f t="shared" si="17"/>
        <v>37500</v>
      </c>
      <c r="N230" s="8" t="s">
        <v>568</v>
      </c>
      <c r="O230" s="66" t="s">
        <v>101</v>
      </c>
      <c r="P230" s="29">
        <v>15</v>
      </c>
      <c r="Q230" s="28">
        <f>raiser_climber</f>
        <v>4867.2</v>
      </c>
      <c r="R230" s="26">
        <f t="shared" si="15"/>
        <v>73008</v>
      </c>
    </row>
    <row r="231" spans="1:18">
      <c r="A231" s="2"/>
      <c r="B231" s="126"/>
      <c r="C231" s="6"/>
      <c r="D231" s="4" t="s">
        <v>88</v>
      </c>
      <c r="E231" s="66" t="s">
        <v>81</v>
      </c>
      <c r="F231" s="29">
        <v>0.25</v>
      </c>
      <c r="G231" s="26">
        <f>el</f>
        <v>1100</v>
      </c>
      <c r="H231" s="26">
        <f t="shared" si="16"/>
        <v>275</v>
      </c>
      <c r="I231" s="7" t="s">
        <v>416</v>
      </c>
      <c r="J231" s="145" t="s">
        <v>28</v>
      </c>
      <c r="K231" s="29">
        <f>10%*K224*1000</f>
        <v>375</v>
      </c>
      <c r="L231" s="28">
        <f>silica_fumes</f>
        <v>365.65</v>
      </c>
      <c r="M231" s="26">
        <f t="shared" si="17"/>
        <v>137118.75</v>
      </c>
      <c r="N231" s="8"/>
      <c r="O231" s="66"/>
      <c r="P231" s="29"/>
      <c r="Q231" s="28"/>
      <c r="R231" s="26"/>
    </row>
    <row r="232" spans="1:18">
      <c r="A232" s="2"/>
      <c r="B232" s="126"/>
      <c r="C232" s="6"/>
      <c r="D232" s="4" t="s">
        <v>463</v>
      </c>
      <c r="E232" s="66" t="s">
        <v>81</v>
      </c>
      <c r="F232" s="29">
        <v>0.25</v>
      </c>
      <c r="G232" s="26">
        <f>mech</f>
        <v>1100</v>
      </c>
      <c r="H232" s="26">
        <f t="shared" si="16"/>
        <v>275</v>
      </c>
      <c r="I232" s="7" t="s">
        <v>565</v>
      </c>
      <c r="J232" s="145" t="s">
        <v>28</v>
      </c>
      <c r="K232" s="29">
        <f>1%*K224*1000</f>
        <v>37.5</v>
      </c>
      <c r="L232" s="28">
        <f>plasticizers</f>
        <v>139.63</v>
      </c>
      <c r="M232" s="26">
        <f t="shared" si="17"/>
        <v>5236.125</v>
      </c>
      <c r="N232" s="8"/>
      <c r="O232" s="66"/>
      <c r="P232" s="29"/>
      <c r="Q232" s="28"/>
      <c r="R232" s="26"/>
    </row>
    <row r="233" spans="1:18">
      <c r="A233" s="2"/>
      <c r="B233" s="126"/>
      <c r="C233" s="6"/>
      <c r="D233" s="4" t="s">
        <v>489</v>
      </c>
      <c r="E233" s="66" t="s">
        <v>81</v>
      </c>
      <c r="F233" s="29">
        <v>1.375</v>
      </c>
      <c r="G233" s="26">
        <f>drv</f>
        <v>1100</v>
      </c>
      <c r="H233" s="26">
        <f t="shared" si="16"/>
        <v>1512.5</v>
      </c>
      <c r="I233" s="7"/>
      <c r="J233" s="145"/>
      <c r="K233" s="29"/>
      <c r="L233" s="28"/>
      <c r="M233" s="26"/>
      <c r="N233" s="8"/>
      <c r="O233" s="66"/>
      <c r="P233" s="29"/>
      <c r="Q233" s="28"/>
      <c r="R233" s="26"/>
    </row>
    <row r="234" spans="1:18">
      <c r="A234" s="2"/>
      <c r="B234" s="126"/>
      <c r="C234" s="6"/>
      <c r="D234" s="4" t="s">
        <v>490</v>
      </c>
      <c r="E234" s="66" t="s">
        <v>81</v>
      </c>
      <c r="F234" s="29">
        <v>0.125</v>
      </c>
      <c r="G234" s="26">
        <f>drv</f>
        <v>1100</v>
      </c>
      <c r="H234" s="26">
        <f t="shared" si="16"/>
        <v>137.5</v>
      </c>
      <c r="I234" s="7"/>
      <c r="J234" s="145"/>
      <c r="K234" s="29"/>
      <c r="L234" s="28"/>
      <c r="M234" s="26"/>
      <c r="N234" s="8"/>
      <c r="O234" s="66"/>
      <c r="P234" s="29"/>
      <c r="Q234" s="28"/>
      <c r="R234" s="26"/>
    </row>
    <row r="235" spans="1:18">
      <c r="A235" s="2"/>
      <c r="B235" s="126"/>
      <c r="C235" s="6"/>
      <c r="D235" s="4" t="s">
        <v>514</v>
      </c>
      <c r="E235" s="66" t="s">
        <v>81</v>
      </c>
      <c r="F235" s="29">
        <v>0.125</v>
      </c>
      <c r="G235" s="26">
        <f>hr</f>
        <v>750</v>
      </c>
      <c r="H235" s="26">
        <f t="shared" si="16"/>
        <v>93.75</v>
      </c>
      <c r="I235" s="7"/>
      <c r="J235" s="145"/>
      <c r="K235" s="29"/>
      <c r="L235" s="28"/>
      <c r="M235" s="26"/>
      <c r="N235" s="8"/>
      <c r="O235" s="66"/>
      <c r="P235" s="29"/>
      <c r="Q235" s="28"/>
      <c r="R235" s="26"/>
    </row>
    <row r="236" spans="1:18">
      <c r="A236" s="2"/>
      <c r="B236" s="126"/>
      <c r="C236" s="6"/>
      <c r="D236" s="4" t="s">
        <v>645</v>
      </c>
      <c r="E236" s="66" t="s">
        <v>81</v>
      </c>
      <c r="F236" s="29">
        <f>15/8</f>
        <v>1.875</v>
      </c>
      <c r="G236" s="26">
        <f>rcr</f>
        <v>1840</v>
      </c>
      <c r="H236" s="26">
        <f t="shared" si="16"/>
        <v>3450</v>
      </c>
      <c r="I236" s="7"/>
      <c r="J236" s="145"/>
      <c r="K236" s="29"/>
      <c r="L236" s="28"/>
      <c r="M236" s="26"/>
      <c r="N236" s="8"/>
      <c r="O236" s="66"/>
      <c r="P236" s="29"/>
      <c r="Q236" s="28"/>
      <c r="R236" s="26"/>
    </row>
    <row r="237" spans="1:18">
      <c r="A237" s="2"/>
      <c r="B237" s="5"/>
      <c r="C237" s="6"/>
      <c r="D237" s="4"/>
      <c r="E237" s="9"/>
      <c r="F237" s="30"/>
      <c r="G237" s="27"/>
      <c r="H237" s="27"/>
      <c r="I237" s="9"/>
      <c r="J237" s="10"/>
      <c r="K237" s="30"/>
      <c r="L237" s="28"/>
      <c r="M237" s="28"/>
      <c r="N237" s="8"/>
      <c r="O237" s="6"/>
      <c r="P237" s="30"/>
      <c r="Q237" s="28"/>
      <c r="R237" s="28"/>
    </row>
    <row r="238" spans="1:18">
      <c r="A238" s="2"/>
      <c r="B238" s="11"/>
      <c r="C238" s="6"/>
      <c r="D238" s="12"/>
      <c r="E238" s="59"/>
      <c r="F238" s="13"/>
      <c r="G238" s="13" t="s">
        <v>20</v>
      </c>
      <c r="H238" s="25">
        <f>SUM(H223:H237)</f>
        <v>34165</v>
      </c>
      <c r="I238" s="703"/>
      <c r="J238" s="703"/>
      <c r="K238" s="14"/>
      <c r="L238" s="13" t="s">
        <v>21</v>
      </c>
      <c r="M238" s="25">
        <f>SUM(M223:M237)</f>
        <v>338156.89249999996</v>
      </c>
      <c r="N238" s="3"/>
      <c r="O238" s="14"/>
      <c r="P238" s="14"/>
      <c r="Q238" s="13" t="s">
        <v>22</v>
      </c>
      <c r="R238" s="25">
        <f>SUM(R223:R237)</f>
        <v>105511.21</v>
      </c>
    </row>
    <row r="239" spans="1:18">
      <c r="A239" s="2"/>
      <c r="B239" s="16" t="s">
        <v>13</v>
      </c>
      <c r="C239" s="14"/>
      <c r="D239" s="14"/>
      <c r="E239" s="14"/>
      <c r="F239" s="14"/>
      <c r="G239" s="13"/>
      <c r="H239" s="35">
        <f>M238+R238+H238</f>
        <v>477833.10249999998</v>
      </c>
      <c r="I239" s="17"/>
      <c r="J239" s="14"/>
      <c r="K239" s="14"/>
      <c r="L239" s="13"/>
      <c r="M239" s="15"/>
      <c r="N239" s="14"/>
      <c r="O239" s="14"/>
      <c r="P239" s="14"/>
      <c r="Q239" s="14"/>
      <c r="R239" s="17"/>
    </row>
    <row r="240" spans="1:18">
      <c r="A240" s="2"/>
      <c r="B240" s="11" t="s">
        <v>25</v>
      </c>
      <c r="C240" s="4"/>
      <c r="D240" s="4" t="s">
        <v>648</v>
      </c>
      <c r="E240" s="4"/>
      <c r="F240" s="4"/>
      <c r="G240" s="18"/>
      <c r="H240" s="36">
        <f>15%*(H239+20%*H238)+20%*H238</f>
        <v>79532.915374999997</v>
      </c>
      <c r="I240" s="20"/>
      <c r="J240" s="4" t="s">
        <v>26</v>
      </c>
      <c r="K240" s="4"/>
      <c r="L240" s="18"/>
      <c r="M240" s="19"/>
      <c r="N240" s="4"/>
      <c r="O240" s="4"/>
      <c r="P240" s="4"/>
      <c r="Q240" s="4"/>
      <c r="R240" s="20"/>
    </row>
    <row r="241" spans="1:18">
      <c r="A241" s="23"/>
      <c r="B241" s="11" t="s">
        <v>14</v>
      </c>
      <c r="C241" s="4"/>
      <c r="D241" s="4"/>
      <c r="E241" s="4"/>
      <c r="F241" s="4"/>
      <c r="G241" s="18"/>
      <c r="H241" s="36">
        <f>SUM(H239:H240)</f>
        <v>557366.01787500002</v>
      </c>
      <c r="I241" s="20"/>
      <c r="J241" s="741"/>
      <c r="K241" s="742"/>
      <c r="L241" s="742"/>
      <c r="M241" s="742"/>
      <c r="N241" s="742"/>
      <c r="O241" s="742"/>
      <c r="P241" s="742"/>
      <c r="Q241" s="742"/>
      <c r="R241" s="743"/>
    </row>
    <row r="242" spans="1:18">
      <c r="A242" s="23"/>
      <c r="B242" s="11" t="s">
        <v>24</v>
      </c>
      <c r="C242" s="4"/>
      <c r="D242" s="4"/>
      <c r="E242" s="4"/>
      <c r="F242" s="4"/>
      <c r="G242" s="18"/>
      <c r="H242" s="36">
        <f>H241*15%</f>
        <v>83604.902681249994</v>
      </c>
      <c r="I242" s="20"/>
      <c r="J242" s="744"/>
      <c r="K242" s="745"/>
      <c r="L242" s="745"/>
      <c r="M242" s="745"/>
      <c r="N242" s="745"/>
      <c r="O242" s="745"/>
      <c r="P242" s="745"/>
      <c r="Q242" s="745"/>
      <c r="R242" s="746"/>
    </row>
    <row r="243" spans="1:18">
      <c r="A243" s="23"/>
      <c r="B243" s="11" t="s">
        <v>15</v>
      </c>
      <c r="C243" s="4"/>
      <c r="D243" s="4"/>
      <c r="E243" s="4"/>
      <c r="F243" s="4"/>
      <c r="G243" s="21" t="s">
        <v>16</v>
      </c>
      <c r="H243" s="37">
        <f>H242+H241</f>
        <v>640970.92055625003</v>
      </c>
      <c r="I243" s="38" t="str">
        <f>CONCATENATE("per ",C223, C224)</f>
        <v>per 7.5cum</v>
      </c>
      <c r="J243" s="744"/>
      <c r="K243" s="745"/>
      <c r="L243" s="745"/>
      <c r="M243" s="745"/>
      <c r="N243" s="745"/>
      <c r="O243" s="745"/>
      <c r="P243" s="745"/>
      <c r="Q243" s="745"/>
      <c r="R243" s="746"/>
    </row>
    <row r="244" spans="1:18">
      <c r="A244" s="23"/>
      <c r="B244" s="11"/>
      <c r="C244" s="4"/>
      <c r="D244" s="4"/>
      <c r="E244" s="4"/>
      <c r="F244" s="4"/>
      <c r="G244" s="21" t="s">
        <v>16</v>
      </c>
      <c r="H244" s="37">
        <f>H243/C223</f>
        <v>85462.789407500008</v>
      </c>
      <c r="I244" s="38" t="str">
        <f>CONCATENATE("per ",C224)</f>
        <v>per cum</v>
      </c>
      <c r="J244" s="744"/>
      <c r="K244" s="745"/>
      <c r="L244" s="745"/>
      <c r="M244" s="745"/>
      <c r="N244" s="745"/>
      <c r="O244" s="745"/>
      <c r="P244" s="745"/>
      <c r="Q244" s="745"/>
      <c r="R244" s="746"/>
    </row>
    <row r="245" spans="1:18">
      <c r="A245" s="23"/>
      <c r="B245" s="11" t="s">
        <v>18</v>
      </c>
      <c r="C245" s="4" t="s">
        <v>19</v>
      </c>
      <c r="D245" s="4"/>
      <c r="E245" s="4"/>
      <c r="F245" s="4"/>
      <c r="G245" s="21" t="s">
        <v>16</v>
      </c>
      <c r="H245" s="37">
        <f>CEILING(H244,0.5)</f>
        <v>85463</v>
      </c>
      <c r="I245" s="38" t="str">
        <f>CONCATENATE("per ",C224)</f>
        <v>per cum</v>
      </c>
      <c r="J245" s="744"/>
      <c r="K245" s="745"/>
      <c r="L245" s="745"/>
      <c r="M245" s="745"/>
      <c r="N245" s="745"/>
      <c r="O245" s="745"/>
      <c r="P245" s="745"/>
      <c r="Q245" s="745"/>
      <c r="R245" s="746"/>
    </row>
    <row r="246" spans="1:18">
      <c r="A246" s="23"/>
      <c r="B246" s="11"/>
      <c r="C246" s="4"/>
      <c r="D246" s="4"/>
      <c r="E246" s="4"/>
      <c r="F246" s="4"/>
      <c r="G246" s="21" t="s">
        <v>16</v>
      </c>
      <c r="H246" s="37">
        <f>H245/C223</f>
        <v>11395.066666666668</v>
      </c>
      <c r="I246" s="38" t="s">
        <v>848</v>
      </c>
      <c r="J246" s="744"/>
      <c r="K246" s="745"/>
      <c r="L246" s="745"/>
      <c r="M246" s="745"/>
      <c r="N246" s="745"/>
      <c r="O246" s="745"/>
      <c r="P246" s="745"/>
      <c r="Q246" s="745"/>
      <c r="R246" s="746"/>
    </row>
    <row r="247" spans="1:18">
      <c r="A247" s="23"/>
      <c r="B247" s="11"/>
      <c r="C247" s="4"/>
      <c r="D247" s="4"/>
      <c r="E247" s="4"/>
      <c r="F247" s="4"/>
      <c r="G247" s="24" t="s">
        <v>17</v>
      </c>
      <c r="H247" s="37">
        <f>H245/exr</f>
        <v>657.40769230769229</v>
      </c>
      <c r="I247" s="38" t="str">
        <f>CONCATENATE("per ",C224)</f>
        <v>per cum</v>
      </c>
      <c r="J247" s="747"/>
      <c r="K247" s="748"/>
      <c r="L247" s="748"/>
      <c r="M247" s="748"/>
      <c r="N247" s="748"/>
      <c r="O247" s="748"/>
      <c r="P247" s="748"/>
      <c r="Q247" s="748"/>
      <c r="R247" s="749"/>
    </row>
    <row r="248" spans="1:18">
      <c r="A248" s="39"/>
      <c r="B248" s="40"/>
      <c r="C248" s="41"/>
      <c r="D248" s="41"/>
      <c r="E248" s="41"/>
      <c r="F248" s="41"/>
      <c r="G248" s="149" t="s">
        <v>460</v>
      </c>
      <c r="H248" s="150">
        <f>CEILING(SUM(M225,M228,M229,M230,M231,M232,R224,R225,R226,R227,R228,R229,R230)/H239,0.0025)</f>
        <v>0.70000000000000007</v>
      </c>
      <c r="I248" s="42"/>
      <c r="J248" s="43"/>
      <c r="K248" s="43"/>
      <c r="L248" s="43"/>
      <c r="M248" s="43"/>
      <c r="N248" s="43"/>
      <c r="O248" s="43"/>
      <c r="P248" s="43"/>
      <c r="Q248" s="43"/>
      <c r="R248" s="44"/>
    </row>
    <row r="250" spans="1:18">
      <c r="A250" s="693" t="s">
        <v>0</v>
      </c>
      <c r="B250" s="695" t="s">
        <v>1</v>
      </c>
      <c r="C250" s="695" t="s">
        <v>2</v>
      </c>
      <c r="D250" s="697" t="s">
        <v>3</v>
      </c>
      <c r="E250" s="698"/>
      <c r="F250" s="698"/>
      <c r="G250" s="698"/>
      <c r="H250" s="698"/>
      <c r="I250" s="699" t="s">
        <v>4</v>
      </c>
      <c r="J250" s="700"/>
      <c r="K250" s="700"/>
      <c r="L250" s="700"/>
      <c r="M250" s="700"/>
      <c r="N250" s="698" t="s">
        <v>5</v>
      </c>
      <c r="O250" s="698"/>
      <c r="P250" s="698"/>
      <c r="Q250" s="698"/>
      <c r="R250" s="698"/>
    </row>
    <row r="251" spans="1:18">
      <c r="A251" s="694"/>
      <c r="B251" s="759"/>
      <c r="C251" s="696"/>
      <c r="D251" s="45" t="s">
        <v>6</v>
      </c>
      <c r="E251" s="46" t="s">
        <v>2</v>
      </c>
      <c r="F251" s="46" t="s">
        <v>7</v>
      </c>
      <c r="G251" s="46" t="s">
        <v>8</v>
      </c>
      <c r="H251" s="46" t="s">
        <v>9</v>
      </c>
      <c r="I251" s="46" t="s">
        <v>10</v>
      </c>
      <c r="J251" s="46" t="s">
        <v>2</v>
      </c>
      <c r="K251" s="46" t="s">
        <v>7</v>
      </c>
      <c r="L251" s="46" t="s">
        <v>8</v>
      </c>
      <c r="M251" s="47" t="s">
        <v>9</v>
      </c>
      <c r="N251" s="46" t="s">
        <v>10</v>
      </c>
      <c r="O251" s="46" t="s">
        <v>2</v>
      </c>
      <c r="P251" s="46" t="s">
        <v>7</v>
      </c>
      <c r="Q251" s="46" t="s">
        <v>8</v>
      </c>
      <c r="R251" s="46" t="s">
        <v>9</v>
      </c>
    </row>
    <row r="252" spans="1:18">
      <c r="A252" s="33" t="s">
        <v>23</v>
      </c>
      <c r="B252" s="127"/>
      <c r="C252" s="31"/>
      <c r="D252" s="31"/>
      <c r="E252" s="31"/>
      <c r="F252" s="31"/>
      <c r="G252" s="31"/>
      <c r="H252" s="31"/>
      <c r="I252" s="31"/>
      <c r="J252" s="31"/>
      <c r="K252" s="31"/>
      <c r="L252" s="31"/>
      <c r="M252" s="31"/>
      <c r="N252" s="31"/>
      <c r="O252" s="31"/>
      <c r="P252" s="31"/>
      <c r="Q252" s="31"/>
      <c r="R252" s="32"/>
    </row>
    <row r="253" spans="1:18">
      <c r="A253" s="34">
        <f>A223+1</f>
        <v>9</v>
      </c>
      <c r="B253" s="713" t="s">
        <v>521</v>
      </c>
      <c r="C253" s="66">
        <v>100</v>
      </c>
      <c r="D253" s="4"/>
      <c r="E253" s="6"/>
      <c r="F253" s="29"/>
      <c r="G253" s="26"/>
      <c r="H253" s="26"/>
      <c r="I253" s="6"/>
      <c r="J253" s="6"/>
      <c r="K253" s="29"/>
      <c r="L253" s="26"/>
      <c r="M253" s="26"/>
      <c r="N253" s="6"/>
      <c r="O253" s="6"/>
      <c r="P253" s="29"/>
      <c r="Q253" s="26"/>
      <c r="R253" s="26"/>
    </row>
    <row r="254" spans="1:18">
      <c r="A254" s="2"/>
      <c r="B254" s="714"/>
      <c r="C254" s="124" t="s">
        <v>127</v>
      </c>
      <c r="D254" s="4" t="s">
        <v>75</v>
      </c>
      <c r="E254" s="66" t="s">
        <v>81</v>
      </c>
      <c r="F254" s="29">
        <v>6.25E-2</v>
      </c>
      <c r="G254" s="26">
        <f>fr</f>
        <v>1100</v>
      </c>
      <c r="H254" s="26">
        <f>F254*G254</f>
        <v>68.75</v>
      </c>
      <c r="I254" s="7" t="s">
        <v>522</v>
      </c>
      <c r="J254" s="145" t="s">
        <v>127</v>
      </c>
      <c r="K254" s="29">
        <v>120</v>
      </c>
      <c r="L254" s="28">
        <f>wiremesh</f>
        <v>115.64</v>
      </c>
      <c r="M254" s="26">
        <f t="shared" ref="M254:M260" si="18">K254*L254</f>
        <v>13876.8</v>
      </c>
      <c r="N254" s="8" t="s">
        <v>496</v>
      </c>
      <c r="O254" s="66" t="s">
        <v>101</v>
      </c>
      <c r="P254" s="29">
        <v>4</v>
      </c>
      <c r="Q254" s="28">
        <f>compressor</f>
        <v>270.39999999999998</v>
      </c>
      <c r="R254" s="26">
        <f>P254*Q254</f>
        <v>1081.5999999999999</v>
      </c>
    </row>
    <row r="255" spans="1:18">
      <c r="A255" s="2"/>
      <c r="B255" s="714"/>
      <c r="C255" s="6"/>
      <c r="D255" s="4" t="s">
        <v>461</v>
      </c>
      <c r="E255" s="66" t="s">
        <v>81</v>
      </c>
      <c r="F255" s="29">
        <v>1.375</v>
      </c>
      <c r="G255" s="26">
        <f>sr</f>
        <v>1100</v>
      </c>
      <c r="H255" s="26">
        <f t="shared" ref="H255:H261" si="19">F255*G255</f>
        <v>1512.5</v>
      </c>
      <c r="I255" s="7" t="s">
        <v>472</v>
      </c>
      <c r="J255" s="145" t="s">
        <v>424</v>
      </c>
      <c r="K255" s="29">
        <v>100</v>
      </c>
      <c r="L255" s="28">
        <f>anchor_pin</f>
        <v>134.38999999999999</v>
      </c>
      <c r="M255" s="26">
        <f t="shared" si="18"/>
        <v>13438.999999999998</v>
      </c>
      <c r="N255" s="8" t="s">
        <v>497</v>
      </c>
      <c r="O255" s="66" t="s">
        <v>101</v>
      </c>
      <c r="P255" s="29">
        <v>4</v>
      </c>
      <c r="Q255" s="28">
        <f>hand_drill</f>
        <v>75.709999999999994</v>
      </c>
      <c r="R255" s="26">
        <f>P255*Q255</f>
        <v>302.83999999999997</v>
      </c>
    </row>
    <row r="256" spans="1:18">
      <c r="A256" s="2"/>
      <c r="B256" s="126"/>
      <c r="C256" s="6"/>
      <c r="D256" s="4" t="s">
        <v>89</v>
      </c>
      <c r="E256" s="66" t="s">
        <v>81</v>
      </c>
      <c r="F256" s="29">
        <v>0.5</v>
      </c>
      <c r="G256" s="26">
        <f>dr</f>
        <v>1100</v>
      </c>
      <c r="H256" s="26">
        <f t="shared" si="19"/>
        <v>550</v>
      </c>
      <c r="I256" s="7" t="s">
        <v>494</v>
      </c>
      <c r="J256" s="145" t="s">
        <v>45</v>
      </c>
      <c r="K256" s="29">
        <v>1</v>
      </c>
      <c r="L256" s="28">
        <f>Drillbit_32</f>
        <v>3709.37</v>
      </c>
      <c r="M256" s="26">
        <f t="shared" si="18"/>
        <v>3709.37</v>
      </c>
      <c r="N256" s="8" t="s">
        <v>498</v>
      </c>
      <c r="O256" s="66" t="s">
        <v>101</v>
      </c>
      <c r="P256" s="29">
        <v>4</v>
      </c>
      <c r="Q256" s="28">
        <f>fan</f>
        <v>260.67</v>
      </c>
      <c r="R256" s="26">
        <f>P256*Q256</f>
        <v>1042.68</v>
      </c>
    </row>
    <row r="257" spans="1:18">
      <c r="A257" s="2"/>
      <c r="B257" s="126"/>
      <c r="C257" s="6"/>
      <c r="D257" s="4" t="s">
        <v>462</v>
      </c>
      <c r="E257" s="66" t="s">
        <v>81</v>
      </c>
      <c r="F257" s="29">
        <v>0.5</v>
      </c>
      <c r="G257" s="26">
        <f>drh</f>
        <v>750</v>
      </c>
      <c r="H257" s="26">
        <f t="shared" si="19"/>
        <v>375</v>
      </c>
      <c r="I257" s="7" t="s">
        <v>396</v>
      </c>
      <c r="J257" s="145" t="s">
        <v>45</v>
      </c>
      <c r="K257" s="29">
        <v>0.1</v>
      </c>
      <c r="L257" s="28">
        <f>drill_rod</f>
        <v>6733.47</v>
      </c>
      <c r="M257" s="26">
        <f t="shared" si="18"/>
        <v>673.34700000000009</v>
      </c>
      <c r="N257" s="8"/>
      <c r="O257" s="66"/>
      <c r="P257" s="29"/>
      <c r="Q257" s="28"/>
      <c r="R257" s="26"/>
    </row>
    <row r="258" spans="1:18">
      <c r="A258" s="2"/>
      <c r="B258" s="126"/>
      <c r="C258" s="6"/>
      <c r="D258" s="4" t="s">
        <v>463</v>
      </c>
      <c r="E258" s="66" t="s">
        <v>81</v>
      </c>
      <c r="F258" s="29">
        <v>0.125</v>
      </c>
      <c r="G258" s="26">
        <f>mech</f>
        <v>1100</v>
      </c>
      <c r="H258" s="26">
        <f t="shared" si="19"/>
        <v>137.5</v>
      </c>
      <c r="I258" s="7" t="s">
        <v>465</v>
      </c>
      <c r="J258" s="145" t="s">
        <v>250</v>
      </c>
      <c r="K258" s="29">
        <v>0.5</v>
      </c>
      <c r="L258" s="28">
        <f>lubricant</f>
        <v>459.84</v>
      </c>
      <c r="M258" s="26">
        <f t="shared" si="18"/>
        <v>229.92</v>
      </c>
      <c r="N258" s="8"/>
      <c r="O258" s="66"/>
      <c r="P258" s="29"/>
      <c r="Q258" s="28"/>
      <c r="R258" s="26"/>
    </row>
    <row r="259" spans="1:18">
      <c r="A259" s="2"/>
      <c r="B259" s="126"/>
      <c r="C259" s="6"/>
      <c r="D259" s="4" t="s">
        <v>88</v>
      </c>
      <c r="E259" s="66" t="s">
        <v>81</v>
      </c>
      <c r="F259" s="29">
        <v>0.125</v>
      </c>
      <c r="G259" s="26">
        <f>el</f>
        <v>1100</v>
      </c>
      <c r="H259" s="26">
        <f t="shared" si="19"/>
        <v>137.5</v>
      </c>
      <c r="I259" s="7" t="s">
        <v>467</v>
      </c>
      <c r="J259" s="145" t="s">
        <v>250</v>
      </c>
      <c r="K259" s="29">
        <v>0.5</v>
      </c>
      <c r="L259" s="28">
        <f>lubricant</f>
        <v>459.84</v>
      </c>
      <c r="M259" s="26">
        <f t="shared" si="18"/>
        <v>229.92</v>
      </c>
      <c r="N259" s="8"/>
      <c r="O259" s="66"/>
      <c r="P259" s="29"/>
      <c r="Q259" s="28"/>
      <c r="R259" s="26"/>
    </row>
    <row r="260" spans="1:18">
      <c r="A260" s="2"/>
      <c r="B260" s="126"/>
      <c r="C260" s="6"/>
      <c r="D260" s="4" t="s">
        <v>486</v>
      </c>
      <c r="E260" s="66" t="s">
        <v>81</v>
      </c>
      <c r="F260" s="29">
        <v>0.5</v>
      </c>
      <c r="G260" s="26">
        <f>or</f>
        <v>1840</v>
      </c>
      <c r="H260" s="26">
        <f t="shared" si="19"/>
        <v>920</v>
      </c>
      <c r="I260" s="7" t="s">
        <v>67</v>
      </c>
      <c r="J260" s="145" t="s">
        <v>250</v>
      </c>
      <c r="K260" s="29">
        <v>60</v>
      </c>
      <c r="L260" s="28">
        <f>diesel</f>
        <v>177.6</v>
      </c>
      <c r="M260" s="26">
        <f t="shared" si="18"/>
        <v>10656</v>
      </c>
      <c r="N260" s="8"/>
      <c r="O260" s="66"/>
      <c r="P260" s="29"/>
      <c r="Q260" s="28"/>
      <c r="R260" s="26"/>
    </row>
    <row r="261" spans="1:18">
      <c r="A261" s="2"/>
      <c r="B261" s="126"/>
      <c r="C261" s="6"/>
      <c r="D261" s="4" t="s">
        <v>492</v>
      </c>
      <c r="E261" s="66" t="s">
        <v>81</v>
      </c>
      <c r="F261" s="29">
        <v>8.25</v>
      </c>
      <c r="G261" s="26">
        <f>ur</f>
        <v>850</v>
      </c>
      <c r="H261" s="26">
        <f t="shared" si="19"/>
        <v>7012.5</v>
      </c>
      <c r="I261" s="7"/>
      <c r="J261" s="145"/>
      <c r="K261" s="29"/>
      <c r="L261" s="28"/>
      <c r="M261" s="26"/>
      <c r="N261" s="8"/>
      <c r="O261" s="66"/>
      <c r="P261" s="29"/>
      <c r="Q261" s="28"/>
      <c r="R261" s="26"/>
    </row>
    <row r="262" spans="1:18">
      <c r="A262" s="2"/>
      <c r="B262" s="5"/>
      <c r="C262" s="6"/>
      <c r="D262" s="4"/>
      <c r="E262" s="9"/>
      <c r="F262" s="30"/>
      <c r="G262" s="27"/>
      <c r="H262" s="27"/>
      <c r="I262" s="9"/>
      <c r="J262" s="10"/>
      <c r="K262" s="30"/>
      <c r="L262" s="28"/>
      <c r="M262" s="28"/>
      <c r="N262" s="8"/>
      <c r="O262" s="6"/>
      <c r="P262" s="30"/>
      <c r="Q262" s="28"/>
      <c r="R262" s="28"/>
    </row>
    <row r="263" spans="1:18">
      <c r="A263" s="2"/>
      <c r="B263" s="11"/>
      <c r="C263" s="6"/>
      <c r="D263" s="12"/>
      <c r="E263" s="59"/>
      <c r="F263" s="13"/>
      <c r="G263" s="13" t="s">
        <v>20</v>
      </c>
      <c r="H263" s="25">
        <f>SUM(H253:H262)</f>
        <v>10713.75</v>
      </c>
      <c r="I263" s="703"/>
      <c r="J263" s="703"/>
      <c r="K263" s="14"/>
      <c r="L263" s="13" t="s">
        <v>21</v>
      </c>
      <c r="M263" s="25">
        <f>SUM(M253:M262)</f>
        <v>42814.356999999989</v>
      </c>
      <c r="N263" s="3"/>
      <c r="O263" s="14"/>
      <c r="P263" s="14"/>
      <c r="Q263" s="13" t="s">
        <v>22</v>
      </c>
      <c r="R263" s="25">
        <f>SUM(R253:R262)</f>
        <v>2427.12</v>
      </c>
    </row>
    <row r="264" spans="1:18">
      <c r="A264" s="2"/>
      <c r="B264" s="16" t="s">
        <v>13</v>
      </c>
      <c r="C264" s="14"/>
      <c r="D264" s="14"/>
      <c r="E264" s="14"/>
      <c r="F264" s="14"/>
      <c r="G264" s="13"/>
      <c r="H264" s="35">
        <f>M263+R263+H263</f>
        <v>55955.226999999992</v>
      </c>
      <c r="I264" s="17"/>
      <c r="J264" s="14"/>
      <c r="K264" s="14"/>
      <c r="L264" s="13"/>
      <c r="M264" s="15"/>
      <c r="N264" s="14"/>
      <c r="O264" s="14"/>
      <c r="P264" s="14"/>
      <c r="Q264" s="14"/>
      <c r="R264" s="17"/>
    </row>
    <row r="265" spans="1:18">
      <c r="A265" s="2"/>
      <c r="B265" s="11" t="s">
        <v>25</v>
      </c>
      <c r="C265" s="4" t="s">
        <v>647</v>
      </c>
      <c r="D265" s="4"/>
      <c r="E265" s="4"/>
      <c r="F265" s="4"/>
      <c r="G265" s="18"/>
      <c r="H265" s="36">
        <f>20%*(H263)</f>
        <v>2142.75</v>
      </c>
      <c r="I265" s="20"/>
      <c r="J265" s="4" t="s">
        <v>26</v>
      </c>
      <c r="K265" s="4"/>
      <c r="L265" s="18"/>
      <c r="M265" s="19"/>
      <c r="N265" s="4"/>
      <c r="O265" s="4"/>
      <c r="P265" s="4"/>
      <c r="Q265" s="4"/>
      <c r="R265" s="20"/>
    </row>
    <row r="266" spans="1:18">
      <c r="A266" s="23"/>
      <c r="B266" s="11" t="s">
        <v>14</v>
      </c>
      <c r="C266" s="4"/>
      <c r="D266" s="4"/>
      <c r="E266" s="4"/>
      <c r="F266" s="4"/>
      <c r="G266" s="18"/>
      <c r="H266" s="36">
        <f>SUM(H264:H265)</f>
        <v>58097.976999999992</v>
      </c>
      <c r="I266" s="20"/>
      <c r="J266" s="741"/>
      <c r="K266" s="742"/>
      <c r="L266" s="742"/>
      <c r="M266" s="742"/>
      <c r="N266" s="742"/>
      <c r="O266" s="742"/>
      <c r="P266" s="742"/>
      <c r="Q266" s="742"/>
      <c r="R266" s="743"/>
    </row>
    <row r="267" spans="1:18">
      <c r="A267" s="23"/>
      <c r="B267" s="11" t="s">
        <v>24</v>
      </c>
      <c r="C267" s="4"/>
      <c r="D267" s="4"/>
      <c r="E267" s="4"/>
      <c r="F267" s="4"/>
      <c r="G267" s="18"/>
      <c r="H267" s="36">
        <f>H266*15%</f>
        <v>8714.6965499999988</v>
      </c>
      <c r="I267" s="20"/>
      <c r="J267" s="744"/>
      <c r="K267" s="745"/>
      <c r="L267" s="745"/>
      <c r="M267" s="745"/>
      <c r="N267" s="745"/>
      <c r="O267" s="745"/>
      <c r="P267" s="745"/>
      <c r="Q267" s="745"/>
      <c r="R267" s="746"/>
    </row>
    <row r="268" spans="1:18">
      <c r="A268" s="23"/>
      <c r="B268" s="11" t="s">
        <v>15</v>
      </c>
      <c r="C268" s="4"/>
      <c r="D268" s="4"/>
      <c r="E268" s="4"/>
      <c r="F268" s="4"/>
      <c r="G268" s="21" t="s">
        <v>16</v>
      </c>
      <c r="H268" s="37">
        <f>H267+H266</f>
        <v>66812.673549999992</v>
      </c>
      <c r="I268" s="38" t="str">
        <f>CONCATENATE("per ",C253, C254)</f>
        <v>per 100sqm</v>
      </c>
      <c r="J268" s="744"/>
      <c r="K268" s="745"/>
      <c r="L268" s="745"/>
      <c r="M268" s="745"/>
      <c r="N268" s="745"/>
      <c r="O268" s="745"/>
      <c r="P268" s="745"/>
      <c r="Q268" s="745"/>
      <c r="R268" s="746"/>
    </row>
    <row r="269" spans="1:18">
      <c r="A269" s="23"/>
      <c r="B269" s="11"/>
      <c r="C269" s="4"/>
      <c r="D269" s="4"/>
      <c r="E269" s="4"/>
      <c r="F269" s="4"/>
      <c r="G269" s="21" t="s">
        <v>16</v>
      </c>
      <c r="H269" s="37">
        <f>H268/C253</f>
        <v>668.12673549999988</v>
      </c>
      <c r="I269" s="38" t="str">
        <f>CONCATENATE("per ",C254)</f>
        <v>per sqm</v>
      </c>
      <c r="J269" s="744"/>
      <c r="K269" s="745"/>
      <c r="L269" s="745"/>
      <c r="M269" s="745"/>
      <c r="N269" s="745"/>
      <c r="O269" s="745"/>
      <c r="P269" s="745"/>
      <c r="Q269" s="745"/>
      <c r="R269" s="746"/>
    </row>
    <row r="270" spans="1:18">
      <c r="A270" s="23"/>
      <c r="B270" s="11" t="s">
        <v>18</v>
      </c>
      <c r="C270" s="4" t="s">
        <v>19</v>
      </c>
      <c r="D270" s="4"/>
      <c r="E270" s="4"/>
      <c r="F270" s="4"/>
      <c r="G270" s="21" t="s">
        <v>16</v>
      </c>
      <c r="H270" s="37">
        <f>CEILING(H269,0.5)</f>
        <v>668.5</v>
      </c>
      <c r="I270" s="38" t="str">
        <f>CONCATENATE("per ",C254)</f>
        <v>per sqm</v>
      </c>
      <c r="J270" s="744"/>
      <c r="K270" s="745"/>
      <c r="L270" s="745"/>
      <c r="M270" s="745"/>
      <c r="N270" s="745"/>
      <c r="O270" s="745"/>
      <c r="P270" s="745"/>
      <c r="Q270" s="745"/>
      <c r="R270" s="746"/>
    </row>
    <row r="271" spans="1:18">
      <c r="A271" s="23"/>
      <c r="B271" s="11"/>
      <c r="C271" s="4"/>
      <c r="D271" s="4"/>
      <c r="E271" s="4"/>
      <c r="F271" s="4"/>
      <c r="G271" s="24" t="s">
        <v>17</v>
      </c>
      <c r="H271" s="37">
        <f>H270/exr</f>
        <v>5.1423076923076927</v>
      </c>
      <c r="I271" s="38" t="str">
        <f>CONCATENATE("per ",C254)</f>
        <v>per sqm</v>
      </c>
      <c r="J271" s="747"/>
      <c r="K271" s="748"/>
      <c r="L271" s="748"/>
      <c r="M271" s="748"/>
      <c r="N271" s="748"/>
      <c r="O271" s="748"/>
      <c r="P271" s="748"/>
      <c r="Q271" s="748"/>
      <c r="R271" s="749"/>
    </row>
    <row r="272" spans="1:18">
      <c r="A272" s="39"/>
      <c r="B272" s="40"/>
      <c r="C272" s="41"/>
      <c r="D272" s="41"/>
      <c r="E272" s="41"/>
      <c r="F272" s="41"/>
      <c r="G272" s="149" t="s">
        <v>460</v>
      </c>
      <c r="H272" s="150">
        <f>CEILING(SUM(M263,R263)/H264,0.0025)</f>
        <v>0.81</v>
      </c>
      <c r="I272" s="42"/>
      <c r="J272" s="43"/>
      <c r="K272" s="43"/>
      <c r="L272" s="43"/>
      <c r="M272" s="43"/>
      <c r="N272" s="43"/>
      <c r="O272" s="43"/>
      <c r="P272" s="43"/>
      <c r="Q272" s="43"/>
      <c r="R272" s="44"/>
    </row>
    <row r="274" spans="1:18">
      <c r="A274" s="693" t="s">
        <v>0</v>
      </c>
      <c r="B274" s="695" t="s">
        <v>1</v>
      </c>
      <c r="C274" s="695" t="s">
        <v>2</v>
      </c>
      <c r="D274" s="697" t="s">
        <v>3</v>
      </c>
      <c r="E274" s="698"/>
      <c r="F274" s="698"/>
      <c r="G274" s="698"/>
      <c r="H274" s="698"/>
      <c r="I274" s="699" t="s">
        <v>4</v>
      </c>
      <c r="J274" s="700"/>
      <c r="K274" s="700"/>
      <c r="L274" s="700"/>
      <c r="M274" s="700"/>
      <c r="N274" s="698" t="s">
        <v>5</v>
      </c>
      <c r="O274" s="698"/>
      <c r="P274" s="698"/>
      <c r="Q274" s="698"/>
      <c r="R274" s="698"/>
    </row>
    <row r="275" spans="1:18">
      <c r="A275" s="694"/>
      <c r="B275" s="759"/>
      <c r="C275" s="696"/>
      <c r="D275" s="45" t="s">
        <v>6</v>
      </c>
      <c r="E275" s="46" t="s">
        <v>2</v>
      </c>
      <c r="F275" s="46" t="s">
        <v>7</v>
      </c>
      <c r="G275" s="46" t="s">
        <v>8</v>
      </c>
      <c r="H275" s="46" t="s">
        <v>9</v>
      </c>
      <c r="I275" s="46" t="s">
        <v>10</v>
      </c>
      <c r="J275" s="46" t="s">
        <v>2</v>
      </c>
      <c r="K275" s="46" t="s">
        <v>7</v>
      </c>
      <c r="L275" s="46" t="s">
        <v>8</v>
      </c>
      <c r="M275" s="47" t="s">
        <v>9</v>
      </c>
      <c r="N275" s="46" t="s">
        <v>10</v>
      </c>
      <c r="O275" s="46" t="s">
        <v>2</v>
      </c>
      <c r="P275" s="46" t="s">
        <v>7</v>
      </c>
      <c r="Q275" s="46" t="s">
        <v>8</v>
      </c>
      <c r="R275" s="46" t="s">
        <v>9</v>
      </c>
    </row>
    <row r="276" spans="1:18">
      <c r="A276" s="33" t="s">
        <v>23</v>
      </c>
      <c r="B276" s="127"/>
      <c r="C276" s="31"/>
      <c r="D276" s="31"/>
      <c r="E276" s="31"/>
      <c r="F276" s="31"/>
      <c r="G276" s="31"/>
      <c r="H276" s="31"/>
      <c r="I276" s="31"/>
      <c r="J276" s="31"/>
      <c r="K276" s="31"/>
      <c r="L276" s="31"/>
      <c r="M276" s="31"/>
      <c r="N276" s="31"/>
      <c r="O276" s="31"/>
      <c r="P276" s="31"/>
      <c r="Q276" s="31"/>
      <c r="R276" s="32"/>
    </row>
    <row r="277" spans="1:18">
      <c r="A277" s="34">
        <f>A253+1</f>
        <v>10</v>
      </c>
      <c r="B277" s="713" t="s">
        <v>646</v>
      </c>
      <c r="C277" s="66" t="s">
        <v>138</v>
      </c>
      <c r="D277" s="4"/>
      <c r="E277" s="6"/>
      <c r="F277" s="29"/>
      <c r="G277" s="26"/>
      <c r="H277" s="26"/>
      <c r="I277" s="6"/>
      <c r="J277" s="6"/>
      <c r="K277" s="29"/>
      <c r="L277" s="26"/>
      <c r="M277" s="26"/>
      <c r="N277" s="6"/>
      <c r="O277" s="6"/>
      <c r="P277" s="29"/>
      <c r="Q277" s="26"/>
      <c r="R277" s="26"/>
    </row>
    <row r="278" spans="1:18">
      <c r="A278" s="2"/>
      <c r="B278" s="714"/>
      <c r="C278" s="124"/>
      <c r="D278" s="4" t="s">
        <v>75</v>
      </c>
      <c r="E278" s="66" t="s">
        <v>81</v>
      </c>
      <c r="F278" s="29">
        <f>0.5/16</f>
        <v>3.125E-2</v>
      </c>
      <c r="G278" s="26">
        <f>fr</f>
        <v>1100</v>
      </c>
      <c r="H278" s="26">
        <f>F278*G278</f>
        <v>34.375</v>
      </c>
      <c r="I278" s="7" t="s">
        <v>67</v>
      </c>
      <c r="J278" s="145" t="s">
        <v>250</v>
      </c>
      <c r="K278" s="29">
        <v>1.7</v>
      </c>
      <c r="L278" s="28">
        <f>diesel</f>
        <v>177.6</v>
      </c>
      <c r="M278" s="26">
        <f>K278*L278</f>
        <v>301.91999999999996</v>
      </c>
      <c r="N278" s="8" t="s">
        <v>655</v>
      </c>
      <c r="O278" s="66" t="s">
        <v>101</v>
      </c>
      <c r="P278" s="29">
        <v>0.125</v>
      </c>
      <c r="Q278" s="28">
        <f>compressor</f>
        <v>270.39999999999998</v>
      </c>
      <c r="R278" s="26">
        <f t="shared" ref="R278:R283" si="20">P278*Q278</f>
        <v>33.799999999999997</v>
      </c>
    </row>
    <row r="279" spans="1:18">
      <c r="A279" s="2"/>
      <c r="B279" s="714"/>
      <c r="C279" s="6"/>
      <c r="D279" s="4" t="s">
        <v>89</v>
      </c>
      <c r="E279" s="66" t="s">
        <v>81</v>
      </c>
      <c r="F279" s="29">
        <f>0.75/16</f>
        <v>4.6875E-2</v>
      </c>
      <c r="G279" s="26">
        <f>dr</f>
        <v>1100</v>
      </c>
      <c r="H279" s="26">
        <f>F279*G279</f>
        <v>51.5625</v>
      </c>
      <c r="I279" s="7" t="s">
        <v>649</v>
      </c>
      <c r="J279" s="145" t="s">
        <v>12</v>
      </c>
      <c r="K279" s="29"/>
      <c r="L279" s="28"/>
      <c r="M279" s="154">
        <v>20</v>
      </c>
      <c r="N279" s="8" t="s">
        <v>656</v>
      </c>
      <c r="O279" s="66" t="s">
        <v>101</v>
      </c>
      <c r="P279" s="29">
        <v>0.125</v>
      </c>
      <c r="Q279" s="216">
        <f>jack_hammer</f>
        <v>162.24</v>
      </c>
      <c r="R279" s="26">
        <f t="shared" si="20"/>
        <v>20.28</v>
      </c>
    </row>
    <row r="280" spans="1:18">
      <c r="A280" s="2"/>
      <c r="B280" s="126"/>
      <c r="C280" s="6"/>
      <c r="D280" s="4" t="s">
        <v>462</v>
      </c>
      <c r="E280" s="66" t="s">
        <v>81</v>
      </c>
      <c r="F280" s="29">
        <f>1.2/16</f>
        <v>7.4999999999999997E-2</v>
      </c>
      <c r="G280" s="26">
        <f>drh</f>
        <v>750</v>
      </c>
      <c r="H280" s="26">
        <f>F280*G280</f>
        <v>56.25</v>
      </c>
      <c r="I280" s="7" t="s">
        <v>494</v>
      </c>
      <c r="J280" s="145" t="s">
        <v>45</v>
      </c>
      <c r="K280" s="29">
        <v>0.06</v>
      </c>
      <c r="L280" s="28">
        <f>Drillbit_32</f>
        <v>3709.37</v>
      </c>
      <c r="M280" s="26">
        <f t="shared" ref="M280:M286" si="21">K280*L280</f>
        <v>222.56219999999999</v>
      </c>
      <c r="N280" s="8" t="s">
        <v>657</v>
      </c>
      <c r="O280" s="66" t="s">
        <v>12</v>
      </c>
      <c r="P280" s="29"/>
      <c r="Q280" s="28"/>
      <c r="R280" s="154">
        <v>50</v>
      </c>
    </row>
    <row r="281" spans="1:18">
      <c r="A281" s="2"/>
      <c r="B281" s="126"/>
      <c r="C281" s="6"/>
      <c r="D281" s="4"/>
      <c r="E281" s="66"/>
      <c r="F281" s="29"/>
      <c r="G281" s="26"/>
      <c r="H281" s="26"/>
      <c r="I281" s="7" t="s">
        <v>654</v>
      </c>
      <c r="J281" s="145" t="s">
        <v>47</v>
      </c>
      <c r="K281" s="29">
        <v>1</v>
      </c>
      <c r="L281" s="28">
        <f>rockbolt_20</f>
        <v>317.26</v>
      </c>
      <c r="M281" s="26">
        <f t="shared" si="21"/>
        <v>317.26</v>
      </c>
      <c r="N281" s="8" t="s">
        <v>658</v>
      </c>
      <c r="O281" s="66" t="s">
        <v>12</v>
      </c>
      <c r="P281" s="29"/>
      <c r="Q281" s="28"/>
      <c r="R281" s="154">
        <f>10%*R280</f>
        <v>5</v>
      </c>
    </row>
    <row r="282" spans="1:18">
      <c r="A282" s="2"/>
      <c r="B282" s="126"/>
      <c r="C282" s="6"/>
      <c r="D282" s="4"/>
      <c r="E282" s="66"/>
      <c r="F282" s="29"/>
      <c r="G282" s="26"/>
      <c r="H282" s="26"/>
      <c r="I282" s="7" t="s">
        <v>650</v>
      </c>
      <c r="J282" s="145" t="s">
        <v>45</v>
      </c>
      <c r="K282" s="29">
        <v>1</v>
      </c>
      <c r="L282" s="154">
        <v>40</v>
      </c>
      <c r="M282" s="26">
        <f t="shared" si="21"/>
        <v>40</v>
      </c>
      <c r="N282" s="8" t="s">
        <v>659</v>
      </c>
      <c r="O282" s="66" t="s">
        <v>101</v>
      </c>
      <c r="P282" s="29">
        <v>0.125</v>
      </c>
      <c r="Q282" s="28">
        <f>grout_pump</f>
        <v>540.79999999999995</v>
      </c>
      <c r="R282" s="26">
        <f t="shared" si="20"/>
        <v>67.599999999999994</v>
      </c>
    </row>
    <row r="283" spans="1:18">
      <c r="A283" s="2"/>
      <c r="B283" s="126"/>
      <c r="C283" s="6"/>
      <c r="D283" s="4"/>
      <c r="E283" s="66"/>
      <c r="F283" s="29"/>
      <c r="G283" s="26"/>
      <c r="H283" s="26"/>
      <c r="I283" s="7" t="s">
        <v>651</v>
      </c>
      <c r="J283" s="145" t="s">
        <v>45</v>
      </c>
      <c r="K283" s="29">
        <v>1</v>
      </c>
      <c r="L283" s="28">
        <f>bearing_plate</f>
        <v>1434.19</v>
      </c>
      <c r="M283" s="26">
        <f t="shared" si="21"/>
        <v>1434.19</v>
      </c>
      <c r="N283" s="8" t="s">
        <v>660</v>
      </c>
      <c r="O283" s="66" t="s">
        <v>101</v>
      </c>
      <c r="P283" s="29">
        <v>0.06</v>
      </c>
      <c r="Q283" s="28">
        <f>fan</f>
        <v>260.67</v>
      </c>
      <c r="R283" s="26">
        <f t="shared" si="20"/>
        <v>15.6402</v>
      </c>
    </row>
    <row r="284" spans="1:18">
      <c r="A284" s="2"/>
      <c r="B284" s="126"/>
      <c r="C284" s="6"/>
      <c r="D284" s="4"/>
      <c r="E284" s="66"/>
      <c r="F284" s="29"/>
      <c r="G284" s="26"/>
      <c r="H284" s="26"/>
      <c r="I284" s="7" t="s">
        <v>31</v>
      </c>
      <c r="J284" s="145" t="s">
        <v>28</v>
      </c>
      <c r="K284" s="29">
        <f>((PI()/4*((0.025)^2-(0.02)^2)*1)*1440)*2</f>
        <v>0.50893800988154669</v>
      </c>
      <c r="L284" s="28">
        <f>cement/1000</f>
        <v>24.049689999999998</v>
      </c>
      <c r="M284" s="26">
        <f t="shared" si="21"/>
        <v>12.239801366868134</v>
      </c>
      <c r="N284" s="8" t="s">
        <v>661</v>
      </c>
      <c r="O284" s="66" t="s">
        <v>12</v>
      </c>
      <c r="P284" s="29"/>
      <c r="Q284" s="28"/>
      <c r="R284" s="154">
        <v>15</v>
      </c>
    </row>
    <row r="285" spans="1:18">
      <c r="A285" s="2"/>
      <c r="B285" s="126"/>
      <c r="C285" s="6"/>
      <c r="D285" s="4"/>
      <c r="E285" s="66"/>
      <c r="F285" s="29"/>
      <c r="G285" s="26"/>
      <c r="H285" s="26"/>
      <c r="I285" s="7" t="s">
        <v>652</v>
      </c>
      <c r="J285" s="145" t="s">
        <v>28</v>
      </c>
      <c r="K285" s="29">
        <f>0.005%*K284</f>
        <v>2.5446900494077336E-5</v>
      </c>
      <c r="L285" s="154">
        <v>500</v>
      </c>
      <c r="M285" s="26">
        <f t="shared" si="21"/>
        <v>1.2723450247038668E-2</v>
      </c>
      <c r="N285" s="8"/>
      <c r="O285" s="66"/>
      <c r="P285" s="29"/>
      <c r="Q285" s="28"/>
      <c r="R285" s="26"/>
    </row>
    <row r="286" spans="1:18">
      <c r="A286" s="2"/>
      <c r="B286" s="126"/>
      <c r="C286" s="6"/>
      <c r="D286" s="4"/>
      <c r="E286" s="66"/>
      <c r="F286" s="29"/>
      <c r="G286" s="26"/>
      <c r="H286" s="26"/>
      <c r="I286" s="7" t="s">
        <v>653</v>
      </c>
      <c r="J286" s="145" t="s">
        <v>11</v>
      </c>
      <c r="K286" s="29">
        <f>K284/1500</f>
        <v>3.3929200658769777E-4</v>
      </c>
      <c r="L286" s="28">
        <f>sand</f>
        <v>1050</v>
      </c>
      <c r="M286" s="26">
        <f t="shared" si="21"/>
        <v>0.35625660691708266</v>
      </c>
      <c r="N286" s="8"/>
      <c r="O286" s="66"/>
      <c r="P286" s="29"/>
      <c r="Q286" s="28"/>
      <c r="R286" s="26"/>
    </row>
    <row r="287" spans="1:18">
      <c r="A287" s="2"/>
      <c r="B287" s="126"/>
      <c r="C287" s="6"/>
      <c r="D287" s="4"/>
      <c r="E287" s="66"/>
      <c r="F287" s="29"/>
      <c r="G287" s="26"/>
      <c r="H287" s="26"/>
      <c r="I287" s="7"/>
      <c r="J287" s="145"/>
      <c r="K287" s="29"/>
      <c r="L287" s="28"/>
      <c r="M287" s="26"/>
      <c r="N287" s="8"/>
      <c r="O287" s="66"/>
      <c r="P287" s="29"/>
      <c r="Q287" s="28"/>
      <c r="R287" s="26"/>
    </row>
    <row r="288" spans="1:18">
      <c r="A288" s="2"/>
      <c r="B288" s="5"/>
      <c r="C288" s="6"/>
      <c r="D288" s="4"/>
      <c r="E288" s="9"/>
      <c r="F288" s="30"/>
      <c r="G288" s="27"/>
      <c r="H288" s="27"/>
      <c r="I288" s="9"/>
      <c r="J288" s="10"/>
      <c r="K288" s="30"/>
      <c r="L288" s="28"/>
      <c r="M288" s="28"/>
      <c r="N288" s="8"/>
      <c r="O288" s="6"/>
      <c r="P288" s="30"/>
      <c r="Q288" s="28"/>
      <c r="R288" s="28"/>
    </row>
    <row r="289" spans="1:18">
      <c r="A289" s="2"/>
      <c r="B289" s="11"/>
      <c r="C289" s="6"/>
      <c r="D289" s="12"/>
      <c r="E289" s="59"/>
      <c r="F289" s="13"/>
      <c r="G289" s="13" t="s">
        <v>20</v>
      </c>
      <c r="H289" s="25">
        <f>SUM(H277:H288)</f>
        <v>142.1875</v>
      </c>
      <c r="I289" s="703"/>
      <c r="J289" s="703"/>
      <c r="K289" s="14"/>
      <c r="L289" s="13" t="s">
        <v>21</v>
      </c>
      <c r="M289" s="25">
        <f>SUM(M277:M288)</f>
        <v>2348.5409814240325</v>
      </c>
      <c r="N289" s="3"/>
      <c r="O289" s="14"/>
      <c r="P289" s="14"/>
      <c r="Q289" s="13" t="s">
        <v>22</v>
      </c>
      <c r="R289" s="25">
        <f>SUM(R277:R288)</f>
        <v>207.3202</v>
      </c>
    </row>
    <row r="290" spans="1:18">
      <c r="A290" s="2"/>
      <c r="B290" s="16" t="s">
        <v>13</v>
      </c>
      <c r="C290" s="14"/>
      <c r="D290" s="14"/>
      <c r="E290" s="14"/>
      <c r="F290" s="14"/>
      <c r="G290" s="13"/>
      <c r="H290" s="35">
        <f>M289+R289+H289</f>
        <v>2698.0486814240326</v>
      </c>
      <c r="I290" s="17"/>
      <c r="J290" s="14"/>
      <c r="K290" s="14"/>
      <c r="L290" s="13"/>
      <c r="M290" s="15"/>
      <c r="N290" s="14"/>
      <c r="O290" s="14"/>
      <c r="P290" s="14"/>
      <c r="Q290" s="14"/>
      <c r="R290" s="17"/>
    </row>
    <row r="291" spans="1:18">
      <c r="A291" s="2"/>
      <c r="B291" s="11" t="s">
        <v>25</v>
      </c>
      <c r="C291" s="4" t="s">
        <v>647</v>
      </c>
      <c r="D291" s="4"/>
      <c r="E291" s="4"/>
      <c r="F291" s="4"/>
      <c r="G291" s="18"/>
      <c r="H291" s="36">
        <f>20%*(H289)</f>
        <v>28.4375</v>
      </c>
      <c r="I291" s="20"/>
      <c r="J291" s="4" t="s">
        <v>26</v>
      </c>
      <c r="K291" s="4"/>
      <c r="L291" s="18"/>
      <c r="M291" s="19"/>
      <c r="N291" s="4"/>
      <c r="O291" s="4"/>
      <c r="P291" s="4"/>
      <c r="Q291" s="4"/>
      <c r="R291" s="20"/>
    </row>
    <row r="292" spans="1:18">
      <c r="A292" s="23"/>
      <c r="B292" s="11" t="s">
        <v>14</v>
      </c>
      <c r="C292" s="4"/>
      <c r="D292" s="4"/>
      <c r="E292" s="4"/>
      <c r="F292" s="4"/>
      <c r="G292" s="18"/>
      <c r="H292" s="36">
        <f>SUM(H290:H291)</f>
        <v>2726.4861814240326</v>
      </c>
      <c r="I292" s="20"/>
      <c r="J292" s="741"/>
      <c r="K292" s="742"/>
      <c r="L292" s="742"/>
      <c r="M292" s="742"/>
      <c r="N292" s="742"/>
      <c r="O292" s="742"/>
      <c r="P292" s="742"/>
      <c r="Q292" s="742"/>
      <c r="R292" s="743"/>
    </row>
    <row r="293" spans="1:18">
      <c r="A293" s="23"/>
      <c r="B293" s="11" t="s">
        <v>24</v>
      </c>
      <c r="C293" s="4"/>
      <c r="D293" s="4"/>
      <c r="E293" s="4"/>
      <c r="F293" s="4"/>
      <c r="G293" s="18"/>
      <c r="H293" s="36">
        <f>H292*15%</f>
        <v>408.97292721360486</v>
      </c>
      <c r="I293" s="20"/>
      <c r="J293" s="744"/>
      <c r="K293" s="745"/>
      <c r="L293" s="745"/>
      <c r="M293" s="745"/>
      <c r="N293" s="745"/>
      <c r="O293" s="745"/>
      <c r="P293" s="745"/>
      <c r="Q293" s="745"/>
      <c r="R293" s="746"/>
    </row>
    <row r="294" spans="1:18">
      <c r="A294" s="23"/>
      <c r="B294" s="11" t="s">
        <v>15</v>
      </c>
      <c r="C294" s="4"/>
      <c r="D294" s="4"/>
      <c r="E294" s="4"/>
      <c r="F294" s="4"/>
      <c r="G294" s="21" t="s">
        <v>16</v>
      </c>
      <c r="H294" s="37">
        <f>H293+H292</f>
        <v>3135.4591086376377</v>
      </c>
      <c r="I294" s="38" t="str">
        <f>CONCATENATE("per ",C277)</f>
        <v>per nos.</v>
      </c>
      <c r="J294" s="744"/>
      <c r="K294" s="745"/>
      <c r="L294" s="745"/>
      <c r="M294" s="745"/>
      <c r="N294" s="745"/>
      <c r="O294" s="745"/>
      <c r="P294" s="745"/>
      <c r="Q294" s="745"/>
      <c r="R294" s="746"/>
    </row>
    <row r="295" spans="1:18">
      <c r="A295" s="23"/>
      <c r="B295" s="11" t="s">
        <v>18</v>
      </c>
      <c r="C295" s="4" t="s">
        <v>19</v>
      </c>
      <c r="D295" s="4"/>
      <c r="E295" s="4"/>
      <c r="F295" s="4"/>
      <c r="G295" s="21" t="s">
        <v>16</v>
      </c>
      <c r="H295" s="37">
        <f>CEILING(H294,0.5)</f>
        <v>3135.5</v>
      </c>
      <c r="I295" s="38" t="str">
        <f>CONCATENATE("per ",C277)</f>
        <v>per nos.</v>
      </c>
      <c r="J295" s="744"/>
      <c r="K295" s="745"/>
      <c r="L295" s="745"/>
      <c r="M295" s="745"/>
      <c r="N295" s="745"/>
      <c r="O295" s="745"/>
      <c r="P295" s="745"/>
      <c r="Q295" s="745"/>
      <c r="R295" s="746"/>
    </row>
    <row r="296" spans="1:18">
      <c r="A296" s="23"/>
      <c r="B296" s="11"/>
      <c r="C296" s="4"/>
      <c r="D296" s="4"/>
      <c r="E296" s="4"/>
      <c r="F296" s="4"/>
      <c r="G296" s="24" t="s">
        <v>17</v>
      </c>
      <c r="H296" s="37">
        <f>H295/exr</f>
        <v>24.119230769230768</v>
      </c>
      <c r="I296" s="38" t="str">
        <f>CONCATENATE("per ",C277)</f>
        <v>per nos.</v>
      </c>
      <c r="J296" s="747"/>
      <c r="K296" s="748"/>
      <c r="L296" s="748"/>
      <c r="M296" s="748"/>
      <c r="N296" s="748"/>
      <c r="O296" s="748"/>
      <c r="P296" s="748"/>
      <c r="Q296" s="748"/>
      <c r="R296" s="749"/>
    </row>
    <row r="297" spans="1:18">
      <c r="A297" s="39"/>
      <c r="B297" s="40"/>
      <c r="C297" s="41"/>
      <c r="D297" s="41"/>
      <c r="E297" s="41"/>
      <c r="F297" s="41"/>
      <c r="G297" s="149" t="s">
        <v>460</v>
      </c>
      <c r="H297" s="150">
        <f>CEILING(SUM(M278,M279,M280,M281,M282,M283,M285,R289)/H290,0.0025)</f>
        <v>0.94500000000000006</v>
      </c>
      <c r="I297" s="42"/>
      <c r="J297" s="43"/>
      <c r="K297" s="43"/>
      <c r="L297" s="43"/>
      <c r="M297" s="43"/>
      <c r="N297" s="43"/>
      <c r="O297" s="43"/>
      <c r="P297" s="43"/>
      <c r="Q297" s="43"/>
      <c r="R297" s="44"/>
    </row>
    <row r="299" spans="1:18">
      <c r="A299" s="693" t="s">
        <v>0</v>
      </c>
      <c r="B299" s="695" t="s">
        <v>1</v>
      </c>
      <c r="C299" s="695" t="s">
        <v>2</v>
      </c>
      <c r="D299" s="697" t="s">
        <v>3</v>
      </c>
      <c r="E299" s="698"/>
      <c r="F299" s="698"/>
      <c r="G299" s="698"/>
      <c r="H299" s="698"/>
      <c r="I299" s="699" t="s">
        <v>4</v>
      </c>
      <c r="J299" s="700"/>
      <c r="K299" s="700"/>
      <c r="L299" s="700"/>
      <c r="M299" s="700"/>
      <c r="N299" s="698" t="s">
        <v>5</v>
      </c>
      <c r="O299" s="698"/>
      <c r="P299" s="698"/>
      <c r="Q299" s="698"/>
      <c r="R299" s="698"/>
    </row>
    <row r="300" spans="1:18">
      <c r="A300" s="694"/>
      <c r="B300" s="759"/>
      <c r="C300" s="696"/>
      <c r="D300" s="45" t="s">
        <v>6</v>
      </c>
      <c r="E300" s="46" t="s">
        <v>2</v>
      </c>
      <c r="F300" s="46" t="s">
        <v>7</v>
      </c>
      <c r="G300" s="46" t="s">
        <v>8</v>
      </c>
      <c r="H300" s="46" t="s">
        <v>9</v>
      </c>
      <c r="I300" s="46" t="s">
        <v>10</v>
      </c>
      <c r="J300" s="46" t="s">
        <v>2</v>
      </c>
      <c r="K300" s="46" t="s">
        <v>7</v>
      </c>
      <c r="L300" s="46" t="s">
        <v>8</v>
      </c>
      <c r="M300" s="47" t="s">
        <v>9</v>
      </c>
      <c r="N300" s="46" t="s">
        <v>10</v>
      </c>
      <c r="O300" s="46" t="s">
        <v>2</v>
      </c>
      <c r="P300" s="46" t="s">
        <v>7</v>
      </c>
      <c r="Q300" s="46" t="s">
        <v>8</v>
      </c>
      <c r="R300" s="46" t="s">
        <v>9</v>
      </c>
    </row>
    <row r="301" spans="1:18">
      <c r="A301" s="33" t="s">
        <v>23</v>
      </c>
      <c r="B301" s="127"/>
      <c r="C301" s="31"/>
      <c r="D301" s="31"/>
      <c r="E301" s="31"/>
      <c r="F301" s="31"/>
      <c r="G301" s="31"/>
      <c r="H301" s="31"/>
      <c r="I301" s="31"/>
      <c r="J301" s="31"/>
      <c r="K301" s="31"/>
      <c r="L301" s="31"/>
      <c r="M301" s="31"/>
      <c r="N301" s="31"/>
      <c r="O301" s="31"/>
      <c r="P301" s="31"/>
      <c r="Q301" s="31"/>
      <c r="R301" s="32"/>
    </row>
    <row r="302" spans="1:18">
      <c r="A302" s="34">
        <f>A277+1</f>
        <v>11</v>
      </c>
      <c r="B302" s="713" t="s">
        <v>983</v>
      </c>
      <c r="C302" s="66" t="s">
        <v>138</v>
      </c>
      <c r="D302" s="4"/>
      <c r="E302" s="6"/>
      <c r="F302" s="29"/>
      <c r="G302" s="26"/>
      <c r="H302" s="26"/>
      <c r="I302" s="6"/>
      <c r="J302" s="6"/>
      <c r="K302" s="29"/>
      <c r="L302" s="26"/>
      <c r="M302" s="26"/>
      <c r="N302" s="6"/>
      <c r="O302" s="6"/>
      <c r="P302" s="29"/>
      <c r="Q302" s="26"/>
      <c r="R302" s="26"/>
    </row>
    <row r="303" spans="1:18">
      <c r="A303" s="2"/>
      <c r="B303" s="714"/>
      <c r="C303" s="124"/>
      <c r="D303" s="4" t="s">
        <v>75</v>
      </c>
      <c r="E303" s="66" t="s">
        <v>81</v>
      </c>
      <c r="F303" s="29">
        <f>F278*2</f>
        <v>6.25E-2</v>
      </c>
      <c r="G303" s="26">
        <f>fr</f>
        <v>1100</v>
      </c>
      <c r="H303" s="26">
        <f>F303*G303</f>
        <v>68.75</v>
      </c>
      <c r="I303" s="7" t="s">
        <v>67</v>
      </c>
      <c r="J303" s="145" t="s">
        <v>250</v>
      </c>
      <c r="K303" s="29">
        <f>K278*2</f>
        <v>3.4</v>
      </c>
      <c r="L303" s="28">
        <f>diesel</f>
        <v>177.6</v>
      </c>
      <c r="M303" s="26">
        <f>K303*L303</f>
        <v>603.83999999999992</v>
      </c>
      <c r="N303" s="8" t="s">
        <v>655</v>
      </c>
      <c r="O303" s="66" t="s">
        <v>101</v>
      </c>
      <c r="P303" s="29">
        <f>P278*2</f>
        <v>0.25</v>
      </c>
      <c r="Q303" s="28">
        <f>compressor</f>
        <v>270.39999999999998</v>
      </c>
      <c r="R303" s="26">
        <f>P303*Q303</f>
        <v>67.599999999999994</v>
      </c>
    </row>
    <row r="304" spans="1:18">
      <c r="A304" s="2"/>
      <c r="B304" s="714"/>
      <c r="C304" s="6"/>
      <c r="D304" s="4" t="s">
        <v>89</v>
      </c>
      <c r="E304" s="66" t="s">
        <v>81</v>
      </c>
      <c r="F304" s="29">
        <f>F279*2</f>
        <v>9.375E-2</v>
      </c>
      <c r="G304" s="26">
        <f>dr</f>
        <v>1100</v>
      </c>
      <c r="H304" s="26">
        <f>F304*G304</f>
        <v>103.125</v>
      </c>
      <c r="I304" s="7" t="s">
        <v>649</v>
      </c>
      <c r="J304" s="145" t="s">
        <v>12</v>
      </c>
      <c r="K304" s="29"/>
      <c r="L304" s="28"/>
      <c r="M304" s="154">
        <v>30</v>
      </c>
      <c r="N304" s="8" t="s">
        <v>656</v>
      </c>
      <c r="O304" s="66" t="s">
        <v>101</v>
      </c>
      <c r="P304" s="29">
        <f>P279*2</f>
        <v>0.25</v>
      </c>
      <c r="Q304" s="216">
        <f>jack_hammer</f>
        <v>162.24</v>
      </c>
      <c r="R304" s="26">
        <f>P304*Q304</f>
        <v>40.56</v>
      </c>
    </row>
    <row r="305" spans="1:18">
      <c r="A305" s="2"/>
      <c r="B305" s="126"/>
      <c r="C305" s="6"/>
      <c r="D305" s="4" t="s">
        <v>462</v>
      </c>
      <c r="E305" s="66" t="s">
        <v>81</v>
      </c>
      <c r="F305" s="29">
        <f>F280*2</f>
        <v>0.15</v>
      </c>
      <c r="G305" s="26">
        <f>drh</f>
        <v>750</v>
      </c>
      <c r="H305" s="26">
        <f>F305*G305</f>
        <v>112.5</v>
      </c>
      <c r="I305" s="7" t="s">
        <v>494</v>
      </c>
      <c r="J305" s="145" t="s">
        <v>45</v>
      </c>
      <c r="K305" s="29">
        <f>K280*2</f>
        <v>0.12</v>
      </c>
      <c r="L305" s="28">
        <f>Drillbit_32</f>
        <v>3709.37</v>
      </c>
      <c r="M305" s="26">
        <f t="shared" ref="M305:M311" si="22">K305*L305</f>
        <v>445.12439999999998</v>
      </c>
      <c r="N305" s="8" t="s">
        <v>657</v>
      </c>
      <c r="O305" s="66" t="s">
        <v>12</v>
      </c>
      <c r="P305" s="29"/>
      <c r="Q305" s="28"/>
      <c r="R305" s="154">
        <v>50</v>
      </c>
    </row>
    <row r="306" spans="1:18">
      <c r="A306" s="2"/>
      <c r="B306" s="126"/>
      <c r="C306" s="6"/>
      <c r="D306" s="4"/>
      <c r="E306" s="66"/>
      <c r="F306" s="29"/>
      <c r="G306" s="26"/>
      <c r="H306" s="26"/>
      <c r="I306" s="7" t="s">
        <v>654</v>
      </c>
      <c r="J306" s="145" t="s">
        <v>47</v>
      </c>
      <c r="K306" s="29">
        <v>2.2000000000000002</v>
      </c>
      <c r="L306" s="28">
        <f>rockbolt_20</f>
        <v>317.26</v>
      </c>
      <c r="M306" s="26">
        <f t="shared" si="22"/>
        <v>697.97199999999998</v>
      </c>
      <c r="N306" s="8" t="s">
        <v>658</v>
      </c>
      <c r="O306" s="66" t="s">
        <v>12</v>
      </c>
      <c r="P306" s="29"/>
      <c r="Q306" s="28"/>
      <c r="R306" s="154">
        <f>10%*R305</f>
        <v>5</v>
      </c>
    </row>
    <row r="307" spans="1:18">
      <c r="A307" s="2"/>
      <c r="B307" s="126"/>
      <c r="C307" s="6"/>
      <c r="D307" s="4"/>
      <c r="E307" s="66"/>
      <c r="F307" s="29"/>
      <c r="G307" s="26"/>
      <c r="H307" s="26"/>
      <c r="I307" s="7" t="s">
        <v>650</v>
      </c>
      <c r="J307" s="145" t="s">
        <v>45</v>
      </c>
      <c r="K307" s="29">
        <v>1</v>
      </c>
      <c r="L307" s="154">
        <v>40</v>
      </c>
      <c r="M307" s="26">
        <f t="shared" si="22"/>
        <v>40</v>
      </c>
      <c r="N307" s="8" t="s">
        <v>659</v>
      </c>
      <c r="O307" s="66" t="s">
        <v>101</v>
      </c>
      <c r="P307" s="29">
        <f>P282*2</f>
        <v>0.25</v>
      </c>
      <c r="Q307" s="28">
        <f>grout_pump</f>
        <v>540.79999999999995</v>
      </c>
      <c r="R307" s="26">
        <f>P307*Q307</f>
        <v>135.19999999999999</v>
      </c>
    </row>
    <row r="308" spans="1:18">
      <c r="A308" s="2"/>
      <c r="B308" s="126"/>
      <c r="C308" s="6"/>
      <c r="D308" s="4"/>
      <c r="E308" s="66"/>
      <c r="F308" s="29"/>
      <c r="G308" s="26"/>
      <c r="H308" s="26"/>
      <c r="I308" s="7" t="s">
        <v>651</v>
      </c>
      <c r="J308" s="145" t="s">
        <v>45</v>
      </c>
      <c r="K308" s="29">
        <v>1</v>
      </c>
      <c r="L308" s="28">
        <f>bearing_plate</f>
        <v>1434.19</v>
      </c>
      <c r="M308" s="26">
        <f t="shared" si="22"/>
        <v>1434.19</v>
      </c>
      <c r="N308" s="8" t="s">
        <v>660</v>
      </c>
      <c r="O308" s="66" t="s">
        <v>101</v>
      </c>
      <c r="P308" s="29">
        <f>P283*2</f>
        <v>0.12</v>
      </c>
      <c r="Q308" s="28">
        <f>fan</f>
        <v>260.67</v>
      </c>
      <c r="R308" s="26">
        <f>P308*Q308</f>
        <v>31.2804</v>
      </c>
    </row>
    <row r="309" spans="1:18">
      <c r="A309" s="2"/>
      <c r="B309" s="126"/>
      <c r="C309" s="6"/>
      <c r="D309" s="4"/>
      <c r="E309" s="66"/>
      <c r="F309" s="29"/>
      <c r="G309" s="26"/>
      <c r="H309" s="26"/>
      <c r="I309" s="7" t="s">
        <v>31</v>
      </c>
      <c r="J309" s="145" t="s">
        <v>28</v>
      </c>
      <c r="K309" s="29">
        <f>((PI()/4*((0.025)^2-(0.02)^2)*2)*1440)*2</f>
        <v>1.0178760197630934</v>
      </c>
      <c r="L309" s="28">
        <f>cement/1000</f>
        <v>24.049689999999998</v>
      </c>
      <c r="M309" s="26">
        <f t="shared" si="22"/>
        <v>24.479602733736268</v>
      </c>
      <c r="N309" s="8" t="s">
        <v>661</v>
      </c>
      <c r="O309" s="66" t="s">
        <v>12</v>
      </c>
      <c r="P309" s="29"/>
      <c r="Q309" s="28"/>
      <c r="R309" s="154">
        <v>15</v>
      </c>
    </row>
    <row r="310" spans="1:18">
      <c r="A310" s="2"/>
      <c r="B310" s="126"/>
      <c r="C310" s="6"/>
      <c r="D310" s="4"/>
      <c r="E310" s="66"/>
      <c r="F310" s="29"/>
      <c r="G310" s="26"/>
      <c r="H310" s="26"/>
      <c r="I310" s="7" t="s">
        <v>652</v>
      </c>
      <c r="J310" s="145" t="s">
        <v>28</v>
      </c>
      <c r="K310" s="29">
        <f>0.005%*K309</f>
        <v>5.0893800988154671E-5</v>
      </c>
      <c r="L310" s="154">
        <v>500</v>
      </c>
      <c r="M310" s="26">
        <f t="shared" si="22"/>
        <v>2.5446900494077336E-2</v>
      </c>
      <c r="N310" s="8"/>
      <c r="O310" s="66"/>
      <c r="P310" s="29"/>
      <c r="Q310" s="28"/>
      <c r="R310" s="26"/>
    </row>
    <row r="311" spans="1:18">
      <c r="A311" s="2"/>
      <c r="B311" s="126"/>
      <c r="C311" s="6"/>
      <c r="D311" s="4"/>
      <c r="E311" s="66"/>
      <c r="F311" s="29"/>
      <c r="G311" s="26"/>
      <c r="H311" s="26"/>
      <c r="I311" s="7" t="s">
        <v>653</v>
      </c>
      <c r="J311" s="145" t="s">
        <v>11</v>
      </c>
      <c r="K311" s="29">
        <f>K309/1500</f>
        <v>6.7858401317539554E-4</v>
      </c>
      <c r="L311" s="28">
        <f>sand</f>
        <v>1050</v>
      </c>
      <c r="M311" s="26">
        <f t="shared" si="22"/>
        <v>0.71251321383416533</v>
      </c>
      <c r="N311" s="8"/>
      <c r="O311" s="66"/>
      <c r="P311" s="29"/>
      <c r="Q311" s="28"/>
      <c r="R311" s="26"/>
    </row>
    <row r="312" spans="1:18">
      <c r="A312" s="2"/>
      <c r="B312" s="126"/>
      <c r="C312" s="6"/>
      <c r="D312" s="4"/>
      <c r="E312" s="66"/>
      <c r="F312" s="29"/>
      <c r="G312" s="26"/>
      <c r="H312" s="26"/>
      <c r="I312" s="7"/>
      <c r="J312" s="145"/>
      <c r="K312" s="29"/>
      <c r="L312" s="28"/>
      <c r="M312" s="26"/>
      <c r="N312" s="8"/>
      <c r="O312" s="66"/>
      <c r="P312" s="29"/>
      <c r="Q312" s="28"/>
      <c r="R312" s="26"/>
    </row>
    <row r="313" spans="1:18">
      <c r="A313" s="2"/>
      <c r="B313" s="5"/>
      <c r="C313" s="6"/>
      <c r="D313" s="4"/>
      <c r="E313" s="9"/>
      <c r="F313" s="30"/>
      <c r="G313" s="27"/>
      <c r="H313" s="27"/>
      <c r="I313" s="9"/>
      <c r="J313" s="10"/>
      <c r="K313" s="30"/>
      <c r="L313" s="28"/>
      <c r="M313" s="28"/>
      <c r="N313" s="8"/>
      <c r="O313" s="6"/>
      <c r="P313" s="30"/>
      <c r="Q313" s="28"/>
      <c r="R313" s="28"/>
    </row>
    <row r="314" spans="1:18">
      <c r="A314" s="2"/>
      <c r="B314" s="11"/>
      <c r="C314" s="6"/>
      <c r="D314" s="12"/>
      <c r="E314" s="59"/>
      <c r="F314" s="13"/>
      <c r="G314" s="13" t="s">
        <v>20</v>
      </c>
      <c r="H314" s="25">
        <f>SUM(H302:H313)</f>
        <v>284.375</v>
      </c>
      <c r="I314" s="703"/>
      <c r="J314" s="703"/>
      <c r="K314" s="14"/>
      <c r="L314" s="13" t="s">
        <v>21</v>
      </c>
      <c r="M314" s="25">
        <f>SUM(M302:M313)</f>
        <v>3276.3439628480642</v>
      </c>
      <c r="N314" s="3"/>
      <c r="O314" s="14"/>
      <c r="P314" s="14"/>
      <c r="Q314" s="13" t="s">
        <v>22</v>
      </c>
      <c r="R314" s="25">
        <f>SUM(R302:R313)</f>
        <v>344.6404</v>
      </c>
    </row>
    <row r="315" spans="1:18">
      <c r="A315" s="2"/>
      <c r="B315" s="16" t="s">
        <v>13</v>
      </c>
      <c r="C315" s="14"/>
      <c r="D315" s="14"/>
      <c r="E315" s="14"/>
      <c r="F315" s="14"/>
      <c r="G315" s="13"/>
      <c r="H315" s="35">
        <f>M314+R314+H314</f>
        <v>3905.3593628480639</v>
      </c>
      <c r="I315" s="17"/>
      <c r="J315" s="14"/>
      <c r="K315" s="14"/>
      <c r="L315" s="13"/>
      <c r="M315" s="15"/>
      <c r="N315" s="14"/>
      <c r="O315" s="14"/>
      <c r="P315" s="14"/>
      <c r="Q315" s="14"/>
      <c r="R315" s="17"/>
    </row>
    <row r="316" spans="1:18">
      <c r="A316" s="2"/>
      <c r="B316" s="11" t="s">
        <v>25</v>
      </c>
      <c r="C316" s="4" t="s">
        <v>647</v>
      </c>
      <c r="D316" s="4"/>
      <c r="E316" s="4"/>
      <c r="F316" s="4"/>
      <c r="G316" s="18"/>
      <c r="H316" s="36">
        <f>20%*(H314)</f>
        <v>56.875</v>
      </c>
      <c r="I316" s="20"/>
      <c r="J316" s="4" t="s">
        <v>26</v>
      </c>
      <c r="K316" s="4"/>
      <c r="L316" s="18"/>
      <c r="M316" s="19"/>
      <c r="N316" s="4"/>
      <c r="O316" s="4"/>
      <c r="P316" s="4"/>
      <c r="Q316" s="4"/>
      <c r="R316" s="20"/>
    </row>
    <row r="317" spans="1:18">
      <c r="A317" s="23"/>
      <c r="B317" s="11" t="s">
        <v>14</v>
      </c>
      <c r="C317" s="4"/>
      <c r="D317" s="4"/>
      <c r="E317" s="4"/>
      <c r="F317" s="4"/>
      <c r="G317" s="18"/>
      <c r="H317" s="36">
        <f>SUM(H315:H316)</f>
        <v>3962.2343628480639</v>
      </c>
      <c r="I317" s="20"/>
      <c r="J317" s="741"/>
      <c r="K317" s="742"/>
      <c r="L317" s="742"/>
      <c r="M317" s="742"/>
      <c r="N317" s="742"/>
      <c r="O317" s="742"/>
      <c r="P317" s="742"/>
      <c r="Q317" s="742"/>
      <c r="R317" s="743"/>
    </row>
    <row r="318" spans="1:18">
      <c r="A318" s="23"/>
      <c r="B318" s="11" t="s">
        <v>24</v>
      </c>
      <c r="C318" s="4"/>
      <c r="D318" s="4"/>
      <c r="E318" s="4"/>
      <c r="F318" s="4"/>
      <c r="G318" s="18"/>
      <c r="H318" s="36">
        <f>H317*15%</f>
        <v>594.33515442720955</v>
      </c>
      <c r="I318" s="20"/>
      <c r="J318" s="744"/>
      <c r="K318" s="745"/>
      <c r="L318" s="745"/>
      <c r="M318" s="745"/>
      <c r="N318" s="745"/>
      <c r="O318" s="745"/>
      <c r="P318" s="745"/>
      <c r="Q318" s="745"/>
      <c r="R318" s="746"/>
    </row>
    <row r="319" spans="1:18">
      <c r="A319" s="23"/>
      <c r="B319" s="11" t="s">
        <v>15</v>
      </c>
      <c r="C319" s="4"/>
      <c r="D319" s="4"/>
      <c r="E319" s="4"/>
      <c r="F319" s="4"/>
      <c r="G319" s="21" t="s">
        <v>16</v>
      </c>
      <c r="H319" s="37">
        <f>H318+H317</f>
        <v>4556.569517275273</v>
      </c>
      <c r="I319" s="38" t="str">
        <f>CONCATENATE("per ",C302, C303)</f>
        <v>per nos.</v>
      </c>
      <c r="J319" s="744"/>
      <c r="K319" s="745"/>
      <c r="L319" s="745"/>
      <c r="M319" s="745"/>
      <c r="N319" s="745"/>
      <c r="O319" s="745"/>
      <c r="P319" s="745"/>
      <c r="Q319" s="745"/>
      <c r="R319" s="746"/>
    </row>
    <row r="320" spans="1:18">
      <c r="A320" s="23"/>
      <c r="B320" s="11" t="s">
        <v>18</v>
      </c>
      <c r="C320" s="4" t="s">
        <v>19</v>
      </c>
      <c r="D320" s="4"/>
      <c r="E320" s="4"/>
      <c r="F320" s="4"/>
      <c r="G320" s="21" t="s">
        <v>16</v>
      </c>
      <c r="H320" s="37">
        <f>CEILING(H319,0.5)</f>
        <v>4557</v>
      </c>
      <c r="I320" s="38" t="str">
        <f>CONCATENATE("per ",C302)</f>
        <v>per nos.</v>
      </c>
      <c r="J320" s="744"/>
      <c r="K320" s="745"/>
      <c r="L320" s="745"/>
      <c r="M320" s="745"/>
      <c r="N320" s="745"/>
      <c r="O320" s="745"/>
      <c r="P320" s="745"/>
      <c r="Q320" s="745"/>
      <c r="R320" s="746"/>
    </row>
    <row r="321" spans="1:18">
      <c r="A321" s="23"/>
      <c r="B321" s="11"/>
      <c r="C321" s="4"/>
      <c r="D321" s="4"/>
      <c r="E321" s="4"/>
      <c r="F321" s="4"/>
      <c r="G321" s="24" t="s">
        <v>17</v>
      </c>
      <c r="H321" s="37">
        <f>H320/exr</f>
        <v>35.053846153846152</v>
      </c>
      <c r="I321" s="38" t="str">
        <f>CONCATENATE("per ",C302)</f>
        <v>per nos.</v>
      </c>
      <c r="J321" s="747"/>
      <c r="K321" s="748"/>
      <c r="L321" s="748"/>
      <c r="M321" s="748"/>
      <c r="N321" s="748"/>
      <c r="O321" s="748"/>
      <c r="P321" s="748"/>
      <c r="Q321" s="748"/>
      <c r="R321" s="749"/>
    </row>
    <row r="322" spans="1:18">
      <c r="A322" s="39"/>
      <c r="B322" s="40"/>
      <c r="C322" s="41"/>
      <c r="D322" s="41"/>
      <c r="E322" s="41"/>
      <c r="F322" s="41"/>
      <c r="G322" s="149" t="s">
        <v>460</v>
      </c>
      <c r="H322" s="150">
        <f>CEILING(SUM(M314,R314)/H315,0.0025)</f>
        <v>0.92749999999999999</v>
      </c>
      <c r="I322" s="42"/>
      <c r="J322" s="43"/>
      <c r="K322" s="43"/>
      <c r="L322" s="43"/>
      <c r="M322" s="43"/>
      <c r="N322" s="43"/>
      <c r="O322" s="43"/>
      <c r="P322" s="43"/>
      <c r="Q322" s="43"/>
      <c r="R322" s="44"/>
    </row>
    <row r="324" spans="1:18">
      <c r="A324" s="693" t="s">
        <v>0</v>
      </c>
      <c r="B324" s="695" t="s">
        <v>1</v>
      </c>
      <c r="C324" s="695" t="s">
        <v>2</v>
      </c>
      <c r="D324" s="697" t="s">
        <v>3</v>
      </c>
      <c r="E324" s="698"/>
      <c r="F324" s="698"/>
      <c r="G324" s="698"/>
      <c r="H324" s="698"/>
      <c r="I324" s="699" t="s">
        <v>4</v>
      </c>
      <c r="J324" s="700"/>
      <c r="K324" s="700"/>
      <c r="L324" s="700"/>
      <c r="M324" s="700"/>
      <c r="N324" s="698" t="s">
        <v>5</v>
      </c>
      <c r="O324" s="698"/>
      <c r="P324" s="698"/>
      <c r="Q324" s="698"/>
      <c r="R324" s="698"/>
    </row>
    <row r="325" spans="1:18">
      <c r="A325" s="694"/>
      <c r="B325" s="759"/>
      <c r="C325" s="696"/>
      <c r="D325" s="45" t="s">
        <v>6</v>
      </c>
      <c r="E325" s="46" t="s">
        <v>2</v>
      </c>
      <c r="F325" s="46" t="s">
        <v>7</v>
      </c>
      <c r="G325" s="46" t="s">
        <v>8</v>
      </c>
      <c r="H325" s="46" t="s">
        <v>9</v>
      </c>
      <c r="I325" s="46" t="s">
        <v>10</v>
      </c>
      <c r="J325" s="46" t="s">
        <v>2</v>
      </c>
      <c r="K325" s="46" t="s">
        <v>7</v>
      </c>
      <c r="L325" s="46" t="s">
        <v>8</v>
      </c>
      <c r="M325" s="47" t="s">
        <v>9</v>
      </c>
      <c r="N325" s="46" t="s">
        <v>10</v>
      </c>
      <c r="O325" s="46" t="s">
        <v>2</v>
      </c>
      <c r="P325" s="46" t="s">
        <v>7</v>
      </c>
      <c r="Q325" s="46" t="s">
        <v>8</v>
      </c>
      <c r="R325" s="46" t="s">
        <v>9</v>
      </c>
    </row>
    <row r="326" spans="1:18">
      <c r="A326" s="33" t="s">
        <v>23</v>
      </c>
      <c r="B326" s="127"/>
      <c r="C326" s="31"/>
      <c r="D326" s="31"/>
      <c r="E326" s="31"/>
      <c r="F326" s="31"/>
      <c r="G326" s="31"/>
      <c r="H326" s="31"/>
      <c r="I326" s="31"/>
      <c r="J326" s="31"/>
      <c r="K326" s="31"/>
      <c r="L326" s="31"/>
      <c r="M326" s="31"/>
      <c r="N326" s="31"/>
      <c r="O326" s="31"/>
      <c r="P326" s="31"/>
      <c r="Q326" s="31"/>
      <c r="R326" s="32"/>
    </row>
    <row r="327" spans="1:18">
      <c r="A327" s="34">
        <f>A302+1</f>
        <v>12</v>
      </c>
      <c r="B327" s="713" t="s">
        <v>662</v>
      </c>
      <c r="C327" s="66" t="s">
        <v>138</v>
      </c>
      <c r="D327" s="4"/>
      <c r="E327" s="6"/>
      <c r="F327" s="29"/>
      <c r="G327" s="26"/>
      <c r="H327" s="26"/>
      <c r="I327" s="6"/>
      <c r="J327" s="6"/>
      <c r="K327" s="29"/>
      <c r="L327" s="26"/>
      <c r="M327" s="26"/>
      <c r="N327" s="6"/>
      <c r="O327" s="6"/>
      <c r="P327" s="29"/>
      <c r="Q327" s="26"/>
      <c r="R327" s="26"/>
    </row>
    <row r="328" spans="1:18">
      <c r="A328" s="2"/>
      <c r="B328" s="714"/>
      <c r="C328" s="124"/>
      <c r="D328" s="4" t="s">
        <v>75</v>
      </c>
      <c r="E328" s="66" t="s">
        <v>81</v>
      </c>
      <c r="F328" s="29">
        <f>F278*3</f>
        <v>9.375E-2</v>
      </c>
      <c r="G328" s="26">
        <f>fr</f>
        <v>1100</v>
      </c>
      <c r="H328" s="26">
        <f>F328*G328</f>
        <v>103.125</v>
      </c>
      <c r="I328" s="7" t="s">
        <v>67</v>
      </c>
      <c r="J328" s="145" t="s">
        <v>250</v>
      </c>
      <c r="K328" s="29">
        <f>K278*3</f>
        <v>5.0999999999999996</v>
      </c>
      <c r="L328" s="28">
        <f>diesel</f>
        <v>177.6</v>
      </c>
      <c r="M328" s="26">
        <f>K328*L328</f>
        <v>905.75999999999988</v>
      </c>
      <c r="N328" s="8" t="s">
        <v>655</v>
      </c>
      <c r="O328" s="66" t="s">
        <v>101</v>
      </c>
      <c r="P328" s="29">
        <f>P278*3</f>
        <v>0.375</v>
      </c>
      <c r="Q328" s="28">
        <f>compressor</f>
        <v>270.39999999999998</v>
      </c>
      <c r="R328" s="26">
        <f>P328*Q328</f>
        <v>101.39999999999999</v>
      </c>
    </row>
    <row r="329" spans="1:18">
      <c r="A329" s="2"/>
      <c r="B329" s="714"/>
      <c r="C329" s="6"/>
      <c r="D329" s="4" t="s">
        <v>89</v>
      </c>
      <c r="E329" s="66" t="s">
        <v>81</v>
      </c>
      <c r="F329" s="29">
        <f>F279*3</f>
        <v>0.140625</v>
      </c>
      <c r="G329" s="26">
        <f>dr</f>
        <v>1100</v>
      </c>
      <c r="H329" s="26">
        <f>F329*G329</f>
        <v>154.6875</v>
      </c>
      <c r="I329" s="7" t="s">
        <v>649</v>
      </c>
      <c r="J329" s="145" t="s">
        <v>12</v>
      </c>
      <c r="K329" s="29"/>
      <c r="L329" s="28"/>
      <c r="M329" s="154">
        <v>40</v>
      </c>
      <c r="N329" s="8" t="s">
        <v>656</v>
      </c>
      <c r="O329" s="66" t="s">
        <v>101</v>
      </c>
      <c r="P329" s="29">
        <f>P279*3</f>
        <v>0.375</v>
      </c>
      <c r="Q329" s="216">
        <f>jack_hammer</f>
        <v>162.24</v>
      </c>
      <c r="R329" s="26">
        <f>P329*Q329</f>
        <v>60.84</v>
      </c>
    </row>
    <row r="330" spans="1:18">
      <c r="A330" s="2"/>
      <c r="B330" s="126"/>
      <c r="C330" s="6"/>
      <c r="D330" s="4" t="s">
        <v>462</v>
      </c>
      <c r="E330" s="66" t="s">
        <v>81</v>
      </c>
      <c r="F330" s="29">
        <f>F280*3</f>
        <v>0.22499999999999998</v>
      </c>
      <c r="G330" s="26">
        <f>drh</f>
        <v>750</v>
      </c>
      <c r="H330" s="26">
        <f>F330*G330</f>
        <v>168.74999999999997</v>
      </c>
      <c r="I330" s="7" t="s">
        <v>494</v>
      </c>
      <c r="J330" s="145" t="s">
        <v>45</v>
      </c>
      <c r="K330" s="29">
        <f>K280*3</f>
        <v>0.18</v>
      </c>
      <c r="L330" s="28">
        <f>Drillbit_32</f>
        <v>3709.37</v>
      </c>
      <c r="M330" s="26">
        <f t="shared" ref="M330:M336" si="23">K330*L330</f>
        <v>667.6866</v>
      </c>
      <c r="N330" s="8" t="s">
        <v>657</v>
      </c>
      <c r="O330" s="66" t="s">
        <v>12</v>
      </c>
      <c r="P330" s="29"/>
      <c r="Q330" s="28"/>
      <c r="R330" s="154">
        <v>50</v>
      </c>
    </row>
    <row r="331" spans="1:18">
      <c r="A331" s="2"/>
      <c r="B331" s="126"/>
      <c r="C331" s="6"/>
      <c r="D331" s="4"/>
      <c r="E331" s="66"/>
      <c r="F331" s="29"/>
      <c r="G331" s="26"/>
      <c r="H331" s="26"/>
      <c r="I331" s="7" t="s">
        <v>654</v>
      </c>
      <c r="J331" s="145" t="s">
        <v>47</v>
      </c>
      <c r="K331" s="29">
        <f>K281*3</f>
        <v>3</v>
      </c>
      <c r="L331" s="28">
        <f>rockbolt_20</f>
        <v>317.26</v>
      </c>
      <c r="M331" s="26">
        <f t="shared" si="23"/>
        <v>951.78</v>
      </c>
      <c r="N331" s="8" t="s">
        <v>658</v>
      </c>
      <c r="O331" s="66" t="s">
        <v>12</v>
      </c>
      <c r="P331" s="29"/>
      <c r="Q331" s="28"/>
      <c r="R331" s="154">
        <f>10%*R330</f>
        <v>5</v>
      </c>
    </row>
    <row r="332" spans="1:18">
      <c r="A332" s="2"/>
      <c r="B332" s="126"/>
      <c r="C332" s="6"/>
      <c r="D332" s="4"/>
      <c r="E332" s="66"/>
      <c r="F332" s="29"/>
      <c r="G332" s="26"/>
      <c r="H332" s="26"/>
      <c r="I332" s="7" t="s">
        <v>650</v>
      </c>
      <c r="J332" s="145" t="s">
        <v>45</v>
      </c>
      <c r="K332" s="29">
        <v>1</v>
      </c>
      <c r="L332" s="154">
        <v>40</v>
      </c>
      <c r="M332" s="26">
        <f t="shared" si="23"/>
        <v>40</v>
      </c>
      <c r="N332" s="8" t="s">
        <v>659</v>
      </c>
      <c r="O332" s="66" t="s">
        <v>101</v>
      </c>
      <c r="P332" s="29">
        <f>P282*3</f>
        <v>0.375</v>
      </c>
      <c r="Q332" s="28">
        <f>grout_pump</f>
        <v>540.79999999999995</v>
      </c>
      <c r="R332" s="26">
        <f>P332*Q332</f>
        <v>202.79999999999998</v>
      </c>
    </row>
    <row r="333" spans="1:18">
      <c r="A333" s="2"/>
      <c r="B333" s="126"/>
      <c r="C333" s="6"/>
      <c r="D333" s="4"/>
      <c r="E333" s="66"/>
      <c r="F333" s="29"/>
      <c r="G333" s="26"/>
      <c r="H333" s="26"/>
      <c r="I333" s="7" t="s">
        <v>651</v>
      </c>
      <c r="J333" s="145" t="s">
        <v>45</v>
      </c>
      <c r="K333" s="29">
        <v>1</v>
      </c>
      <c r="L333" s="28">
        <f>bearing_plate</f>
        <v>1434.19</v>
      </c>
      <c r="M333" s="26">
        <f t="shared" si="23"/>
        <v>1434.19</v>
      </c>
      <c r="N333" s="8" t="s">
        <v>660</v>
      </c>
      <c r="O333" s="66" t="s">
        <v>101</v>
      </c>
      <c r="P333" s="29">
        <f>P283*3</f>
        <v>0.18</v>
      </c>
      <c r="Q333" s="28">
        <f>fan</f>
        <v>260.67</v>
      </c>
      <c r="R333" s="26">
        <f>P333*Q333</f>
        <v>46.9206</v>
      </c>
    </row>
    <row r="334" spans="1:18">
      <c r="A334" s="2"/>
      <c r="B334" s="126"/>
      <c r="C334" s="6"/>
      <c r="D334" s="4"/>
      <c r="E334" s="66"/>
      <c r="F334" s="29"/>
      <c r="G334" s="26"/>
      <c r="H334" s="26"/>
      <c r="I334" s="7" t="s">
        <v>31</v>
      </c>
      <c r="J334" s="145" t="s">
        <v>28</v>
      </c>
      <c r="K334" s="29">
        <f>K284*3</f>
        <v>1.52681402964464</v>
      </c>
      <c r="L334" s="28">
        <f>cement/1000</f>
        <v>24.049689999999998</v>
      </c>
      <c r="M334" s="26">
        <f t="shared" si="23"/>
        <v>36.7194041006044</v>
      </c>
      <c r="N334" s="8" t="s">
        <v>661</v>
      </c>
      <c r="O334" s="66" t="s">
        <v>12</v>
      </c>
      <c r="P334" s="29"/>
      <c r="Q334" s="28"/>
      <c r="R334" s="154">
        <v>15</v>
      </c>
    </row>
    <row r="335" spans="1:18">
      <c r="A335" s="2"/>
      <c r="B335" s="126"/>
      <c r="C335" s="6"/>
      <c r="D335" s="4"/>
      <c r="E335" s="66"/>
      <c r="F335" s="29"/>
      <c r="G335" s="26"/>
      <c r="H335" s="26"/>
      <c r="I335" s="7" t="s">
        <v>652</v>
      </c>
      <c r="J335" s="145" t="s">
        <v>28</v>
      </c>
      <c r="K335" s="29">
        <f>0.005%*K334</f>
        <v>7.6340701482232007E-5</v>
      </c>
      <c r="L335" s="154">
        <v>500</v>
      </c>
      <c r="M335" s="26">
        <f t="shared" si="23"/>
        <v>3.8170350741116001E-2</v>
      </c>
      <c r="N335" s="8"/>
      <c r="O335" s="66"/>
      <c r="P335" s="29"/>
      <c r="Q335" s="28"/>
      <c r="R335" s="26"/>
    </row>
    <row r="336" spans="1:18">
      <c r="A336" s="2"/>
      <c r="B336" s="126"/>
      <c r="C336" s="6"/>
      <c r="D336" s="4"/>
      <c r="E336" s="66"/>
      <c r="F336" s="29"/>
      <c r="G336" s="26"/>
      <c r="H336" s="26"/>
      <c r="I336" s="7" t="s">
        <v>653</v>
      </c>
      <c r="J336" s="145" t="s">
        <v>11</v>
      </c>
      <c r="K336" s="29">
        <f>K286*3</f>
        <v>1.0178760197630933E-3</v>
      </c>
      <c r="L336" s="28">
        <f>sand</f>
        <v>1050</v>
      </c>
      <c r="M336" s="26">
        <f t="shared" si="23"/>
        <v>1.0687698207512479</v>
      </c>
      <c r="N336" s="8"/>
      <c r="O336" s="66"/>
      <c r="P336" s="29"/>
      <c r="Q336" s="28"/>
      <c r="R336" s="26"/>
    </row>
    <row r="337" spans="1:18">
      <c r="A337" s="2"/>
      <c r="B337" s="126"/>
      <c r="C337" s="6"/>
      <c r="D337" s="4"/>
      <c r="E337" s="66"/>
      <c r="F337" s="29"/>
      <c r="G337" s="26"/>
      <c r="H337" s="26"/>
      <c r="I337" s="7"/>
      <c r="J337" s="145"/>
      <c r="K337" s="29"/>
      <c r="L337" s="28"/>
      <c r="M337" s="26"/>
      <c r="N337" s="8"/>
      <c r="O337" s="66"/>
      <c r="P337" s="29"/>
      <c r="Q337" s="28"/>
      <c r="R337" s="26"/>
    </row>
    <row r="338" spans="1:18">
      <c r="A338" s="2"/>
      <c r="B338" s="5"/>
      <c r="C338" s="6"/>
      <c r="D338" s="4"/>
      <c r="E338" s="9"/>
      <c r="F338" s="30"/>
      <c r="G338" s="27"/>
      <c r="H338" s="27"/>
      <c r="I338" s="9"/>
      <c r="J338" s="10"/>
      <c r="K338" s="30"/>
      <c r="L338" s="28"/>
      <c r="M338" s="28"/>
      <c r="N338" s="8"/>
      <c r="O338" s="6"/>
      <c r="P338" s="30"/>
      <c r="Q338" s="28"/>
      <c r="R338" s="28"/>
    </row>
    <row r="339" spans="1:18">
      <c r="A339" s="2"/>
      <c r="B339" s="11"/>
      <c r="C339" s="6"/>
      <c r="D339" s="12"/>
      <c r="E339" s="59"/>
      <c r="F339" s="13"/>
      <c r="G339" s="13" t="s">
        <v>20</v>
      </c>
      <c r="H339" s="25">
        <f>SUM(H327:H338)</f>
        <v>426.5625</v>
      </c>
      <c r="I339" s="703"/>
      <c r="J339" s="703"/>
      <c r="K339" s="14"/>
      <c r="L339" s="13" t="s">
        <v>21</v>
      </c>
      <c r="M339" s="25">
        <f>SUM(M327:M338)</f>
        <v>4077.2429442720968</v>
      </c>
      <c r="N339" s="3"/>
      <c r="O339" s="14"/>
      <c r="P339" s="14"/>
      <c r="Q339" s="13" t="s">
        <v>22</v>
      </c>
      <c r="R339" s="25">
        <f>SUM(R327:R338)</f>
        <v>481.96059999999994</v>
      </c>
    </row>
    <row r="340" spans="1:18">
      <c r="A340" s="2"/>
      <c r="B340" s="16" t="s">
        <v>13</v>
      </c>
      <c r="C340" s="14"/>
      <c r="D340" s="14"/>
      <c r="E340" s="14"/>
      <c r="F340" s="14"/>
      <c r="G340" s="13"/>
      <c r="H340" s="35">
        <f>M339+R339+H339</f>
        <v>4985.7660442720971</v>
      </c>
      <c r="I340" s="17"/>
      <c r="J340" s="14"/>
      <c r="K340" s="14"/>
      <c r="L340" s="13"/>
      <c r="M340" s="15"/>
      <c r="N340" s="14"/>
      <c r="O340" s="14"/>
      <c r="P340" s="14"/>
      <c r="Q340" s="14"/>
      <c r="R340" s="17"/>
    </row>
    <row r="341" spans="1:18">
      <c r="A341" s="2"/>
      <c r="B341" s="11" t="s">
        <v>25</v>
      </c>
      <c r="C341" s="4" t="s">
        <v>647</v>
      </c>
      <c r="D341" s="4"/>
      <c r="E341" s="4"/>
      <c r="F341" s="4"/>
      <c r="G341" s="18"/>
      <c r="H341" s="36">
        <f>20%*(H339)</f>
        <v>85.3125</v>
      </c>
      <c r="I341" s="20"/>
      <c r="J341" s="4" t="s">
        <v>26</v>
      </c>
      <c r="K341" s="4"/>
      <c r="L341" s="18"/>
      <c r="M341" s="19"/>
      <c r="N341" s="4"/>
      <c r="O341" s="4"/>
      <c r="P341" s="4"/>
      <c r="Q341" s="4"/>
      <c r="R341" s="20"/>
    </row>
    <row r="342" spans="1:18">
      <c r="A342" s="23"/>
      <c r="B342" s="11" t="s">
        <v>14</v>
      </c>
      <c r="C342" s="4"/>
      <c r="D342" s="4"/>
      <c r="E342" s="4"/>
      <c r="F342" s="4"/>
      <c r="G342" s="18"/>
      <c r="H342" s="36">
        <f>SUM(H340:H341)</f>
        <v>5071.0785442720971</v>
      </c>
      <c r="I342" s="20"/>
      <c r="J342" s="741"/>
      <c r="K342" s="742"/>
      <c r="L342" s="742"/>
      <c r="M342" s="742"/>
      <c r="N342" s="742"/>
      <c r="O342" s="742"/>
      <c r="P342" s="742"/>
      <c r="Q342" s="742"/>
      <c r="R342" s="743"/>
    </row>
    <row r="343" spans="1:18">
      <c r="A343" s="23"/>
      <c r="B343" s="11" t="s">
        <v>24</v>
      </c>
      <c r="C343" s="4"/>
      <c r="D343" s="4"/>
      <c r="E343" s="4"/>
      <c r="F343" s="4"/>
      <c r="G343" s="18"/>
      <c r="H343" s="36">
        <f>H342*15%</f>
        <v>760.66178164081452</v>
      </c>
      <c r="I343" s="20"/>
      <c r="J343" s="744"/>
      <c r="K343" s="745"/>
      <c r="L343" s="745"/>
      <c r="M343" s="745"/>
      <c r="N343" s="745"/>
      <c r="O343" s="745"/>
      <c r="P343" s="745"/>
      <c r="Q343" s="745"/>
      <c r="R343" s="746"/>
    </row>
    <row r="344" spans="1:18">
      <c r="A344" s="23"/>
      <c r="B344" s="11" t="s">
        <v>15</v>
      </c>
      <c r="C344" s="4"/>
      <c r="D344" s="4"/>
      <c r="E344" s="4"/>
      <c r="F344" s="4"/>
      <c r="G344" s="21" t="s">
        <v>16</v>
      </c>
      <c r="H344" s="37">
        <f>H343+H342</f>
        <v>5831.7403259129114</v>
      </c>
      <c r="I344" s="38" t="str">
        <f>CONCATENATE("per ",C327, C328)</f>
        <v>per nos.</v>
      </c>
      <c r="J344" s="744"/>
      <c r="K344" s="745"/>
      <c r="L344" s="745"/>
      <c r="M344" s="745"/>
      <c r="N344" s="745"/>
      <c r="O344" s="745"/>
      <c r="P344" s="745"/>
      <c r="Q344" s="745"/>
      <c r="R344" s="746"/>
    </row>
    <row r="345" spans="1:18">
      <c r="A345" s="23"/>
      <c r="B345" s="11" t="s">
        <v>18</v>
      </c>
      <c r="C345" s="4" t="s">
        <v>19</v>
      </c>
      <c r="D345" s="4"/>
      <c r="E345" s="4"/>
      <c r="F345" s="4"/>
      <c r="G345" s="21" t="s">
        <v>16</v>
      </c>
      <c r="H345" s="37">
        <f>CEILING(H344,0.5)</f>
        <v>5832</v>
      </c>
      <c r="I345" s="38" t="str">
        <f>CONCATENATE("per ",C327)</f>
        <v>per nos.</v>
      </c>
      <c r="J345" s="744"/>
      <c r="K345" s="745"/>
      <c r="L345" s="745"/>
      <c r="M345" s="745"/>
      <c r="N345" s="745"/>
      <c r="O345" s="745"/>
      <c r="P345" s="745"/>
      <c r="Q345" s="745"/>
      <c r="R345" s="746"/>
    </row>
    <row r="346" spans="1:18">
      <c r="A346" s="23"/>
      <c r="B346" s="11"/>
      <c r="C346" s="4"/>
      <c r="D346" s="4"/>
      <c r="E346" s="4"/>
      <c r="F346" s="4"/>
      <c r="G346" s="24" t="s">
        <v>17</v>
      </c>
      <c r="H346" s="37">
        <f>H345/exr</f>
        <v>44.861538461538458</v>
      </c>
      <c r="I346" s="38" t="str">
        <f>CONCATENATE("per ",C327)</f>
        <v>per nos.</v>
      </c>
      <c r="J346" s="747"/>
      <c r="K346" s="748"/>
      <c r="L346" s="748"/>
      <c r="M346" s="748"/>
      <c r="N346" s="748"/>
      <c r="O346" s="748"/>
      <c r="P346" s="748"/>
      <c r="Q346" s="748"/>
      <c r="R346" s="749"/>
    </row>
    <row r="347" spans="1:18">
      <c r="A347" s="39"/>
      <c r="B347" s="40"/>
      <c r="C347" s="41"/>
      <c r="D347" s="41"/>
      <c r="E347" s="41"/>
      <c r="F347" s="41"/>
      <c r="G347" s="149" t="s">
        <v>460</v>
      </c>
      <c r="H347" s="150">
        <f>CEILING(SUM(M339,R339)/H340,0.0025)</f>
        <v>0.91500000000000004</v>
      </c>
      <c r="I347" s="42"/>
      <c r="J347" s="43"/>
      <c r="K347" s="43"/>
      <c r="L347" s="43"/>
      <c r="M347" s="43"/>
      <c r="N347" s="43"/>
      <c r="O347" s="43"/>
      <c r="P347" s="43"/>
      <c r="Q347" s="43"/>
      <c r="R347" s="44"/>
    </row>
    <row r="349" spans="1:18">
      <c r="A349" s="693" t="s">
        <v>0</v>
      </c>
      <c r="B349" s="695" t="s">
        <v>1</v>
      </c>
      <c r="C349" s="695" t="s">
        <v>2</v>
      </c>
      <c r="D349" s="697" t="s">
        <v>3</v>
      </c>
      <c r="E349" s="698"/>
      <c r="F349" s="698"/>
      <c r="G349" s="698"/>
      <c r="H349" s="698"/>
      <c r="I349" s="699" t="s">
        <v>4</v>
      </c>
      <c r="J349" s="700"/>
      <c r="K349" s="700"/>
      <c r="L349" s="700"/>
      <c r="M349" s="700"/>
      <c r="N349" s="698" t="s">
        <v>5</v>
      </c>
      <c r="O349" s="698"/>
      <c r="P349" s="698"/>
      <c r="Q349" s="698"/>
      <c r="R349" s="698"/>
    </row>
    <row r="350" spans="1:18">
      <c r="A350" s="694"/>
      <c r="B350" s="759"/>
      <c r="C350" s="696"/>
      <c r="D350" s="45" t="s">
        <v>6</v>
      </c>
      <c r="E350" s="46" t="s">
        <v>2</v>
      </c>
      <c r="F350" s="46" t="s">
        <v>7</v>
      </c>
      <c r="G350" s="46" t="s">
        <v>8</v>
      </c>
      <c r="H350" s="46" t="s">
        <v>9</v>
      </c>
      <c r="I350" s="46" t="s">
        <v>10</v>
      </c>
      <c r="J350" s="46" t="s">
        <v>2</v>
      </c>
      <c r="K350" s="46" t="s">
        <v>7</v>
      </c>
      <c r="L350" s="46" t="s">
        <v>8</v>
      </c>
      <c r="M350" s="47" t="s">
        <v>9</v>
      </c>
      <c r="N350" s="46" t="s">
        <v>10</v>
      </c>
      <c r="O350" s="46" t="s">
        <v>2</v>
      </c>
      <c r="P350" s="46" t="s">
        <v>7</v>
      </c>
      <c r="Q350" s="46" t="s">
        <v>8</v>
      </c>
      <c r="R350" s="46" t="s">
        <v>9</v>
      </c>
    </row>
    <row r="351" spans="1:18">
      <c r="A351" s="33" t="s">
        <v>23</v>
      </c>
      <c r="B351" s="127"/>
      <c r="C351" s="31"/>
      <c r="D351" s="31"/>
      <c r="E351" s="31"/>
      <c r="F351" s="31"/>
      <c r="G351" s="31"/>
      <c r="H351" s="31"/>
      <c r="I351" s="31"/>
      <c r="J351" s="31"/>
      <c r="K351" s="31"/>
      <c r="L351" s="31"/>
      <c r="M351" s="31"/>
      <c r="N351" s="31"/>
      <c r="O351" s="31"/>
      <c r="P351" s="31"/>
      <c r="Q351" s="31"/>
      <c r="R351" s="32"/>
    </row>
    <row r="352" spans="1:18">
      <c r="A352" s="34">
        <f>A327+1</f>
        <v>13</v>
      </c>
      <c r="B352" s="713" t="s">
        <v>663</v>
      </c>
      <c r="C352" s="66" t="s">
        <v>138</v>
      </c>
      <c r="D352" s="4"/>
      <c r="E352" s="6"/>
      <c r="F352" s="29"/>
      <c r="G352" s="26"/>
      <c r="H352" s="26"/>
      <c r="I352" s="6"/>
      <c r="J352" s="6"/>
      <c r="K352" s="29"/>
      <c r="L352" s="26"/>
      <c r="M352" s="26"/>
      <c r="N352" s="6"/>
      <c r="O352" s="6"/>
      <c r="P352" s="29"/>
      <c r="Q352" s="26"/>
      <c r="R352" s="26"/>
    </row>
    <row r="353" spans="1:18">
      <c r="A353" s="2"/>
      <c r="B353" s="714"/>
      <c r="C353" s="124"/>
      <c r="D353" s="4" t="s">
        <v>75</v>
      </c>
      <c r="E353" s="66" t="s">
        <v>81</v>
      </c>
      <c r="F353" s="29">
        <f>0.5/16</f>
        <v>3.125E-2</v>
      </c>
      <c r="G353" s="26">
        <f>fr</f>
        <v>1100</v>
      </c>
      <c r="H353" s="26">
        <f>F353*G353</f>
        <v>34.375</v>
      </c>
      <c r="I353" s="7" t="s">
        <v>67</v>
      </c>
      <c r="J353" s="145" t="s">
        <v>250</v>
      </c>
      <c r="K353" s="29">
        <v>1.7</v>
      </c>
      <c r="L353" s="28">
        <f>diesel</f>
        <v>177.6</v>
      </c>
      <c r="M353" s="26">
        <f>K353*L353</f>
        <v>301.91999999999996</v>
      </c>
      <c r="N353" s="8" t="s">
        <v>655</v>
      </c>
      <c r="O353" s="66" t="s">
        <v>101</v>
      </c>
      <c r="P353" s="29">
        <v>0.125</v>
      </c>
      <c r="Q353" s="28">
        <f>compressor</f>
        <v>270.39999999999998</v>
      </c>
      <c r="R353" s="26">
        <f>P353*Q353</f>
        <v>33.799999999999997</v>
      </c>
    </row>
    <row r="354" spans="1:18">
      <c r="A354" s="2"/>
      <c r="B354" s="714"/>
      <c r="C354" s="6"/>
      <c r="D354" s="4" t="s">
        <v>89</v>
      </c>
      <c r="E354" s="66" t="s">
        <v>81</v>
      </c>
      <c r="F354" s="29">
        <f>0.75/16</f>
        <v>4.6875E-2</v>
      </c>
      <c r="G354" s="26">
        <f>dr</f>
        <v>1100</v>
      </c>
      <c r="H354" s="26">
        <f>F354*G354</f>
        <v>51.5625</v>
      </c>
      <c r="I354" s="7" t="s">
        <v>649</v>
      </c>
      <c r="J354" s="145" t="s">
        <v>12</v>
      </c>
      <c r="K354" s="29"/>
      <c r="L354" s="28"/>
      <c r="M354" s="154">
        <v>20</v>
      </c>
      <c r="N354" s="8" t="s">
        <v>656</v>
      </c>
      <c r="O354" s="66" t="s">
        <v>101</v>
      </c>
      <c r="P354" s="29">
        <v>0.125</v>
      </c>
      <c r="Q354" s="216">
        <f>jack_hammer</f>
        <v>162.24</v>
      </c>
      <c r="R354" s="26">
        <f>P354*Q354</f>
        <v>20.28</v>
      </c>
    </row>
    <row r="355" spans="1:18">
      <c r="A355" s="2"/>
      <c r="B355" s="126"/>
      <c r="C355" s="6"/>
      <c r="D355" s="4" t="s">
        <v>462</v>
      </c>
      <c r="E355" s="66" t="s">
        <v>81</v>
      </c>
      <c r="F355" s="29">
        <f>1.2/16</f>
        <v>7.4999999999999997E-2</v>
      </c>
      <c r="G355" s="26">
        <f>drh</f>
        <v>750</v>
      </c>
      <c r="H355" s="26">
        <f>F355*G355</f>
        <v>56.25</v>
      </c>
      <c r="I355" s="7" t="s">
        <v>494</v>
      </c>
      <c r="J355" s="145" t="s">
        <v>45</v>
      </c>
      <c r="K355" s="29">
        <v>0.06</v>
      </c>
      <c r="L355" s="28">
        <f>Drillbit_32</f>
        <v>3709.37</v>
      </c>
      <c r="M355" s="26">
        <f t="shared" ref="M355:M361" si="24">K355*L355</f>
        <v>222.56219999999999</v>
      </c>
      <c r="N355" s="8" t="s">
        <v>657</v>
      </c>
      <c r="O355" s="66" t="s">
        <v>12</v>
      </c>
      <c r="P355" s="29"/>
      <c r="Q355" s="28"/>
      <c r="R355" s="154">
        <v>50</v>
      </c>
    </row>
    <row r="356" spans="1:18">
      <c r="A356" s="2"/>
      <c r="B356" s="126"/>
      <c r="C356" s="6"/>
      <c r="D356" s="4"/>
      <c r="E356" s="66"/>
      <c r="F356" s="29"/>
      <c r="G356" s="26"/>
      <c r="H356" s="26"/>
      <c r="I356" s="7" t="s">
        <v>664</v>
      </c>
      <c r="J356" s="145" t="s">
        <v>47</v>
      </c>
      <c r="K356" s="29">
        <v>1</v>
      </c>
      <c r="L356" s="28">
        <f>rockbolt_25</f>
        <v>353.56</v>
      </c>
      <c r="M356" s="26">
        <f t="shared" si="24"/>
        <v>353.56</v>
      </c>
      <c r="N356" s="8" t="s">
        <v>658</v>
      </c>
      <c r="O356" s="66" t="s">
        <v>12</v>
      </c>
      <c r="P356" s="29"/>
      <c r="Q356" s="28"/>
      <c r="R356" s="154">
        <f>10%*R355</f>
        <v>5</v>
      </c>
    </row>
    <row r="357" spans="1:18">
      <c r="A357" s="2"/>
      <c r="B357" s="126"/>
      <c r="C357" s="6"/>
      <c r="D357" s="4"/>
      <c r="E357" s="66"/>
      <c r="F357" s="29"/>
      <c r="G357" s="26"/>
      <c r="H357" s="26"/>
      <c r="I357" s="7" t="s">
        <v>650</v>
      </c>
      <c r="J357" s="145" t="s">
        <v>45</v>
      </c>
      <c r="K357" s="29">
        <v>1</v>
      </c>
      <c r="L357" s="154">
        <v>40</v>
      </c>
      <c r="M357" s="26">
        <f t="shared" si="24"/>
        <v>40</v>
      </c>
      <c r="N357" s="8" t="s">
        <v>659</v>
      </c>
      <c r="O357" s="66" t="s">
        <v>101</v>
      </c>
      <c r="P357" s="29">
        <v>0.125</v>
      </c>
      <c r="Q357" s="28">
        <f>grout_pump</f>
        <v>540.79999999999995</v>
      </c>
      <c r="R357" s="26">
        <f>P357*Q357</f>
        <v>67.599999999999994</v>
      </c>
    </row>
    <row r="358" spans="1:18">
      <c r="A358" s="2"/>
      <c r="B358" s="126"/>
      <c r="C358" s="6"/>
      <c r="D358" s="4"/>
      <c r="E358" s="66"/>
      <c r="F358" s="29"/>
      <c r="G358" s="26"/>
      <c r="H358" s="26"/>
      <c r="I358" s="7" t="s">
        <v>651</v>
      </c>
      <c r="J358" s="145" t="s">
        <v>45</v>
      </c>
      <c r="K358" s="29">
        <v>1</v>
      </c>
      <c r="L358" s="28">
        <f>bearing_plate</f>
        <v>1434.19</v>
      </c>
      <c r="M358" s="26">
        <f t="shared" si="24"/>
        <v>1434.19</v>
      </c>
      <c r="N358" s="8" t="s">
        <v>660</v>
      </c>
      <c r="O358" s="66" t="s">
        <v>101</v>
      </c>
      <c r="P358" s="29">
        <v>0.06</v>
      </c>
      <c r="Q358" s="28">
        <f>fan</f>
        <v>260.67</v>
      </c>
      <c r="R358" s="26">
        <f>P358*Q358</f>
        <v>15.6402</v>
      </c>
    </row>
    <row r="359" spans="1:18">
      <c r="A359" s="2"/>
      <c r="B359" s="126"/>
      <c r="C359" s="6"/>
      <c r="D359" s="4"/>
      <c r="E359" s="66"/>
      <c r="F359" s="29"/>
      <c r="G359" s="26"/>
      <c r="H359" s="26"/>
      <c r="I359" s="7" t="s">
        <v>31</v>
      </c>
      <c r="J359" s="145" t="s">
        <v>28</v>
      </c>
      <c r="K359" s="29">
        <f>((PI()/4*((0.032)^2-(0.025)^2)*1)*1440)*2</f>
        <v>0.90251673752327533</v>
      </c>
      <c r="L359" s="28">
        <f>cement/1000</f>
        <v>24.049689999999998</v>
      </c>
      <c r="M359" s="26">
        <f t="shared" si="24"/>
        <v>21.705247757246138</v>
      </c>
      <c r="N359" s="8" t="s">
        <v>661</v>
      </c>
      <c r="O359" s="66" t="s">
        <v>12</v>
      </c>
      <c r="P359" s="29"/>
      <c r="Q359" s="28"/>
      <c r="R359" s="154">
        <v>15</v>
      </c>
    </row>
    <row r="360" spans="1:18">
      <c r="A360" s="2"/>
      <c r="B360" s="126"/>
      <c r="C360" s="6"/>
      <c r="D360" s="4"/>
      <c r="E360" s="66"/>
      <c r="F360" s="29"/>
      <c r="G360" s="26"/>
      <c r="H360" s="26"/>
      <c r="I360" s="7" t="s">
        <v>652</v>
      </c>
      <c r="J360" s="145" t="s">
        <v>28</v>
      </c>
      <c r="K360" s="29">
        <f>0.005%*K359</f>
        <v>4.5125836876163772E-5</v>
      </c>
      <c r="L360" s="154">
        <v>500</v>
      </c>
      <c r="M360" s="26">
        <f t="shared" si="24"/>
        <v>2.2562918438081885E-2</v>
      </c>
      <c r="N360" s="8"/>
      <c r="O360" s="66"/>
      <c r="P360" s="29"/>
      <c r="Q360" s="28"/>
      <c r="R360" s="26"/>
    </row>
    <row r="361" spans="1:18">
      <c r="A361" s="2"/>
      <c r="B361" s="126"/>
      <c r="C361" s="6"/>
      <c r="D361" s="4"/>
      <c r="E361" s="66"/>
      <c r="F361" s="29"/>
      <c r="G361" s="26"/>
      <c r="H361" s="26"/>
      <c r="I361" s="7" t="s">
        <v>653</v>
      </c>
      <c r="J361" s="145" t="s">
        <v>11</v>
      </c>
      <c r="K361" s="29">
        <f>K359/1500</f>
        <v>6.0167782501551685E-4</v>
      </c>
      <c r="L361" s="28">
        <f>sand</f>
        <v>1050</v>
      </c>
      <c r="M361" s="26">
        <f t="shared" si="24"/>
        <v>0.63176171626629274</v>
      </c>
      <c r="N361" s="8"/>
      <c r="O361" s="66"/>
      <c r="P361" s="29"/>
      <c r="Q361" s="28"/>
      <c r="R361" s="26"/>
    </row>
    <row r="362" spans="1:18">
      <c r="A362" s="2"/>
      <c r="B362" s="126"/>
      <c r="C362" s="6"/>
      <c r="D362" s="4"/>
      <c r="E362" s="66"/>
      <c r="F362" s="29"/>
      <c r="G362" s="26"/>
      <c r="H362" s="26"/>
      <c r="I362" s="7"/>
      <c r="J362" s="145"/>
      <c r="K362" s="29"/>
      <c r="L362" s="28"/>
      <c r="M362" s="26"/>
      <c r="N362" s="8"/>
      <c r="O362" s="66"/>
      <c r="P362" s="29"/>
      <c r="Q362" s="28"/>
      <c r="R362" s="26"/>
    </row>
    <row r="363" spans="1:18">
      <c r="A363" s="2"/>
      <c r="B363" s="5"/>
      <c r="C363" s="6"/>
      <c r="D363" s="4"/>
      <c r="E363" s="9"/>
      <c r="F363" s="30"/>
      <c r="G363" s="27"/>
      <c r="H363" s="27"/>
      <c r="I363" s="9"/>
      <c r="J363" s="10"/>
      <c r="K363" s="30"/>
      <c r="L363" s="28"/>
      <c r="M363" s="28"/>
      <c r="N363" s="8"/>
      <c r="O363" s="6"/>
      <c r="P363" s="30"/>
      <c r="Q363" s="28"/>
      <c r="R363" s="28"/>
    </row>
    <row r="364" spans="1:18">
      <c r="A364" s="2"/>
      <c r="B364" s="11"/>
      <c r="C364" s="6"/>
      <c r="D364" s="12"/>
      <c r="E364" s="59"/>
      <c r="F364" s="13"/>
      <c r="G364" s="13" t="s">
        <v>20</v>
      </c>
      <c r="H364" s="25">
        <f>SUM(H352:H363)</f>
        <v>142.1875</v>
      </c>
      <c r="I364" s="703"/>
      <c r="J364" s="703"/>
      <c r="K364" s="14"/>
      <c r="L364" s="13" t="s">
        <v>21</v>
      </c>
      <c r="M364" s="25">
        <f>SUM(M352:M363)</f>
        <v>2394.5917723919501</v>
      </c>
      <c r="N364" s="3"/>
      <c r="O364" s="14"/>
      <c r="P364" s="14"/>
      <c r="Q364" s="13" t="s">
        <v>22</v>
      </c>
      <c r="R364" s="25">
        <f>SUM(R352:R363)</f>
        <v>207.3202</v>
      </c>
    </row>
    <row r="365" spans="1:18">
      <c r="A365" s="2"/>
      <c r="B365" s="16" t="s">
        <v>13</v>
      </c>
      <c r="C365" s="14"/>
      <c r="D365" s="14"/>
      <c r="E365" s="14"/>
      <c r="F365" s="14"/>
      <c r="G365" s="13"/>
      <c r="H365" s="35">
        <f>M364+R364+H364</f>
        <v>2744.0994723919503</v>
      </c>
      <c r="I365" s="17"/>
      <c r="J365" s="14"/>
      <c r="K365" s="14"/>
      <c r="L365" s="13"/>
      <c r="M365" s="15"/>
      <c r="N365" s="14"/>
      <c r="O365" s="14"/>
      <c r="P365" s="14"/>
      <c r="Q365" s="14"/>
      <c r="R365" s="17"/>
    </row>
    <row r="366" spans="1:18">
      <c r="A366" s="2"/>
      <c r="B366" s="11" t="s">
        <v>25</v>
      </c>
      <c r="C366" s="4" t="s">
        <v>647</v>
      </c>
      <c r="D366" s="4"/>
      <c r="E366" s="4"/>
      <c r="F366" s="4"/>
      <c r="G366" s="18"/>
      <c r="H366" s="36">
        <f>20%*(H364)</f>
        <v>28.4375</v>
      </c>
      <c r="I366" s="20"/>
      <c r="J366" s="4" t="s">
        <v>26</v>
      </c>
      <c r="K366" s="4"/>
      <c r="L366" s="18"/>
      <c r="M366" s="19"/>
      <c r="N366" s="4"/>
      <c r="O366" s="4"/>
      <c r="P366" s="4"/>
      <c r="Q366" s="4"/>
      <c r="R366" s="20"/>
    </row>
    <row r="367" spans="1:18">
      <c r="A367" s="23"/>
      <c r="B367" s="11" t="s">
        <v>14</v>
      </c>
      <c r="C367" s="4"/>
      <c r="D367" s="4"/>
      <c r="E367" s="4"/>
      <c r="F367" s="4"/>
      <c r="G367" s="18"/>
      <c r="H367" s="36">
        <f>SUM(H365:H366)</f>
        <v>2772.5369723919503</v>
      </c>
      <c r="I367" s="20"/>
      <c r="J367" s="741"/>
      <c r="K367" s="742"/>
      <c r="L367" s="742"/>
      <c r="M367" s="742"/>
      <c r="N367" s="742"/>
      <c r="O367" s="742"/>
      <c r="P367" s="742"/>
      <c r="Q367" s="742"/>
      <c r="R367" s="743"/>
    </row>
    <row r="368" spans="1:18">
      <c r="A368" s="23"/>
      <c r="B368" s="11" t="s">
        <v>24</v>
      </c>
      <c r="C368" s="4"/>
      <c r="D368" s="4"/>
      <c r="E368" s="4"/>
      <c r="F368" s="4"/>
      <c r="G368" s="18"/>
      <c r="H368" s="36">
        <f>H367*15%</f>
        <v>415.88054585879252</v>
      </c>
      <c r="I368" s="20"/>
      <c r="J368" s="744"/>
      <c r="K368" s="745"/>
      <c r="L368" s="745"/>
      <c r="M368" s="745"/>
      <c r="N368" s="745"/>
      <c r="O368" s="745"/>
      <c r="P368" s="745"/>
      <c r="Q368" s="745"/>
      <c r="R368" s="746"/>
    </row>
    <row r="369" spans="1:18">
      <c r="A369" s="23"/>
      <c r="B369" s="11" t="s">
        <v>15</v>
      </c>
      <c r="C369" s="4"/>
      <c r="D369" s="4"/>
      <c r="E369" s="4"/>
      <c r="F369" s="4"/>
      <c r="G369" s="21" t="s">
        <v>16</v>
      </c>
      <c r="H369" s="37">
        <f>H368+H367</f>
        <v>3188.4175182507429</v>
      </c>
      <c r="I369" s="38" t="str">
        <f>CONCATENATE("per ",C352, C353)</f>
        <v>per nos.</v>
      </c>
      <c r="J369" s="744"/>
      <c r="K369" s="745"/>
      <c r="L369" s="745"/>
      <c r="M369" s="745"/>
      <c r="N369" s="745"/>
      <c r="O369" s="745"/>
      <c r="P369" s="745"/>
      <c r="Q369" s="745"/>
      <c r="R369" s="746"/>
    </row>
    <row r="370" spans="1:18">
      <c r="A370" s="23"/>
      <c r="B370" s="11" t="s">
        <v>18</v>
      </c>
      <c r="C370" s="4" t="s">
        <v>19</v>
      </c>
      <c r="D370" s="4"/>
      <c r="E370" s="4"/>
      <c r="F370" s="4"/>
      <c r="G370" s="21" t="s">
        <v>16</v>
      </c>
      <c r="H370" s="37">
        <f>CEILING(H369,0.5)</f>
        <v>3188.5</v>
      </c>
      <c r="I370" s="38" t="str">
        <f>CONCATENATE("per ",C352)</f>
        <v>per nos.</v>
      </c>
      <c r="J370" s="744"/>
      <c r="K370" s="745"/>
      <c r="L370" s="745"/>
      <c r="M370" s="745"/>
      <c r="N370" s="745"/>
      <c r="O370" s="745"/>
      <c r="P370" s="745"/>
      <c r="Q370" s="745"/>
      <c r="R370" s="746"/>
    </row>
    <row r="371" spans="1:18">
      <c r="A371" s="23"/>
      <c r="B371" s="11"/>
      <c r="C371" s="4"/>
      <c r="D371" s="4"/>
      <c r="E371" s="4"/>
      <c r="F371" s="4"/>
      <c r="G371" s="24" t="s">
        <v>17</v>
      </c>
      <c r="H371" s="37">
        <f>H370/exr</f>
        <v>24.526923076923076</v>
      </c>
      <c r="I371" s="38" t="str">
        <f>CONCATENATE("per ",C352)</f>
        <v>per nos.</v>
      </c>
      <c r="J371" s="747"/>
      <c r="K371" s="748"/>
      <c r="L371" s="748"/>
      <c r="M371" s="748"/>
      <c r="N371" s="748"/>
      <c r="O371" s="748"/>
      <c r="P371" s="748"/>
      <c r="Q371" s="748"/>
      <c r="R371" s="749"/>
    </row>
    <row r="372" spans="1:18">
      <c r="A372" s="39"/>
      <c r="B372" s="40"/>
      <c r="C372" s="41"/>
      <c r="D372" s="41"/>
      <c r="E372" s="41"/>
      <c r="F372" s="41"/>
      <c r="G372" s="149" t="s">
        <v>460</v>
      </c>
      <c r="H372" s="150">
        <f>CEILING(SUM(M364,R364)/H365,0.0025)</f>
        <v>0.95000000000000007</v>
      </c>
      <c r="I372" s="42"/>
      <c r="J372" s="43"/>
      <c r="K372" s="43"/>
      <c r="L372" s="43"/>
      <c r="M372" s="43"/>
      <c r="N372" s="43"/>
      <c r="O372" s="43"/>
      <c r="P372" s="43"/>
      <c r="Q372" s="43"/>
      <c r="R372" s="44"/>
    </row>
    <row r="374" spans="1:18">
      <c r="A374" s="693" t="s">
        <v>0</v>
      </c>
      <c r="B374" s="695" t="s">
        <v>1</v>
      </c>
      <c r="C374" s="695" t="s">
        <v>2</v>
      </c>
      <c r="D374" s="697" t="s">
        <v>3</v>
      </c>
      <c r="E374" s="698"/>
      <c r="F374" s="698"/>
      <c r="G374" s="698"/>
      <c r="H374" s="698"/>
      <c r="I374" s="699" t="s">
        <v>4</v>
      </c>
      <c r="J374" s="700"/>
      <c r="K374" s="700"/>
      <c r="L374" s="700"/>
      <c r="M374" s="700"/>
      <c r="N374" s="698" t="s">
        <v>5</v>
      </c>
      <c r="O374" s="698"/>
      <c r="P374" s="698"/>
      <c r="Q374" s="698"/>
      <c r="R374" s="698"/>
    </row>
    <row r="375" spans="1:18">
      <c r="A375" s="694"/>
      <c r="B375" s="759"/>
      <c r="C375" s="696"/>
      <c r="D375" s="45" t="s">
        <v>6</v>
      </c>
      <c r="E375" s="46" t="s">
        <v>2</v>
      </c>
      <c r="F375" s="46" t="s">
        <v>7</v>
      </c>
      <c r="G375" s="46" t="s">
        <v>8</v>
      </c>
      <c r="H375" s="46" t="s">
        <v>9</v>
      </c>
      <c r="I375" s="46" t="s">
        <v>10</v>
      </c>
      <c r="J375" s="46" t="s">
        <v>2</v>
      </c>
      <c r="K375" s="46" t="s">
        <v>7</v>
      </c>
      <c r="L375" s="46" t="s">
        <v>8</v>
      </c>
      <c r="M375" s="47" t="s">
        <v>9</v>
      </c>
      <c r="N375" s="46" t="s">
        <v>10</v>
      </c>
      <c r="O375" s="46" t="s">
        <v>2</v>
      </c>
      <c r="P375" s="46" t="s">
        <v>7</v>
      </c>
      <c r="Q375" s="46" t="s">
        <v>8</v>
      </c>
      <c r="R375" s="46" t="s">
        <v>9</v>
      </c>
    </row>
    <row r="376" spans="1:18">
      <c r="A376" s="33" t="s">
        <v>23</v>
      </c>
      <c r="B376" s="127"/>
      <c r="C376" s="31"/>
      <c r="D376" s="31"/>
      <c r="E376" s="31"/>
      <c r="F376" s="31"/>
      <c r="G376" s="31"/>
      <c r="H376" s="31"/>
      <c r="I376" s="31"/>
      <c r="J376" s="31"/>
      <c r="K376" s="31"/>
      <c r="L376" s="31"/>
      <c r="M376" s="31"/>
      <c r="N376" s="31"/>
      <c r="O376" s="31"/>
      <c r="P376" s="31"/>
      <c r="Q376" s="31"/>
      <c r="R376" s="32"/>
    </row>
    <row r="377" spans="1:18">
      <c r="A377" s="34">
        <f>A352+1</f>
        <v>14</v>
      </c>
      <c r="B377" s="713" t="s">
        <v>665</v>
      </c>
      <c r="C377" s="66" t="s">
        <v>138</v>
      </c>
      <c r="D377" s="4"/>
      <c r="E377" s="6"/>
      <c r="F377" s="29"/>
      <c r="G377" s="26"/>
      <c r="H377" s="26"/>
      <c r="I377" s="6"/>
      <c r="J377" s="6"/>
      <c r="K377" s="29"/>
      <c r="L377" s="26"/>
      <c r="M377" s="26"/>
      <c r="N377" s="6"/>
      <c r="O377" s="6"/>
      <c r="P377" s="29"/>
      <c r="Q377" s="26"/>
      <c r="R377" s="26"/>
    </row>
    <row r="378" spans="1:18">
      <c r="A378" s="2"/>
      <c r="B378" s="714"/>
      <c r="C378" s="124"/>
      <c r="D378" s="4" t="s">
        <v>75</v>
      </c>
      <c r="E378" s="66" t="s">
        <v>81</v>
      </c>
      <c r="F378" s="29">
        <f>$F$353*J392</f>
        <v>4.6875E-2</v>
      </c>
      <c r="G378" s="26">
        <f>fr</f>
        <v>1100</v>
      </c>
      <c r="H378" s="26">
        <f>F378*G378</f>
        <v>51.5625</v>
      </c>
      <c r="I378" s="7" t="s">
        <v>67</v>
      </c>
      <c r="J378" s="145" t="s">
        <v>250</v>
      </c>
      <c r="K378" s="29">
        <f>$K$353*J392</f>
        <v>2.5499999999999998</v>
      </c>
      <c r="L378" s="28">
        <f>diesel</f>
        <v>177.6</v>
      </c>
      <c r="M378" s="26">
        <f>K378*L378</f>
        <v>452.87999999999994</v>
      </c>
      <c r="N378" s="8" t="s">
        <v>655</v>
      </c>
      <c r="O378" s="66" t="s">
        <v>101</v>
      </c>
      <c r="P378" s="29">
        <f>$P$353*J392</f>
        <v>0.1875</v>
      </c>
      <c r="Q378" s="28">
        <f>compressor</f>
        <v>270.39999999999998</v>
      </c>
      <c r="R378" s="26">
        <f>P378*Q378</f>
        <v>50.699999999999996</v>
      </c>
    </row>
    <row r="379" spans="1:18">
      <c r="A379" s="2"/>
      <c r="B379" s="714"/>
      <c r="C379" s="6"/>
      <c r="D379" s="4" t="s">
        <v>89</v>
      </c>
      <c r="E379" s="66" t="s">
        <v>81</v>
      </c>
      <c r="F379" s="29">
        <f>$F$354*J392</f>
        <v>7.03125E-2</v>
      </c>
      <c r="G379" s="26">
        <f>dr</f>
        <v>1100</v>
      </c>
      <c r="H379" s="26">
        <f>F379*G379</f>
        <v>77.34375</v>
      </c>
      <c r="I379" s="7" t="s">
        <v>649</v>
      </c>
      <c r="J379" s="145" t="s">
        <v>12</v>
      </c>
      <c r="K379" s="29"/>
      <c r="L379" s="28"/>
      <c r="M379" s="154">
        <v>20</v>
      </c>
      <c r="N379" s="8" t="s">
        <v>656</v>
      </c>
      <c r="O379" s="66" t="s">
        <v>101</v>
      </c>
      <c r="P379" s="29">
        <f>$P$354*J392</f>
        <v>0.1875</v>
      </c>
      <c r="Q379" s="216">
        <f>jack_hammer</f>
        <v>162.24</v>
      </c>
      <c r="R379" s="26">
        <f>P379*Q379</f>
        <v>30.42</v>
      </c>
    </row>
    <row r="380" spans="1:18">
      <c r="A380" s="2"/>
      <c r="B380" s="126"/>
      <c r="C380" s="6"/>
      <c r="D380" s="4" t="s">
        <v>462</v>
      </c>
      <c r="E380" s="66" t="s">
        <v>81</v>
      </c>
      <c r="F380" s="29">
        <f>$F$355*J392</f>
        <v>0.11249999999999999</v>
      </c>
      <c r="G380" s="26">
        <f>drh</f>
        <v>750</v>
      </c>
      <c r="H380" s="26">
        <f>F380*G380</f>
        <v>84.374999999999986</v>
      </c>
      <c r="I380" s="7" t="s">
        <v>494</v>
      </c>
      <c r="J380" s="145" t="s">
        <v>45</v>
      </c>
      <c r="K380" s="29">
        <f>$K$355*J392</f>
        <v>0.09</v>
      </c>
      <c r="L380" s="28">
        <f>Drillbit_32</f>
        <v>3709.37</v>
      </c>
      <c r="M380" s="26">
        <f t="shared" ref="M380:M386" si="25">K380*L380</f>
        <v>333.8433</v>
      </c>
      <c r="N380" s="8" t="s">
        <v>657</v>
      </c>
      <c r="O380" s="66" t="s">
        <v>12</v>
      </c>
      <c r="P380" s="29"/>
      <c r="Q380" s="28"/>
      <c r="R380" s="154">
        <v>50</v>
      </c>
    </row>
    <row r="381" spans="1:18">
      <c r="A381" s="2"/>
      <c r="B381" s="126"/>
      <c r="C381" s="6"/>
      <c r="D381" s="4"/>
      <c r="E381" s="66"/>
      <c r="F381" s="29"/>
      <c r="G381" s="26"/>
      <c r="H381" s="26"/>
      <c r="I381" s="7" t="s">
        <v>664</v>
      </c>
      <c r="J381" s="145" t="s">
        <v>47</v>
      </c>
      <c r="K381" s="29">
        <f>J392</f>
        <v>1.5</v>
      </c>
      <c r="L381" s="28">
        <f>rockbolt_25</f>
        <v>353.56</v>
      </c>
      <c r="M381" s="26">
        <f t="shared" si="25"/>
        <v>530.34</v>
      </c>
      <c r="N381" s="8" t="s">
        <v>658</v>
      </c>
      <c r="O381" s="66" t="s">
        <v>12</v>
      </c>
      <c r="P381" s="29"/>
      <c r="Q381" s="28"/>
      <c r="R381" s="154">
        <f>10%*R380</f>
        <v>5</v>
      </c>
    </row>
    <row r="382" spans="1:18">
      <c r="A382" s="2"/>
      <c r="B382" s="126"/>
      <c r="C382" s="6"/>
      <c r="D382" s="4"/>
      <c r="E382" s="66"/>
      <c r="F382" s="29"/>
      <c r="G382" s="26"/>
      <c r="H382" s="26"/>
      <c r="I382" s="7" t="s">
        <v>650</v>
      </c>
      <c r="J382" s="145" t="s">
        <v>45</v>
      </c>
      <c r="K382" s="29">
        <v>1</v>
      </c>
      <c r="L382" s="154">
        <v>40</v>
      </c>
      <c r="M382" s="26">
        <f t="shared" si="25"/>
        <v>40</v>
      </c>
      <c r="N382" s="8" t="s">
        <v>659</v>
      </c>
      <c r="O382" s="66" t="s">
        <v>101</v>
      </c>
      <c r="P382" s="29">
        <f>$P$357*J392</f>
        <v>0.1875</v>
      </c>
      <c r="Q382" s="28">
        <f>grout_pump</f>
        <v>540.79999999999995</v>
      </c>
      <c r="R382" s="26">
        <f>P382*Q382</f>
        <v>101.39999999999999</v>
      </c>
    </row>
    <row r="383" spans="1:18">
      <c r="A383" s="2"/>
      <c r="B383" s="126"/>
      <c r="C383" s="6"/>
      <c r="D383" s="4"/>
      <c r="E383" s="66"/>
      <c r="F383" s="29"/>
      <c r="G383" s="26"/>
      <c r="H383" s="26"/>
      <c r="I383" s="7" t="s">
        <v>651</v>
      </c>
      <c r="J383" s="145" t="s">
        <v>45</v>
      </c>
      <c r="K383" s="29">
        <v>1</v>
      </c>
      <c r="L383" s="28">
        <f>bearing_plate</f>
        <v>1434.19</v>
      </c>
      <c r="M383" s="26">
        <f t="shared" si="25"/>
        <v>1434.19</v>
      </c>
      <c r="N383" s="8" t="s">
        <v>660</v>
      </c>
      <c r="O383" s="66" t="s">
        <v>101</v>
      </c>
      <c r="P383" s="29">
        <f>$P$358*J392</f>
        <v>0.09</v>
      </c>
      <c r="Q383" s="28">
        <f>fan</f>
        <v>260.67</v>
      </c>
      <c r="R383" s="26">
        <f>P383*Q383</f>
        <v>23.4603</v>
      </c>
    </row>
    <row r="384" spans="1:18">
      <c r="A384" s="2"/>
      <c r="B384" s="126"/>
      <c r="C384" s="6"/>
      <c r="D384" s="4"/>
      <c r="E384" s="66"/>
      <c r="F384" s="29"/>
      <c r="G384" s="26"/>
      <c r="H384" s="26"/>
      <c r="I384" s="7" t="s">
        <v>31</v>
      </c>
      <c r="J384" s="145" t="s">
        <v>28</v>
      </c>
      <c r="K384" s="29">
        <f>((PI()/4*((0.032)^2-(0.025)^2)*J392)*1440)*2</f>
        <v>1.353775106284913</v>
      </c>
      <c r="L384" s="28">
        <f>cement/1000</f>
        <v>24.049689999999998</v>
      </c>
      <c r="M384" s="26">
        <f t="shared" si="25"/>
        <v>32.557871635869205</v>
      </c>
      <c r="N384" s="8" t="s">
        <v>661</v>
      </c>
      <c r="O384" s="66" t="s">
        <v>12</v>
      </c>
      <c r="P384" s="29"/>
      <c r="Q384" s="28"/>
      <c r="R384" s="154">
        <v>15</v>
      </c>
    </row>
    <row r="385" spans="1:18">
      <c r="A385" s="2"/>
      <c r="B385" s="126"/>
      <c r="C385" s="6"/>
      <c r="D385" s="4"/>
      <c r="E385" s="66"/>
      <c r="F385" s="29"/>
      <c r="G385" s="26"/>
      <c r="H385" s="26"/>
      <c r="I385" s="7" t="s">
        <v>652</v>
      </c>
      <c r="J385" s="145" t="s">
        <v>28</v>
      </c>
      <c r="K385" s="29">
        <f>0.005%*K384</f>
        <v>6.7688755314245657E-5</v>
      </c>
      <c r="L385" s="154">
        <v>500</v>
      </c>
      <c r="M385" s="26">
        <f t="shared" si="25"/>
        <v>3.384437765712283E-2</v>
      </c>
      <c r="N385" s="8"/>
      <c r="O385" s="66"/>
      <c r="P385" s="29"/>
      <c r="Q385" s="28"/>
      <c r="R385" s="26"/>
    </row>
    <row r="386" spans="1:18">
      <c r="A386" s="2"/>
      <c r="B386" s="126"/>
      <c r="C386" s="6"/>
      <c r="D386" s="4"/>
      <c r="E386" s="66"/>
      <c r="F386" s="29"/>
      <c r="G386" s="26"/>
      <c r="H386" s="26"/>
      <c r="I386" s="7" t="s">
        <v>653</v>
      </c>
      <c r="J386" s="145" t="s">
        <v>11</v>
      </c>
      <c r="K386" s="29">
        <f>K384/1500</f>
        <v>9.0251673752327532E-4</v>
      </c>
      <c r="L386" s="28">
        <f>sand</f>
        <v>1050</v>
      </c>
      <c r="M386" s="26">
        <f t="shared" si="25"/>
        <v>0.94764257439943911</v>
      </c>
      <c r="N386" s="8"/>
      <c r="O386" s="66"/>
      <c r="P386" s="29"/>
      <c r="Q386" s="28"/>
      <c r="R386" s="26"/>
    </row>
    <row r="387" spans="1:18">
      <c r="A387" s="2"/>
      <c r="B387" s="126"/>
      <c r="C387" s="6"/>
      <c r="D387" s="4"/>
      <c r="E387" s="66"/>
      <c r="F387" s="29"/>
      <c r="G387" s="26"/>
      <c r="H387" s="26"/>
      <c r="I387" s="7"/>
      <c r="J387" s="145"/>
      <c r="K387" s="29"/>
      <c r="L387" s="28"/>
      <c r="M387" s="26"/>
      <c r="N387" s="8"/>
      <c r="O387" s="66"/>
      <c r="P387" s="29"/>
      <c r="Q387" s="28"/>
      <c r="R387" s="26"/>
    </row>
    <row r="388" spans="1:18">
      <c r="A388" s="2"/>
      <c r="B388" s="5"/>
      <c r="C388" s="6"/>
      <c r="D388" s="4"/>
      <c r="E388" s="9"/>
      <c r="F388" s="30"/>
      <c r="G388" s="27"/>
      <c r="H388" s="27"/>
      <c r="I388" s="9"/>
      <c r="J388" s="10"/>
      <c r="K388" s="30"/>
      <c r="L388" s="28"/>
      <c r="M388" s="28"/>
      <c r="N388" s="8"/>
      <c r="O388" s="6"/>
      <c r="P388" s="30"/>
      <c r="Q388" s="28"/>
      <c r="R388" s="28"/>
    </row>
    <row r="389" spans="1:18">
      <c r="A389" s="2"/>
      <c r="B389" s="11"/>
      <c r="C389" s="6"/>
      <c r="D389" s="12"/>
      <c r="E389" s="59"/>
      <c r="F389" s="13"/>
      <c r="G389" s="13" t="s">
        <v>20</v>
      </c>
      <c r="H389" s="25">
        <f>SUM(H377:H388)</f>
        <v>213.28125</v>
      </c>
      <c r="I389" s="703"/>
      <c r="J389" s="703"/>
      <c r="K389" s="14"/>
      <c r="L389" s="13" t="s">
        <v>21</v>
      </c>
      <c r="M389" s="25">
        <f>SUM(M377:M388)</f>
        <v>2844.7926585879259</v>
      </c>
      <c r="N389" s="3"/>
      <c r="O389" s="14"/>
      <c r="P389" s="14"/>
      <c r="Q389" s="13" t="s">
        <v>22</v>
      </c>
      <c r="R389" s="25">
        <f>SUM(R377:R388)</f>
        <v>275.9803</v>
      </c>
    </row>
    <row r="390" spans="1:18">
      <c r="A390" s="2"/>
      <c r="B390" s="16" t="s">
        <v>13</v>
      </c>
      <c r="C390" s="14"/>
      <c r="D390" s="14"/>
      <c r="E390" s="14"/>
      <c r="F390" s="14"/>
      <c r="G390" s="13"/>
      <c r="H390" s="35">
        <f>M389+R389+H389</f>
        <v>3334.054208587926</v>
      </c>
      <c r="I390" s="17"/>
      <c r="J390" s="14"/>
      <c r="K390" s="14"/>
      <c r="L390" s="13"/>
      <c r="M390" s="15"/>
      <c r="N390" s="14"/>
      <c r="O390" s="14"/>
      <c r="P390" s="14"/>
      <c r="Q390" s="14"/>
      <c r="R390" s="17"/>
    </row>
    <row r="391" spans="1:18">
      <c r="A391" s="2"/>
      <c r="B391" s="11" t="s">
        <v>25</v>
      </c>
      <c r="C391" s="4" t="s">
        <v>647</v>
      </c>
      <c r="D391" s="4"/>
      <c r="E391" s="4"/>
      <c r="F391" s="4"/>
      <c r="G391" s="18"/>
      <c r="H391" s="36">
        <f>20%*(H389)</f>
        <v>42.65625</v>
      </c>
      <c r="I391" s="20"/>
      <c r="J391" s="4" t="s">
        <v>26</v>
      </c>
      <c r="K391" s="4"/>
      <c r="L391" s="18"/>
      <c r="M391" s="19"/>
      <c r="N391" s="4"/>
      <c r="O391" s="4"/>
      <c r="P391" s="4"/>
      <c r="Q391" s="4"/>
      <c r="R391" s="20"/>
    </row>
    <row r="392" spans="1:18">
      <c r="A392" s="23"/>
      <c r="B392" s="11" t="s">
        <v>14</v>
      </c>
      <c r="C392" s="4"/>
      <c r="D392" s="4"/>
      <c r="E392" s="4"/>
      <c r="F392" s="4"/>
      <c r="G392" s="18"/>
      <c r="H392" s="36">
        <f>SUM(H390:H391)</f>
        <v>3376.710458587926</v>
      </c>
      <c r="I392" s="20"/>
      <c r="J392" s="750">
        <v>1.5</v>
      </c>
      <c r="K392" s="751"/>
      <c r="L392" s="751"/>
      <c r="M392" s="751"/>
      <c r="N392" s="751"/>
      <c r="O392" s="751"/>
      <c r="P392" s="751"/>
      <c r="Q392" s="751"/>
      <c r="R392" s="752"/>
    </row>
    <row r="393" spans="1:18">
      <c r="A393" s="23"/>
      <c r="B393" s="11" t="s">
        <v>24</v>
      </c>
      <c r="C393" s="4"/>
      <c r="D393" s="4"/>
      <c r="E393" s="4"/>
      <c r="F393" s="4"/>
      <c r="G393" s="18"/>
      <c r="H393" s="36">
        <f>H392*15%</f>
        <v>506.50656878818887</v>
      </c>
      <c r="I393" s="20"/>
      <c r="J393" s="753"/>
      <c r="K393" s="754"/>
      <c r="L393" s="754"/>
      <c r="M393" s="754"/>
      <c r="N393" s="754"/>
      <c r="O393" s="754"/>
      <c r="P393" s="754"/>
      <c r="Q393" s="754"/>
      <c r="R393" s="755"/>
    </row>
    <row r="394" spans="1:18">
      <c r="A394" s="23"/>
      <c r="B394" s="11" t="s">
        <v>15</v>
      </c>
      <c r="C394" s="4"/>
      <c r="D394" s="4"/>
      <c r="E394" s="4"/>
      <c r="F394" s="4"/>
      <c r="G394" s="21" t="s">
        <v>16</v>
      </c>
      <c r="H394" s="37">
        <f>H393+H392</f>
        <v>3883.2170273761149</v>
      </c>
      <c r="I394" s="38" t="str">
        <f>CONCATENATE("per ",C377, C378)</f>
        <v>per nos.</v>
      </c>
      <c r="J394" s="753"/>
      <c r="K394" s="754"/>
      <c r="L394" s="754"/>
      <c r="M394" s="754"/>
      <c r="N394" s="754"/>
      <c r="O394" s="754"/>
      <c r="P394" s="754"/>
      <c r="Q394" s="754"/>
      <c r="R394" s="755"/>
    </row>
    <row r="395" spans="1:18">
      <c r="A395" s="23"/>
      <c r="B395" s="11" t="s">
        <v>18</v>
      </c>
      <c r="C395" s="4" t="s">
        <v>19</v>
      </c>
      <c r="D395" s="4"/>
      <c r="E395" s="4"/>
      <c r="F395" s="4"/>
      <c r="G395" s="21" t="s">
        <v>16</v>
      </c>
      <c r="H395" s="37">
        <f>CEILING(H394,0.5)</f>
        <v>3883.5</v>
      </c>
      <c r="I395" s="38" t="str">
        <f>CONCATENATE("per ",C377)</f>
        <v>per nos.</v>
      </c>
      <c r="J395" s="753"/>
      <c r="K395" s="754"/>
      <c r="L395" s="754"/>
      <c r="M395" s="754"/>
      <c r="N395" s="754"/>
      <c r="O395" s="754"/>
      <c r="P395" s="754"/>
      <c r="Q395" s="754"/>
      <c r="R395" s="755"/>
    </row>
    <row r="396" spans="1:18">
      <c r="A396" s="23"/>
      <c r="B396" s="11"/>
      <c r="C396" s="4"/>
      <c r="D396" s="4"/>
      <c r="E396" s="4"/>
      <c r="F396" s="4"/>
      <c r="G396" s="24" t="s">
        <v>17</v>
      </c>
      <c r="H396" s="37">
        <f>H395/exr</f>
        <v>29.873076923076923</v>
      </c>
      <c r="I396" s="38" t="str">
        <f>CONCATENATE("per ",C377)</f>
        <v>per nos.</v>
      </c>
      <c r="J396" s="756"/>
      <c r="K396" s="757"/>
      <c r="L396" s="757"/>
      <c r="M396" s="757"/>
      <c r="N396" s="757"/>
      <c r="O396" s="757"/>
      <c r="P396" s="757"/>
      <c r="Q396" s="757"/>
      <c r="R396" s="758"/>
    </row>
    <row r="397" spans="1:18">
      <c r="A397" s="39"/>
      <c r="B397" s="40"/>
      <c r="C397" s="41"/>
      <c r="D397" s="41"/>
      <c r="E397" s="41"/>
      <c r="F397" s="41"/>
      <c r="G397" s="149" t="s">
        <v>460</v>
      </c>
      <c r="H397" s="150">
        <f>CEILING(SUM(M389,R389)/H390,0.0025)</f>
        <v>0.9375</v>
      </c>
      <c r="I397" s="42"/>
      <c r="J397" s="43"/>
      <c r="K397" s="43"/>
      <c r="L397" s="43"/>
      <c r="M397" s="43"/>
      <c r="N397" s="43"/>
      <c r="O397" s="43"/>
      <c r="P397" s="43"/>
      <c r="Q397" s="43"/>
      <c r="R397" s="44"/>
    </row>
    <row r="399" spans="1:18">
      <c r="A399" s="693" t="s">
        <v>0</v>
      </c>
      <c r="B399" s="695" t="s">
        <v>1</v>
      </c>
      <c r="C399" s="695" t="s">
        <v>2</v>
      </c>
      <c r="D399" s="697" t="s">
        <v>3</v>
      </c>
      <c r="E399" s="698"/>
      <c r="F399" s="698"/>
      <c r="G399" s="698"/>
      <c r="H399" s="698"/>
      <c r="I399" s="699" t="s">
        <v>4</v>
      </c>
      <c r="J399" s="700"/>
      <c r="K399" s="700"/>
      <c r="L399" s="700"/>
      <c r="M399" s="700"/>
      <c r="N399" s="698" t="s">
        <v>5</v>
      </c>
      <c r="O399" s="698"/>
      <c r="P399" s="698"/>
      <c r="Q399" s="698"/>
      <c r="R399" s="698"/>
    </row>
    <row r="400" spans="1:18">
      <c r="A400" s="694"/>
      <c r="B400" s="759"/>
      <c r="C400" s="696"/>
      <c r="D400" s="45" t="s">
        <v>6</v>
      </c>
      <c r="E400" s="46" t="s">
        <v>2</v>
      </c>
      <c r="F400" s="46" t="s">
        <v>7</v>
      </c>
      <c r="G400" s="46" t="s">
        <v>8</v>
      </c>
      <c r="H400" s="46" t="s">
        <v>9</v>
      </c>
      <c r="I400" s="46" t="s">
        <v>10</v>
      </c>
      <c r="J400" s="46" t="s">
        <v>2</v>
      </c>
      <c r="K400" s="46" t="s">
        <v>7</v>
      </c>
      <c r="L400" s="46" t="s">
        <v>8</v>
      </c>
      <c r="M400" s="47" t="s">
        <v>9</v>
      </c>
      <c r="N400" s="46" t="s">
        <v>10</v>
      </c>
      <c r="O400" s="46" t="s">
        <v>2</v>
      </c>
      <c r="P400" s="46" t="s">
        <v>7</v>
      </c>
      <c r="Q400" s="46" t="s">
        <v>8</v>
      </c>
      <c r="R400" s="46" t="s">
        <v>9</v>
      </c>
    </row>
    <row r="401" spans="1:18">
      <c r="A401" s="33" t="s">
        <v>23</v>
      </c>
      <c r="B401" s="127"/>
      <c r="C401" s="31"/>
      <c r="D401" s="31"/>
      <c r="E401" s="31"/>
      <c r="F401" s="31"/>
      <c r="G401" s="31"/>
      <c r="H401" s="31"/>
      <c r="I401" s="31"/>
      <c r="J401" s="31"/>
      <c r="K401" s="31"/>
      <c r="L401" s="31"/>
      <c r="M401" s="31"/>
      <c r="N401" s="31"/>
      <c r="O401" s="31"/>
      <c r="P401" s="31"/>
      <c r="Q401" s="31"/>
      <c r="R401" s="32"/>
    </row>
    <row r="402" spans="1:18">
      <c r="A402" s="34">
        <f>A377+1</f>
        <v>15</v>
      </c>
      <c r="B402" s="713" t="s">
        <v>666</v>
      </c>
      <c r="C402" s="66" t="s">
        <v>138</v>
      </c>
      <c r="D402" s="4"/>
      <c r="E402" s="6"/>
      <c r="F402" s="29"/>
      <c r="G402" s="26"/>
      <c r="H402" s="26"/>
      <c r="I402" s="6"/>
      <c r="J402" s="6"/>
      <c r="K402" s="29"/>
      <c r="L402" s="26"/>
      <c r="M402" s="26"/>
      <c r="N402" s="6"/>
      <c r="O402" s="6"/>
      <c r="P402" s="29"/>
      <c r="Q402" s="26"/>
      <c r="R402" s="26"/>
    </row>
    <row r="403" spans="1:18">
      <c r="A403" s="2"/>
      <c r="B403" s="714"/>
      <c r="C403" s="124"/>
      <c r="D403" s="4" t="s">
        <v>75</v>
      </c>
      <c r="E403" s="66" t="s">
        <v>81</v>
      </c>
      <c r="F403" s="29">
        <f>$F$353*J417</f>
        <v>6.25E-2</v>
      </c>
      <c r="G403" s="26">
        <f>fr</f>
        <v>1100</v>
      </c>
      <c r="H403" s="26">
        <f>F403*G403</f>
        <v>68.75</v>
      </c>
      <c r="I403" s="7" t="s">
        <v>67</v>
      </c>
      <c r="J403" s="145" t="s">
        <v>250</v>
      </c>
      <c r="K403" s="29">
        <v>3.2</v>
      </c>
      <c r="L403" s="28">
        <f>diesel</f>
        <v>177.6</v>
      </c>
      <c r="M403" s="26">
        <f>K403*L403</f>
        <v>568.32000000000005</v>
      </c>
      <c r="N403" s="8" t="s">
        <v>655</v>
      </c>
      <c r="O403" s="66" t="s">
        <v>101</v>
      </c>
      <c r="P403" s="29">
        <v>0.24</v>
      </c>
      <c r="Q403" s="28">
        <f>compressor</f>
        <v>270.39999999999998</v>
      </c>
      <c r="R403" s="26">
        <f>P403*Q403</f>
        <v>64.895999999999987</v>
      </c>
    </row>
    <row r="404" spans="1:18">
      <c r="A404" s="2"/>
      <c r="B404" s="714"/>
      <c r="C404" s="6"/>
      <c r="D404" s="4" t="s">
        <v>89</v>
      </c>
      <c r="E404" s="66" t="s">
        <v>81</v>
      </c>
      <c r="F404" s="29">
        <f>$F$354*J417</f>
        <v>9.375E-2</v>
      </c>
      <c r="G404" s="26">
        <f>dr</f>
        <v>1100</v>
      </c>
      <c r="H404" s="26">
        <f>F404*G404</f>
        <v>103.125</v>
      </c>
      <c r="I404" s="7" t="s">
        <v>649</v>
      </c>
      <c r="J404" s="145" t="s">
        <v>12</v>
      </c>
      <c r="K404" s="29"/>
      <c r="L404" s="28"/>
      <c r="M404" s="154">
        <v>30</v>
      </c>
      <c r="N404" s="8" t="s">
        <v>656</v>
      </c>
      <c r="O404" s="66" t="s">
        <v>101</v>
      </c>
      <c r="P404" s="29">
        <v>0.24</v>
      </c>
      <c r="Q404" s="216">
        <f>jack_hammer</f>
        <v>162.24</v>
      </c>
      <c r="R404" s="26">
        <f>P404*Q404</f>
        <v>38.937600000000003</v>
      </c>
    </row>
    <row r="405" spans="1:18">
      <c r="A405" s="2"/>
      <c r="B405" s="126"/>
      <c r="C405" s="6"/>
      <c r="D405" s="4" t="s">
        <v>462</v>
      </c>
      <c r="E405" s="66" t="s">
        <v>81</v>
      </c>
      <c r="F405" s="29">
        <f>$F$355*J417</f>
        <v>0.15</v>
      </c>
      <c r="G405" s="26">
        <f>drh</f>
        <v>750</v>
      </c>
      <c r="H405" s="26">
        <f>F405*G405</f>
        <v>112.5</v>
      </c>
      <c r="I405" s="7" t="s">
        <v>494</v>
      </c>
      <c r="J405" s="145" t="s">
        <v>45</v>
      </c>
      <c r="K405" s="29">
        <f>$K$355*J417</f>
        <v>0.12</v>
      </c>
      <c r="L405" s="28">
        <f>Drillbit_32</f>
        <v>3709.37</v>
      </c>
      <c r="M405" s="26">
        <f t="shared" ref="M405:M411" si="26">K405*L405</f>
        <v>445.12439999999998</v>
      </c>
      <c r="N405" s="8" t="s">
        <v>657</v>
      </c>
      <c r="O405" s="66" t="s">
        <v>12</v>
      </c>
      <c r="P405" s="29"/>
      <c r="Q405" s="28"/>
      <c r="R405" s="154">
        <v>50</v>
      </c>
    </row>
    <row r="406" spans="1:18">
      <c r="A406" s="2"/>
      <c r="B406" s="126"/>
      <c r="C406" s="6"/>
      <c r="D406" s="4"/>
      <c r="E406" s="66"/>
      <c r="F406" s="29"/>
      <c r="G406" s="26"/>
      <c r="H406" s="26"/>
      <c r="I406" s="7" t="s">
        <v>664</v>
      </c>
      <c r="J406" s="145" t="s">
        <v>47</v>
      </c>
      <c r="K406" s="29">
        <f>J417</f>
        <v>2</v>
      </c>
      <c r="L406" s="28">
        <f>rockbolt_25</f>
        <v>353.56</v>
      </c>
      <c r="M406" s="26">
        <f t="shared" si="26"/>
        <v>707.12</v>
      </c>
      <c r="N406" s="8" t="s">
        <v>658</v>
      </c>
      <c r="O406" s="66" t="s">
        <v>12</v>
      </c>
      <c r="P406" s="29"/>
      <c r="Q406" s="28"/>
      <c r="R406" s="154">
        <f>10%*R405</f>
        <v>5</v>
      </c>
    </row>
    <row r="407" spans="1:18">
      <c r="A407" s="2"/>
      <c r="B407" s="126"/>
      <c r="C407" s="6"/>
      <c r="D407" s="4"/>
      <c r="E407" s="66"/>
      <c r="F407" s="29"/>
      <c r="G407" s="26"/>
      <c r="H407" s="26"/>
      <c r="I407" s="7" t="s">
        <v>650</v>
      </c>
      <c r="J407" s="145" t="s">
        <v>45</v>
      </c>
      <c r="K407" s="29">
        <v>1</v>
      </c>
      <c r="L407" s="154">
        <v>40</v>
      </c>
      <c r="M407" s="26">
        <f t="shared" si="26"/>
        <v>40</v>
      </c>
      <c r="N407" s="8" t="s">
        <v>659</v>
      </c>
      <c r="O407" s="66" t="s">
        <v>101</v>
      </c>
      <c r="P407" s="29">
        <v>0.1</v>
      </c>
      <c r="Q407" s="28">
        <f>grout_pump</f>
        <v>540.79999999999995</v>
      </c>
      <c r="R407" s="26">
        <f>P407*Q407</f>
        <v>54.08</v>
      </c>
    </row>
    <row r="408" spans="1:18">
      <c r="A408" s="2"/>
      <c r="B408" s="126"/>
      <c r="C408" s="6"/>
      <c r="D408" s="4"/>
      <c r="E408" s="66"/>
      <c r="F408" s="29"/>
      <c r="G408" s="26"/>
      <c r="H408" s="26"/>
      <c r="I408" s="7" t="s">
        <v>651</v>
      </c>
      <c r="J408" s="145" t="s">
        <v>45</v>
      </c>
      <c r="K408" s="29">
        <v>1</v>
      </c>
      <c r="L408" s="28">
        <f>bearing_plate*0.6</f>
        <v>860.51400000000001</v>
      </c>
      <c r="M408" s="26">
        <f t="shared" si="26"/>
        <v>860.51400000000001</v>
      </c>
      <c r="N408" s="8" t="s">
        <v>660</v>
      </c>
      <c r="O408" s="66" t="s">
        <v>101</v>
      </c>
      <c r="P408" s="29">
        <v>0.24</v>
      </c>
      <c r="Q408" s="28">
        <f>fan</f>
        <v>260.67</v>
      </c>
      <c r="R408" s="26">
        <f>P408*Q408</f>
        <v>62.5608</v>
      </c>
    </row>
    <row r="409" spans="1:18">
      <c r="A409" s="2"/>
      <c r="B409" s="126"/>
      <c r="C409" s="6"/>
      <c r="D409" s="4"/>
      <c r="E409" s="66"/>
      <c r="F409" s="29"/>
      <c r="G409" s="26"/>
      <c r="H409" s="26"/>
      <c r="I409" s="7" t="s">
        <v>31</v>
      </c>
      <c r="J409" s="145" t="s">
        <v>28</v>
      </c>
      <c r="K409" s="29">
        <f>((PI()/4*((0.032)^2-(0.025)^2)*J417)*1440)*2</f>
        <v>1.8050334750465507</v>
      </c>
      <c r="L409" s="28">
        <f>cement/1000</f>
        <v>24.049689999999998</v>
      </c>
      <c r="M409" s="26">
        <f t="shared" si="26"/>
        <v>43.410495514492276</v>
      </c>
      <c r="N409" s="8" t="s">
        <v>661</v>
      </c>
      <c r="O409" s="66" t="s">
        <v>12</v>
      </c>
      <c r="P409" s="29"/>
      <c r="Q409" s="28"/>
      <c r="R409" s="154">
        <v>15</v>
      </c>
    </row>
    <row r="410" spans="1:18">
      <c r="A410" s="2"/>
      <c r="B410" s="126"/>
      <c r="C410" s="6"/>
      <c r="D410" s="4"/>
      <c r="E410" s="66"/>
      <c r="F410" s="29"/>
      <c r="G410" s="26"/>
      <c r="H410" s="26"/>
      <c r="I410" s="7" t="s">
        <v>652</v>
      </c>
      <c r="J410" s="145" t="s">
        <v>28</v>
      </c>
      <c r="K410" s="29">
        <f>0.005%*K409</f>
        <v>9.0251673752327543E-5</v>
      </c>
      <c r="L410" s="154">
        <v>500</v>
      </c>
      <c r="M410" s="26">
        <f t="shared" si="26"/>
        <v>4.5125836876163769E-2</v>
      </c>
      <c r="N410" s="8"/>
      <c r="O410" s="66"/>
      <c r="P410" s="29"/>
      <c r="Q410" s="28"/>
      <c r="R410" s="26"/>
    </row>
    <row r="411" spans="1:18">
      <c r="A411" s="2"/>
      <c r="B411" s="126"/>
      <c r="C411" s="6"/>
      <c r="D411" s="4"/>
      <c r="E411" s="66"/>
      <c r="F411" s="29"/>
      <c r="G411" s="26"/>
      <c r="H411" s="26"/>
      <c r="I411" s="7" t="s">
        <v>653</v>
      </c>
      <c r="J411" s="145" t="s">
        <v>11</v>
      </c>
      <c r="K411" s="29">
        <f>K409/1500</f>
        <v>1.2033556500310337E-3</v>
      </c>
      <c r="L411" s="28">
        <f>sand</f>
        <v>1050</v>
      </c>
      <c r="M411" s="26">
        <f t="shared" si="26"/>
        <v>1.2635234325325855</v>
      </c>
      <c r="N411" s="8"/>
      <c r="O411" s="66"/>
      <c r="P411" s="29"/>
      <c r="Q411" s="28"/>
      <c r="R411" s="26"/>
    </row>
    <row r="412" spans="1:18">
      <c r="A412" s="2"/>
      <c r="B412" s="126"/>
      <c r="C412" s="6"/>
      <c r="D412" s="4"/>
      <c r="E412" s="66"/>
      <c r="F412" s="29"/>
      <c r="G412" s="26"/>
      <c r="H412" s="26"/>
      <c r="I412" s="7"/>
      <c r="J412" s="145"/>
      <c r="K412" s="29"/>
      <c r="L412" s="28"/>
      <c r="M412" s="26"/>
      <c r="N412" s="8"/>
      <c r="O412" s="66"/>
      <c r="P412" s="29"/>
      <c r="Q412" s="28"/>
      <c r="R412" s="26"/>
    </row>
    <row r="413" spans="1:18">
      <c r="A413" s="2"/>
      <c r="B413" s="5"/>
      <c r="C413" s="6"/>
      <c r="D413" s="4"/>
      <c r="E413" s="9"/>
      <c r="F413" s="30"/>
      <c r="G413" s="27"/>
      <c r="H413" s="27"/>
      <c r="I413" s="9"/>
      <c r="J413" s="10"/>
      <c r="K413" s="30"/>
      <c r="L413" s="28"/>
      <c r="M413" s="28"/>
      <c r="N413" s="8"/>
      <c r="O413" s="6"/>
      <c r="P413" s="30"/>
      <c r="Q413" s="28"/>
      <c r="R413" s="28"/>
    </row>
    <row r="414" spans="1:18">
      <c r="A414" s="2"/>
      <c r="B414" s="11"/>
      <c r="C414" s="6"/>
      <c r="D414" s="12"/>
      <c r="E414" s="59"/>
      <c r="F414" s="13"/>
      <c r="G414" s="13" t="s">
        <v>20</v>
      </c>
      <c r="H414" s="25">
        <f>SUM(H402:H413)</f>
        <v>284.375</v>
      </c>
      <c r="I414" s="703"/>
      <c r="J414" s="703"/>
      <c r="K414" s="14"/>
      <c r="L414" s="13" t="s">
        <v>21</v>
      </c>
      <c r="M414" s="25">
        <f>SUM(M402:M413)</f>
        <v>2695.7975447839012</v>
      </c>
      <c r="N414" s="3"/>
      <c r="O414" s="14"/>
      <c r="P414" s="14"/>
      <c r="Q414" s="13" t="s">
        <v>22</v>
      </c>
      <c r="R414" s="25">
        <f>SUM(R402:R413)</f>
        <v>290.47439999999995</v>
      </c>
    </row>
    <row r="415" spans="1:18">
      <c r="A415" s="2"/>
      <c r="B415" s="16" t="s">
        <v>13</v>
      </c>
      <c r="C415" s="14"/>
      <c r="D415" s="14"/>
      <c r="E415" s="14"/>
      <c r="F415" s="14"/>
      <c r="G415" s="13"/>
      <c r="H415" s="35">
        <f>M414+R414+H414</f>
        <v>3270.6469447839013</v>
      </c>
      <c r="I415" s="17"/>
      <c r="J415" s="14"/>
      <c r="K415" s="14"/>
      <c r="L415" s="13"/>
      <c r="M415" s="15"/>
      <c r="N415" s="14"/>
      <c r="O415" s="14"/>
      <c r="P415" s="14"/>
      <c r="Q415" s="14"/>
      <c r="R415" s="17"/>
    </row>
    <row r="416" spans="1:18">
      <c r="A416" s="2"/>
      <c r="B416" s="11" t="s">
        <v>25</v>
      </c>
      <c r="C416" s="4" t="s">
        <v>647</v>
      </c>
      <c r="D416" s="4"/>
      <c r="E416" s="4"/>
      <c r="F416" s="4"/>
      <c r="G416" s="18"/>
      <c r="H416" s="36">
        <f>20%*(H414)</f>
        <v>56.875</v>
      </c>
      <c r="I416" s="20"/>
      <c r="J416" s="4" t="s">
        <v>26</v>
      </c>
      <c r="K416" s="4"/>
      <c r="L416" s="18"/>
      <c r="M416" s="19"/>
      <c r="N416" s="4"/>
      <c r="O416" s="4"/>
      <c r="P416" s="4"/>
      <c r="Q416" s="4"/>
      <c r="R416" s="20"/>
    </row>
    <row r="417" spans="1:18">
      <c r="A417" s="23"/>
      <c r="B417" s="11" t="s">
        <v>14</v>
      </c>
      <c r="C417" s="4"/>
      <c r="D417" s="4"/>
      <c r="E417" s="4"/>
      <c r="F417" s="4"/>
      <c r="G417" s="18"/>
      <c r="H417" s="36">
        <f>SUM(H415:H416)</f>
        <v>3327.5219447839013</v>
      </c>
      <c r="I417" s="20"/>
      <c r="J417" s="750">
        <v>2</v>
      </c>
      <c r="K417" s="751"/>
      <c r="L417" s="751"/>
      <c r="M417" s="751"/>
      <c r="N417" s="751"/>
      <c r="O417" s="751"/>
      <c r="P417" s="751"/>
      <c r="Q417" s="751"/>
      <c r="R417" s="752"/>
    </row>
    <row r="418" spans="1:18">
      <c r="A418" s="23"/>
      <c r="B418" s="11" t="s">
        <v>24</v>
      </c>
      <c r="C418" s="4"/>
      <c r="D418" s="4"/>
      <c r="E418" s="4"/>
      <c r="F418" s="4"/>
      <c r="G418" s="18"/>
      <c r="H418" s="36">
        <f>H417*15%</f>
        <v>499.12829171758517</v>
      </c>
      <c r="I418" s="20"/>
      <c r="J418" s="753"/>
      <c r="K418" s="754"/>
      <c r="L418" s="754"/>
      <c r="M418" s="754"/>
      <c r="N418" s="754"/>
      <c r="O418" s="754"/>
      <c r="P418" s="754"/>
      <c r="Q418" s="754"/>
      <c r="R418" s="755"/>
    </row>
    <row r="419" spans="1:18">
      <c r="A419" s="23"/>
      <c r="B419" s="11" t="s">
        <v>15</v>
      </c>
      <c r="C419" s="4"/>
      <c r="D419" s="4"/>
      <c r="E419" s="4"/>
      <c r="F419" s="4"/>
      <c r="G419" s="21" t="s">
        <v>16</v>
      </c>
      <c r="H419" s="37">
        <f>H418+H417</f>
        <v>3826.6502365014867</v>
      </c>
      <c r="I419" s="38" t="str">
        <f>CONCATENATE("per ",C402, C403)</f>
        <v>per nos.</v>
      </c>
      <c r="J419" s="753"/>
      <c r="K419" s="754"/>
      <c r="L419" s="754"/>
      <c r="M419" s="754"/>
      <c r="N419" s="754"/>
      <c r="O419" s="754"/>
      <c r="P419" s="754"/>
      <c r="Q419" s="754"/>
      <c r="R419" s="755"/>
    </row>
    <row r="420" spans="1:18">
      <c r="A420" s="23"/>
      <c r="B420" s="11" t="s">
        <v>18</v>
      </c>
      <c r="C420" s="4" t="s">
        <v>19</v>
      </c>
      <c r="D420" s="4"/>
      <c r="E420" s="4"/>
      <c r="F420" s="4"/>
      <c r="G420" s="21" t="s">
        <v>16</v>
      </c>
      <c r="H420" s="37">
        <f>CEILING(H419,0.5)</f>
        <v>3827</v>
      </c>
      <c r="I420" s="38" t="str">
        <f>CONCATENATE("per ",C402)</f>
        <v>per nos.</v>
      </c>
      <c r="J420" s="753"/>
      <c r="K420" s="754"/>
      <c r="L420" s="754"/>
      <c r="M420" s="754"/>
      <c r="N420" s="754"/>
      <c r="O420" s="754"/>
      <c r="P420" s="754"/>
      <c r="Q420" s="754"/>
      <c r="R420" s="755"/>
    </row>
    <row r="421" spans="1:18">
      <c r="A421" s="23"/>
      <c r="B421" s="11"/>
      <c r="C421" s="4"/>
      <c r="D421" s="4"/>
      <c r="E421" s="4"/>
      <c r="F421" s="4"/>
      <c r="G421" s="24" t="s">
        <v>17</v>
      </c>
      <c r="H421" s="37">
        <f>H420/exr</f>
        <v>29.438461538461539</v>
      </c>
      <c r="I421" s="38" t="str">
        <f>CONCATENATE("per ",C402)</f>
        <v>per nos.</v>
      </c>
      <c r="J421" s="756"/>
      <c r="K421" s="757"/>
      <c r="L421" s="757"/>
      <c r="M421" s="757"/>
      <c r="N421" s="757"/>
      <c r="O421" s="757"/>
      <c r="P421" s="757"/>
      <c r="Q421" s="757"/>
      <c r="R421" s="758"/>
    </row>
    <row r="422" spans="1:18">
      <c r="A422" s="39"/>
      <c r="B422" s="40"/>
      <c r="C422" s="41"/>
      <c r="D422" s="41"/>
      <c r="E422" s="41"/>
      <c r="F422" s="41"/>
      <c r="G422" s="149" t="s">
        <v>460</v>
      </c>
      <c r="H422" s="150">
        <f>CEILING(SUM(M414,R414)/H415,0.0025)</f>
        <v>0.91500000000000004</v>
      </c>
      <c r="I422" s="42"/>
      <c r="J422" s="43"/>
      <c r="K422" s="43"/>
      <c r="L422" s="43"/>
      <c r="M422" s="43"/>
      <c r="N422" s="43"/>
      <c r="O422" s="43"/>
      <c r="P422" s="43"/>
      <c r="Q422" s="43"/>
      <c r="R422" s="44"/>
    </row>
    <row r="424" spans="1:18">
      <c r="A424" s="693" t="s">
        <v>0</v>
      </c>
      <c r="B424" s="695" t="s">
        <v>1</v>
      </c>
      <c r="C424" s="695" t="s">
        <v>2</v>
      </c>
      <c r="D424" s="697" t="s">
        <v>3</v>
      </c>
      <c r="E424" s="698"/>
      <c r="F424" s="698"/>
      <c r="G424" s="698"/>
      <c r="H424" s="698"/>
      <c r="I424" s="699" t="s">
        <v>4</v>
      </c>
      <c r="J424" s="700"/>
      <c r="K424" s="700"/>
      <c r="L424" s="700"/>
      <c r="M424" s="700"/>
      <c r="N424" s="698" t="s">
        <v>5</v>
      </c>
      <c r="O424" s="698"/>
      <c r="P424" s="698"/>
      <c r="Q424" s="698"/>
      <c r="R424" s="698"/>
    </row>
    <row r="425" spans="1:18">
      <c r="A425" s="694"/>
      <c r="B425" s="759"/>
      <c r="C425" s="696"/>
      <c r="D425" s="45" t="s">
        <v>6</v>
      </c>
      <c r="E425" s="46" t="s">
        <v>2</v>
      </c>
      <c r="F425" s="46" t="s">
        <v>7</v>
      </c>
      <c r="G425" s="46" t="s">
        <v>8</v>
      </c>
      <c r="H425" s="46" t="s">
        <v>9</v>
      </c>
      <c r="I425" s="46" t="s">
        <v>10</v>
      </c>
      <c r="J425" s="46" t="s">
        <v>2</v>
      </c>
      <c r="K425" s="46" t="s">
        <v>7</v>
      </c>
      <c r="L425" s="46" t="s">
        <v>8</v>
      </c>
      <c r="M425" s="47" t="s">
        <v>9</v>
      </c>
      <c r="N425" s="46" t="s">
        <v>10</v>
      </c>
      <c r="O425" s="46" t="s">
        <v>2</v>
      </c>
      <c r="P425" s="46" t="s">
        <v>7</v>
      </c>
      <c r="Q425" s="46" t="s">
        <v>8</v>
      </c>
      <c r="R425" s="46" t="s">
        <v>9</v>
      </c>
    </row>
    <row r="426" spans="1:18">
      <c r="A426" s="33" t="s">
        <v>23</v>
      </c>
      <c r="B426" s="127"/>
      <c r="C426" s="31"/>
      <c r="D426" s="31"/>
      <c r="E426" s="31"/>
      <c r="F426" s="31"/>
      <c r="G426" s="31"/>
      <c r="H426" s="31"/>
      <c r="I426" s="31"/>
      <c r="J426" s="31"/>
      <c r="K426" s="31"/>
      <c r="L426" s="31"/>
      <c r="M426" s="31"/>
      <c r="N426" s="31"/>
      <c r="O426" s="31"/>
      <c r="P426" s="31"/>
      <c r="Q426" s="31"/>
      <c r="R426" s="32"/>
    </row>
    <row r="427" spans="1:18">
      <c r="A427" s="34">
        <f>A402+1</f>
        <v>16</v>
      </c>
      <c r="B427" s="713" t="s">
        <v>667</v>
      </c>
      <c r="C427" s="66" t="s">
        <v>138</v>
      </c>
      <c r="D427" s="4"/>
      <c r="E427" s="6"/>
      <c r="F427" s="29"/>
      <c r="G427" s="26"/>
      <c r="H427" s="26"/>
      <c r="I427" s="6"/>
      <c r="J427" s="6"/>
      <c r="K427" s="29"/>
      <c r="L427" s="26"/>
      <c r="M427" s="26"/>
      <c r="N427" s="6"/>
      <c r="O427" s="6"/>
      <c r="P427" s="29"/>
      <c r="Q427" s="26"/>
      <c r="R427" s="26"/>
    </row>
    <row r="428" spans="1:18">
      <c r="A428" s="2"/>
      <c r="B428" s="714"/>
      <c r="C428" s="124"/>
      <c r="D428" s="4" t="s">
        <v>75</v>
      </c>
      <c r="E428" s="66" t="s">
        <v>81</v>
      </c>
      <c r="F428" s="29">
        <f>$F$353*J442</f>
        <v>7.8125E-2</v>
      </c>
      <c r="G428" s="26">
        <f>fr</f>
        <v>1100</v>
      </c>
      <c r="H428" s="26">
        <f>F428*G428</f>
        <v>85.9375</v>
      </c>
      <c r="I428" s="7" t="s">
        <v>67</v>
      </c>
      <c r="J428" s="145" t="s">
        <v>250</v>
      </c>
      <c r="K428" s="29">
        <f>$K$353*J442</f>
        <v>4.25</v>
      </c>
      <c r="L428" s="28">
        <f>diesel</f>
        <v>177.6</v>
      </c>
      <c r="M428" s="26">
        <f>K428*L428</f>
        <v>754.8</v>
      </c>
      <c r="N428" s="8" t="s">
        <v>655</v>
      </c>
      <c r="O428" s="66" t="s">
        <v>101</v>
      </c>
      <c r="P428" s="29">
        <f>$P$353*J442</f>
        <v>0.3125</v>
      </c>
      <c r="Q428" s="28">
        <f>compressor</f>
        <v>270.39999999999998</v>
      </c>
      <c r="R428" s="26">
        <f>P428*Q428</f>
        <v>84.5</v>
      </c>
    </row>
    <row r="429" spans="1:18">
      <c r="A429" s="2"/>
      <c r="B429" s="714"/>
      <c r="C429" s="6"/>
      <c r="D429" s="4" t="s">
        <v>89</v>
      </c>
      <c r="E429" s="66" t="s">
        <v>81</v>
      </c>
      <c r="F429" s="29">
        <f>$F$354*J442</f>
        <v>0.1171875</v>
      </c>
      <c r="G429" s="26">
        <f>dr</f>
        <v>1100</v>
      </c>
      <c r="H429" s="26">
        <f>F429*G429</f>
        <v>128.90625</v>
      </c>
      <c r="I429" s="7" t="s">
        <v>649</v>
      </c>
      <c r="J429" s="145" t="s">
        <v>12</v>
      </c>
      <c r="K429" s="29"/>
      <c r="L429" s="28"/>
      <c r="M429" s="154">
        <v>30</v>
      </c>
      <c r="N429" s="8" t="s">
        <v>656</v>
      </c>
      <c r="O429" s="66" t="s">
        <v>101</v>
      </c>
      <c r="P429" s="29">
        <f>$P$354*J442</f>
        <v>0.3125</v>
      </c>
      <c r="Q429" s="216">
        <f>jack_hammer</f>
        <v>162.24</v>
      </c>
      <c r="R429" s="26">
        <f>P429*Q429</f>
        <v>50.7</v>
      </c>
    </row>
    <row r="430" spans="1:18">
      <c r="A430" s="2"/>
      <c r="B430" s="126"/>
      <c r="C430" s="6"/>
      <c r="D430" s="4" t="s">
        <v>462</v>
      </c>
      <c r="E430" s="66" t="s">
        <v>81</v>
      </c>
      <c r="F430" s="29">
        <f>$F$355*J442</f>
        <v>0.1875</v>
      </c>
      <c r="G430" s="26">
        <f>drh</f>
        <v>750</v>
      </c>
      <c r="H430" s="26">
        <f>F430*G430</f>
        <v>140.625</v>
      </c>
      <c r="I430" s="7" t="s">
        <v>494</v>
      </c>
      <c r="J430" s="145" t="s">
        <v>45</v>
      </c>
      <c r="K430" s="29">
        <f>$K$355*J442</f>
        <v>0.15</v>
      </c>
      <c r="L430" s="28">
        <f>Drillbit_32</f>
        <v>3709.37</v>
      </c>
      <c r="M430" s="26">
        <f t="shared" ref="M430:M436" si="27">K430*L430</f>
        <v>556.40549999999996</v>
      </c>
      <c r="N430" s="8" t="s">
        <v>657</v>
      </c>
      <c r="O430" s="66" t="s">
        <v>12</v>
      </c>
      <c r="P430" s="29"/>
      <c r="Q430" s="28"/>
      <c r="R430" s="154">
        <v>50</v>
      </c>
    </row>
    <row r="431" spans="1:18">
      <c r="A431" s="2"/>
      <c r="B431" s="126"/>
      <c r="C431" s="6"/>
      <c r="D431" s="4"/>
      <c r="E431" s="66"/>
      <c r="F431" s="29"/>
      <c r="G431" s="26"/>
      <c r="H431" s="26"/>
      <c r="I431" s="7" t="s">
        <v>664</v>
      </c>
      <c r="J431" s="145" t="s">
        <v>47</v>
      </c>
      <c r="K431" s="29">
        <f>J442</f>
        <v>2.5</v>
      </c>
      <c r="L431" s="28">
        <f>rockbolt_25</f>
        <v>353.56</v>
      </c>
      <c r="M431" s="26">
        <f t="shared" si="27"/>
        <v>883.9</v>
      </c>
      <c r="N431" s="8" t="s">
        <v>658</v>
      </c>
      <c r="O431" s="66" t="s">
        <v>12</v>
      </c>
      <c r="P431" s="29"/>
      <c r="Q431" s="28"/>
      <c r="R431" s="154">
        <f>10%*R430</f>
        <v>5</v>
      </c>
    </row>
    <row r="432" spans="1:18">
      <c r="A432" s="2"/>
      <c r="B432" s="126"/>
      <c r="C432" s="6"/>
      <c r="D432" s="4"/>
      <c r="E432" s="66"/>
      <c r="F432" s="29"/>
      <c r="G432" s="26"/>
      <c r="H432" s="26"/>
      <c r="I432" s="7" t="s">
        <v>650</v>
      </c>
      <c r="J432" s="145" t="s">
        <v>45</v>
      </c>
      <c r="K432" s="29">
        <v>1</v>
      </c>
      <c r="L432" s="154">
        <v>40</v>
      </c>
      <c r="M432" s="26">
        <f t="shared" si="27"/>
        <v>40</v>
      </c>
      <c r="N432" s="8" t="s">
        <v>659</v>
      </c>
      <c r="O432" s="66" t="s">
        <v>101</v>
      </c>
      <c r="P432" s="29">
        <f>$P$357*J442</f>
        <v>0.3125</v>
      </c>
      <c r="Q432" s="28">
        <f>grout_pump</f>
        <v>540.79999999999995</v>
      </c>
      <c r="R432" s="26">
        <f>P432*Q432</f>
        <v>169</v>
      </c>
    </row>
    <row r="433" spans="1:18">
      <c r="A433" s="2"/>
      <c r="B433" s="126"/>
      <c r="C433" s="6"/>
      <c r="D433" s="4"/>
      <c r="E433" s="66"/>
      <c r="F433" s="29"/>
      <c r="G433" s="26"/>
      <c r="H433" s="26"/>
      <c r="I433" s="7" t="s">
        <v>651</v>
      </c>
      <c r="J433" s="145" t="s">
        <v>45</v>
      </c>
      <c r="K433" s="29">
        <v>1</v>
      </c>
      <c r="L433" s="28">
        <f>bearing_plate</f>
        <v>1434.19</v>
      </c>
      <c r="M433" s="26">
        <f t="shared" si="27"/>
        <v>1434.19</v>
      </c>
      <c r="N433" s="8" t="s">
        <v>660</v>
      </c>
      <c r="O433" s="66" t="s">
        <v>101</v>
      </c>
      <c r="P433" s="29">
        <f>$P$358*J442</f>
        <v>0.15</v>
      </c>
      <c r="Q433" s="28">
        <f>fan</f>
        <v>260.67</v>
      </c>
      <c r="R433" s="26">
        <f>P433*Q433</f>
        <v>39.100500000000004</v>
      </c>
    </row>
    <row r="434" spans="1:18">
      <c r="A434" s="2"/>
      <c r="B434" s="126"/>
      <c r="C434" s="6"/>
      <c r="D434" s="4"/>
      <c r="E434" s="66"/>
      <c r="F434" s="29"/>
      <c r="G434" s="26"/>
      <c r="H434" s="26"/>
      <c r="I434" s="7" t="s">
        <v>31</v>
      </c>
      <c r="J434" s="145" t="s">
        <v>28</v>
      </c>
      <c r="K434" s="29">
        <f>((PI()/4*((0.032)^2-(0.025)^2)*J442)*1440)*2</f>
        <v>2.2562918438081883</v>
      </c>
      <c r="L434" s="28">
        <f>cement/1000</f>
        <v>24.049689999999998</v>
      </c>
      <c r="M434" s="26">
        <f t="shared" si="27"/>
        <v>54.263119393115346</v>
      </c>
      <c r="N434" s="8" t="s">
        <v>661</v>
      </c>
      <c r="O434" s="66" t="s">
        <v>12</v>
      </c>
      <c r="P434" s="29"/>
      <c r="Q434" s="28"/>
      <c r="R434" s="154">
        <v>15</v>
      </c>
    </row>
    <row r="435" spans="1:18">
      <c r="A435" s="2"/>
      <c r="B435" s="126"/>
      <c r="C435" s="6"/>
      <c r="D435" s="4"/>
      <c r="E435" s="66"/>
      <c r="F435" s="29"/>
      <c r="G435" s="26"/>
      <c r="H435" s="26"/>
      <c r="I435" s="7" t="s">
        <v>652</v>
      </c>
      <c r="J435" s="145" t="s">
        <v>28</v>
      </c>
      <c r="K435" s="29">
        <f>0.005%*K434</f>
        <v>1.1281459219040942E-4</v>
      </c>
      <c r="L435" s="154">
        <v>500</v>
      </c>
      <c r="M435" s="26">
        <f t="shared" si="27"/>
        <v>5.6407296095204708E-2</v>
      </c>
      <c r="N435" s="8"/>
      <c r="O435" s="66"/>
      <c r="P435" s="29"/>
      <c r="Q435" s="28"/>
      <c r="R435" s="26"/>
    </row>
    <row r="436" spans="1:18">
      <c r="A436" s="2"/>
      <c r="B436" s="126"/>
      <c r="C436" s="6"/>
      <c r="D436" s="4"/>
      <c r="E436" s="66"/>
      <c r="F436" s="29"/>
      <c r="G436" s="26"/>
      <c r="H436" s="26"/>
      <c r="I436" s="7" t="s">
        <v>653</v>
      </c>
      <c r="J436" s="145" t="s">
        <v>11</v>
      </c>
      <c r="K436" s="29">
        <f>K434/1500</f>
        <v>1.5041945625387922E-3</v>
      </c>
      <c r="L436" s="28">
        <f>sand</f>
        <v>1050</v>
      </c>
      <c r="M436" s="26">
        <f t="shared" si="27"/>
        <v>1.5794042906657317</v>
      </c>
      <c r="N436" s="8"/>
      <c r="O436" s="66"/>
      <c r="P436" s="29"/>
      <c r="Q436" s="28"/>
      <c r="R436" s="26"/>
    </row>
    <row r="437" spans="1:18">
      <c r="A437" s="2"/>
      <c r="B437" s="126"/>
      <c r="C437" s="6"/>
      <c r="D437" s="4"/>
      <c r="E437" s="66"/>
      <c r="F437" s="29"/>
      <c r="G437" s="26"/>
      <c r="H437" s="26"/>
      <c r="I437" s="7"/>
      <c r="J437" s="145"/>
      <c r="K437" s="29"/>
      <c r="L437" s="28"/>
      <c r="M437" s="26"/>
      <c r="N437" s="8"/>
      <c r="O437" s="66"/>
      <c r="P437" s="29"/>
      <c r="Q437" s="28"/>
      <c r="R437" s="26"/>
    </row>
    <row r="438" spans="1:18">
      <c r="A438" s="2"/>
      <c r="B438" s="5"/>
      <c r="C438" s="6"/>
      <c r="D438" s="4"/>
      <c r="E438" s="9"/>
      <c r="F438" s="30"/>
      <c r="G438" s="27"/>
      <c r="H438" s="27"/>
      <c r="I438" s="9"/>
      <c r="J438" s="10"/>
      <c r="K438" s="30"/>
      <c r="L438" s="28"/>
      <c r="M438" s="28"/>
      <c r="N438" s="8"/>
      <c r="O438" s="6"/>
      <c r="P438" s="30"/>
      <c r="Q438" s="28"/>
      <c r="R438" s="28"/>
    </row>
    <row r="439" spans="1:18">
      <c r="A439" s="2"/>
      <c r="B439" s="11"/>
      <c r="C439" s="6"/>
      <c r="D439" s="12"/>
      <c r="E439" s="59"/>
      <c r="F439" s="13"/>
      <c r="G439" s="13" t="s">
        <v>20</v>
      </c>
      <c r="H439" s="25">
        <f>SUM(H427:H438)</f>
        <v>355.46875</v>
      </c>
      <c r="I439" s="703"/>
      <c r="J439" s="703"/>
      <c r="K439" s="14"/>
      <c r="L439" s="13" t="s">
        <v>21</v>
      </c>
      <c r="M439" s="25">
        <f>SUM(M427:M438)</f>
        <v>3755.1944309798764</v>
      </c>
      <c r="N439" s="3"/>
      <c r="O439" s="14"/>
      <c r="P439" s="14"/>
      <c r="Q439" s="13" t="s">
        <v>22</v>
      </c>
      <c r="R439" s="25">
        <f>SUM(R427:R438)</f>
        <v>413.3005</v>
      </c>
    </row>
    <row r="440" spans="1:18">
      <c r="A440" s="2"/>
      <c r="B440" s="16" t="s">
        <v>13</v>
      </c>
      <c r="C440" s="14"/>
      <c r="D440" s="14"/>
      <c r="E440" s="14"/>
      <c r="F440" s="14"/>
      <c r="G440" s="13"/>
      <c r="H440" s="35">
        <f>M439+R439+H439</f>
        <v>4523.9636809798767</v>
      </c>
      <c r="I440" s="17"/>
      <c r="J440" s="14"/>
      <c r="K440" s="14"/>
      <c r="L440" s="13"/>
      <c r="M440" s="15"/>
      <c r="N440" s="14"/>
      <c r="O440" s="14"/>
      <c r="P440" s="14"/>
      <c r="Q440" s="14"/>
      <c r="R440" s="17"/>
    </row>
    <row r="441" spans="1:18">
      <c r="A441" s="2"/>
      <c r="B441" s="11" t="s">
        <v>25</v>
      </c>
      <c r="C441" s="4" t="s">
        <v>647</v>
      </c>
      <c r="D441" s="4"/>
      <c r="E441" s="4"/>
      <c r="F441" s="4"/>
      <c r="G441" s="18"/>
      <c r="H441" s="36">
        <f>20%*(H439)</f>
        <v>71.09375</v>
      </c>
      <c r="I441" s="20"/>
      <c r="J441" s="4" t="s">
        <v>26</v>
      </c>
      <c r="K441" s="4"/>
      <c r="L441" s="18"/>
      <c r="M441" s="19"/>
      <c r="N441" s="4"/>
      <c r="O441" s="4"/>
      <c r="P441" s="4"/>
      <c r="Q441" s="4"/>
      <c r="R441" s="20"/>
    </row>
    <row r="442" spans="1:18">
      <c r="A442" s="23"/>
      <c r="B442" s="11" t="s">
        <v>14</v>
      </c>
      <c r="C442" s="4"/>
      <c r="D442" s="4"/>
      <c r="E442" s="4"/>
      <c r="F442" s="4"/>
      <c r="G442" s="18"/>
      <c r="H442" s="36">
        <f>SUM(H440:H441)</f>
        <v>4595.0574309798767</v>
      </c>
      <c r="I442" s="20"/>
      <c r="J442" s="750">
        <v>2.5</v>
      </c>
      <c r="K442" s="751"/>
      <c r="L442" s="751"/>
      <c r="M442" s="751"/>
      <c r="N442" s="751"/>
      <c r="O442" s="751"/>
      <c r="P442" s="751"/>
      <c r="Q442" s="751"/>
      <c r="R442" s="752"/>
    </row>
    <row r="443" spans="1:18">
      <c r="A443" s="23"/>
      <c r="B443" s="11" t="s">
        <v>24</v>
      </c>
      <c r="C443" s="4"/>
      <c r="D443" s="4"/>
      <c r="E443" s="4"/>
      <c r="F443" s="4"/>
      <c r="G443" s="18"/>
      <c r="H443" s="36">
        <f>H442*15%</f>
        <v>689.25861464698153</v>
      </c>
      <c r="I443" s="20"/>
      <c r="J443" s="753"/>
      <c r="K443" s="754"/>
      <c r="L443" s="754"/>
      <c r="M443" s="754"/>
      <c r="N443" s="754"/>
      <c r="O443" s="754"/>
      <c r="P443" s="754"/>
      <c r="Q443" s="754"/>
      <c r="R443" s="755"/>
    </row>
    <row r="444" spans="1:18">
      <c r="A444" s="23"/>
      <c r="B444" s="11" t="s">
        <v>15</v>
      </c>
      <c r="C444" s="4"/>
      <c r="D444" s="4"/>
      <c r="E444" s="4"/>
      <c r="F444" s="4"/>
      <c r="G444" s="21" t="s">
        <v>16</v>
      </c>
      <c r="H444" s="37">
        <f>H443+H442</f>
        <v>5284.3160456268579</v>
      </c>
      <c r="I444" s="38" t="str">
        <f>CONCATENATE("per ",C427, C428)</f>
        <v>per nos.</v>
      </c>
      <c r="J444" s="753"/>
      <c r="K444" s="754"/>
      <c r="L444" s="754"/>
      <c r="M444" s="754"/>
      <c r="N444" s="754"/>
      <c r="O444" s="754"/>
      <c r="P444" s="754"/>
      <c r="Q444" s="754"/>
      <c r="R444" s="755"/>
    </row>
    <row r="445" spans="1:18">
      <c r="A445" s="23"/>
      <c r="B445" s="11" t="s">
        <v>18</v>
      </c>
      <c r="C445" s="4" t="s">
        <v>19</v>
      </c>
      <c r="D445" s="4"/>
      <c r="E445" s="4"/>
      <c r="F445" s="4"/>
      <c r="G445" s="21" t="s">
        <v>16</v>
      </c>
      <c r="H445" s="37">
        <f>CEILING(H444,0.5)</f>
        <v>5284.5</v>
      </c>
      <c r="I445" s="38" t="str">
        <f>CONCATENATE("per ",C427)</f>
        <v>per nos.</v>
      </c>
      <c r="J445" s="753"/>
      <c r="K445" s="754"/>
      <c r="L445" s="754"/>
      <c r="M445" s="754"/>
      <c r="N445" s="754"/>
      <c r="O445" s="754"/>
      <c r="P445" s="754"/>
      <c r="Q445" s="754"/>
      <c r="R445" s="755"/>
    </row>
    <row r="446" spans="1:18">
      <c r="A446" s="23"/>
      <c r="B446" s="11"/>
      <c r="C446" s="4"/>
      <c r="D446" s="4"/>
      <c r="E446" s="4"/>
      <c r="F446" s="4"/>
      <c r="G446" s="24" t="s">
        <v>17</v>
      </c>
      <c r="H446" s="37">
        <f>H445/exr</f>
        <v>40.65</v>
      </c>
      <c r="I446" s="38" t="str">
        <f>CONCATENATE("per ",C427)</f>
        <v>per nos.</v>
      </c>
      <c r="J446" s="756"/>
      <c r="K446" s="757"/>
      <c r="L446" s="757"/>
      <c r="M446" s="757"/>
      <c r="N446" s="757"/>
      <c r="O446" s="757"/>
      <c r="P446" s="757"/>
      <c r="Q446" s="757"/>
      <c r="R446" s="758"/>
    </row>
    <row r="447" spans="1:18">
      <c r="A447" s="39"/>
      <c r="B447" s="40"/>
      <c r="C447" s="41"/>
      <c r="D447" s="41"/>
      <c r="E447" s="41"/>
      <c r="F447" s="41"/>
      <c r="G447" s="149" t="s">
        <v>460</v>
      </c>
      <c r="H447" s="150">
        <f>CEILING(SUM(M439,R439)/H440,0.0025)</f>
        <v>0.92249999999999999</v>
      </c>
      <c r="I447" s="42"/>
      <c r="J447" s="43"/>
      <c r="K447" s="43"/>
      <c r="L447" s="43"/>
      <c r="M447" s="43"/>
      <c r="N447" s="43"/>
      <c r="O447" s="43"/>
      <c r="P447" s="43"/>
      <c r="Q447" s="43"/>
      <c r="R447" s="44"/>
    </row>
    <row r="449" spans="1:18">
      <c r="A449" s="693" t="s">
        <v>0</v>
      </c>
      <c r="B449" s="695" t="s">
        <v>1</v>
      </c>
      <c r="C449" s="695" t="s">
        <v>2</v>
      </c>
      <c r="D449" s="697" t="s">
        <v>3</v>
      </c>
      <c r="E449" s="698"/>
      <c r="F449" s="698"/>
      <c r="G449" s="698"/>
      <c r="H449" s="698"/>
      <c r="I449" s="699" t="s">
        <v>4</v>
      </c>
      <c r="J449" s="700"/>
      <c r="K449" s="700"/>
      <c r="L449" s="700"/>
      <c r="M449" s="700"/>
      <c r="N449" s="698" t="s">
        <v>5</v>
      </c>
      <c r="O449" s="698"/>
      <c r="P449" s="698"/>
      <c r="Q449" s="698"/>
      <c r="R449" s="698"/>
    </row>
    <row r="450" spans="1:18">
      <c r="A450" s="694"/>
      <c r="B450" s="759"/>
      <c r="C450" s="696"/>
      <c r="D450" s="45" t="s">
        <v>6</v>
      </c>
      <c r="E450" s="46" t="s">
        <v>2</v>
      </c>
      <c r="F450" s="46" t="s">
        <v>7</v>
      </c>
      <c r="G450" s="46" t="s">
        <v>8</v>
      </c>
      <c r="H450" s="46" t="s">
        <v>9</v>
      </c>
      <c r="I450" s="46" t="s">
        <v>10</v>
      </c>
      <c r="J450" s="46" t="s">
        <v>2</v>
      </c>
      <c r="K450" s="46" t="s">
        <v>7</v>
      </c>
      <c r="L450" s="46" t="s">
        <v>8</v>
      </c>
      <c r="M450" s="47" t="s">
        <v>9</v>
      </c>
      <c r="N450" s="46" t="s">
        <v>10</v>
      </c>
      <c r="O450" s="46" t="s">
        <v>2</v>
      </c>
      <c r="P450" s="46" t="s">
        <v>7</v>
      </c>
      <c r="Q450" s="46" t="s">
        <v>8</v>
      </c>
      <c r="R450" s="46" t="s">
        <v>9</v>
      </c>
    </row>
    <row r="451" spans="1:18">
      <c r="A451" s="33" t="s">
        <v>23</v>
      </c>
      <c r="B451" s="127"/>
      <c r="C451" s="31"/>
      <c r="D451" s="31"/>
      <c r="E451" s="31"/>
      <c r="F451" s="31"/>
      <c r="G451" s="31"/>
      <c r="H451" s="31"/>
      <c r="I451" s="31"/>
      <c r="J451" s="31"/>
      <c r="K451" s="31"/>
      <c r="L451" s="31"/>
      <c r="M451" s="31"/>
      <c r="N451" s="31"/>
      <c r="O451" s="31"/>
      <c r="P451" s="31"/>
      <c r="Q451" s="31"/>
      <c r="R451" s="32"/>
    </row>
    <row r="452" spans="1:18">
      <c r="A452" s="34">
        <f>A427+1</f>
        <v>17</v>
      </c>
      <c r="B452" s="713" t="s">
        <v>668</v>
      </c>
      <c r="C452" s="66" t="s">
        <v>138</v>
      </c>
      <c r="D452" s="4"/>
      <c r="E452" s="6"/>
      <c r="F452" s="29"/>
      <c r="G452" s="26"/>
      <c r="H452" s="26"/>
      <c r="I452" s="6"/>
      <c r="J452" s="6"/>
      <c r="K452" s="29"/>
      <c r="L452" s="26"/>
      <c r="M452" s="26"/>
      <c r="N452" s="6"/>
      <c r="O452" s="6"/>
      <c r="P452" s="29"/>
      <c r="Q452" s="26"/>
      <c r="R452" s="26"/>
    </row>
    <row r="453" spans="1:18">
      <c r="A453" s="2"/>
      <c r="B453" s="714"/>
      <c r="C453" s="124"/>
      <c r="D453" s="4" t="s">
        <v>75</v>
      </c>
      <c r="E453" s="66" t="s">
        <v>81</v>
      </c>
      <c r="F453" s="29">
        <f>$F$353*J467</f>
        <v>9.375E-2</v>
      </c>
      <c r="G453" s="26">
        <f>fr</f>
        <v>1100</v>
      </c>
      <c r="H453" s="26">
        <f>F453*G453</f>
        <v>103.125</v>
      </c>
      <c r="I453" s="7" t="s">
        <v>67</v>
      </c>
      <c r="J453" s="145" t="s">
        <v>250</v>
      </c>
      <c r="K453" s="29">
        <f>$K$353*J467</f>
        <v>5.0999999999999996</v>
      </c>
      <c r="L453" s="28">
        <f>diesel</f>
        <v>177.6</v>
      </c>
      <c r="M453" s="26">
        <f>K453*L453</f>
        <v>905.75999999999988</v>
      </c>
      <c r="N453" s="8" t="s">
        <v>655</v>
      </c>
      <c r="O453" s="66" t="s">
        <v>101</v>
      </c>
      <c r="P453" s="29">
        <v>0.36</v>
      </c>
      <c r="Q453" s="28">
        <f>compressor</f>
        <v>270.39999999999998</v>
      </c>
      <c r="R453" s="26">
        <f>P453*Q453</f>
        <v>97.343999999999994</v>
      </c>
    </row>
    <row r="454" spans="1:18">
      <c r="A454" s="2"/>
      <c r="B454" s="714"/>
      <c r="C454" s="6"/>
      <c r="D454" s="4" t="s">
        <v>89</v>
      </c>
      <c r="E454" s="66" t="s">
        <v>81</v>
      </c>
      <c r="F454" s="29">
        <f>$F$354*J467</f>
        <v>0.140625</v>
      </c>
      <c r="G454" s="26">
        <f>dr</f>
        <v>1100</v>
      </c>
      <c r="H454" s="26">
        <f>F454*G454</f>
        <v>154.6875</v>
      </c>
      <c r="I454" s="7" t="s">
        <v>649</v>
      </c>
      <c r="J454" s="145" t="s">
        <v>12</v>
      </c>
      <c r="K454" s="29"/>
      <c r="L454" s="28"/>
      <c r="M454" s="154">
        <v>40</v>
      </c>
      <c r="N454" s="8" t="s">
        <v>656</v>
      </c>
      <c r="O454" s="66" t="s">
        <v>101</v>
      </c>
      <c r="P454" s="29">
        <v>0.36</v>
      </c>
      <c r="Q454" s="216">
        <f>jack_hammer</f>
        <v>162.24</v>
      </c>
      <c r="R454" s="26">
        <f>P454*Q454</f>
        <v>58.406399999999998</v>
      </c>
    </row>
    <row r="455" spans="1:18">
      <c r="A455" s="2"/>
      <c r="B455" s="126"/>
      <c r="C455" s="6"/>
      <c r="D455" s="4" t="s">
        <v>462</v>
      </c>
      <c r="E455" s="66" t="s">
        <v>81</v>
      </c>
      <c r="F455" s="29">
        <f>$F$355*J467</f>
        <v>0.22499999999999998</v>
      </c>
      <c r="G455" s="26">
        <f>drh</f>
        <v>750</v>
      </c>
      <c r="H455" s="26">
        <f>F455*G455</f>
        <v>168.74999999999997</v>
      </c>
      <c r="I455" s="7" t="s">
        <v>494</v>
      </c>
      <c r="J455" s="145" t="s">
        <v>45</v>
      </c>
      <c r="K455" s="29">
        <f>0.5*$K$355*J467</f>
        <v>0.09</v>
      </c>
      <c r="L455" s="28">
        <f>Drillbit_32</f>
        <v>3709.37</v>
      </c>
      <c r="M455" s="26">
        <f t="shared" ref="M455:M461" si="28">K455*L455</f>
        <v>333.8433</v>
      </c>
      <c r="N455" s="8" t="s">
        <v>657</v>
      </c>
      <c r="O455" s="66" t="s">
        <v>12</v>
      </c>
      <c r="P455" s="29"/>
      <c r="Q455" s="28"/>
      <c r="R455" s="154">
        <v>80</v>
      </c>
    </row>
    <row r="456" spans="1:18">
      <c r="A456" s="2"/>
      <c r="B456" s="126"/>
      <c r="C456" s="6"/>
      <c r="D456" s="4"/>
      <c r="E456" s="66"/>
      <c r="F456" s="29"/>
      <c r="G456" s="26"/>
      <c r="H456" s="26"/>
      <c r="I456" s="7" t="s">
        <v>664</v>
      </c>
      <c r="J456" s="145" t="s">
        <v>47</v>
      </c>
      <c r="K456" s="29">
        <f>J467</f>
        <v>3</v>
      </c>
      <c r="L456" s="28">
        <f>rockbolt_25</f>
        <v>353.56</v>
      </c>
      <c r="M456" s="26">
        <f t="shared" si="28"/>
        <v>1060.68</v>
      </c>
      <c r="N456" s="8" t="s">
        <v>658</v>
      </c>
      <c r="O456" s="66" t="s">
        <v>12</v>
      </c>
      <c r="P456" s="29"/>
      <c r="Q456" s="28"/>
      <c r="R456" s="154">
        <f>10%*R455</f>
        <v>8</v>
      </c>
    </row>
    <row r="457" spans="1:18">
      <c r="A457" s="2"/>
      <c r="B457" s="126"/>
      <c r="C457" s="6"/>
      <c r="D457" s="4"/>
      <c r="E457" s="66"/>
      <c r="F457" s="29"/>
      <c r="G457" s="26"/>
      <c r="H457" s="26"/>
      <c r="I457" s="7" t="s">
        <v>650</v>
      </c>
      <c r="J457" s="145" t="s">
        <v>45</v>
      </c>
      <c r="K457" s="29">
        <v>1</v>
      </c>
      <c r="L457" s="154">
        <v>40</v>
      </c>
      <c r="M457" s="26">
        <f t="shared" si="28"/>
        <v>40</v>
      </c>
      <c r="N457" s="8" t="s">
        <v>659</v>
      </c>
      <c r="O457" s="66" t="s">
        <v>101</v>
      </c>
      <c r="P457" s="29">
        <v>0.15</v>
      </c>
      <c r="Q457" s="28">
        <f>grout_pump</f>
        <v>540.79999999999995</v>
      </c>
      <c r="R457" s="26">
        <f>P457*Q457</f>
        <v>81.11999999999999</v>
      </c>
    </row>
    <row r="458" spans="1:18">
      <c r="A458" s="2"/>
      <c r="B458" s="126"/>
      <c r="C458" s="6"/>
      <c r="D458" s="4"/>
      <c r="E458" s="66"/>
      <c r="F458" s="29"/>
      <c r="G458" s="26"/>
      <c r="H458" s="26"/>
      <c r="I458" s="7" t="s">
        <v>651</v>
      </c>
      <c r="J458" s="145" t="s">
        <v>45</v>
      </c>
      <c r="K458" s="29">
        <v>1</v>
      </c>
      <c r="L458" s="28">
        <f>bearing_plate*0.6</f>
        <v>860.51400000000001</v>
      </c>
      <c r="M458" s="26">
        <f t="shared" si="28"/>
        <v>860.51400000000001</v>
      </c>
      <c r="N458" s="8" t="s">
        <v>660</v>
      </c>
      <c r="O458" s="66" t="s">
        <v>101</v>
      </c>
      <c r="P458" s="29">
        <v>0.36</v>
      </c>
      <c r="Q458" s="28">
        <f>fan</f>
        <v>260.67</v>
      </c>
      <c r="R458" s="26">
        <f>P458*Q458</f>
        <v>93.841200000000001</v>
      </c>
    </row>
    <row r="459" spans="1:18">
      <c r="A459" s="2"/>
      <c r="B459" s="126"/>
      <c r="C459" s="6"/>
      <c r="D459" s="4"/>
      <c r="E459" s="66"/>
      <c r="F459" s="29"/>
      <c r="G459" s="26"/>
      <c r="H459" s="26"/>
      <c r="I459" s="7" t="s">
        <v>31</v>
      </c>
      <c r="J459" s="145" t="s">
        <v>28</v>
      </c>
      <c r="K459" s="29">
        <f>((PI()/4*((0.032)^2-(0.025)^2)*J467)*1440)*2</f>
        <v>2.7075502125698261</v>
      </c>
      <c r="L459" s="28">
        <f>cement/1000</f>
        <v>24.049689999999998</v>
      </c>
      <c r="M459" s="26">
        <f t="shared" si="28"/>
        <v>65.11574327173841</v>
      </c>
      <c r="N459" s="8" t="s">
        <v>661</v>
      </c>
      <c r="O459" s="66" t="s">
        <v>12</v>
      </c>
      <c r="P459" s="29"/>
      <c r="Q459" s="28"/>
      <c r="R459" s="154">
        <v>15</v>
      </c>
    </row>
    <row r="460" spans="1:18">
      <c r="A460" s="2"/>
      <c r="B460" s="126"/>
      <c r="C460" s="6"/>
      <c r="D460" s="4"/>
      <c r="E460" s="66"/>
      <c r="F460" s="29"/>
      <c r="G460" s="26"/>
      <c r="H460" s="26"/>
      <c r="I460" s="7" t="s">
        <v>652</v>
      </c>
      <c r="J460" s="145" t="s">
        <v>28</v>
      </c>
      <c r="K460" s="29">
        <f>0.005%*K459</f>
        <v>1.3537751062849131E-4</v>
      </c>
      <c r="L460" s="154">
        <v>500</v>
      </c>
      <c r="M460" s="26">
        <f t="shared" si="28"/>
        <v>6.768875531424566E-2</v>
      </c>
      <c r="N460" s="8"/>
      <c r="O460" s="66"/>
      <c r="P460" s="29"/>
      <c r="Q460" s="28"/>
      <c r="R460" s="26"/>
    </row>
    <row r="461" spans="1:18">
      <c r="A461" s="2"/>
      <c r="B461" s="126"/>
      <c r="C461" s="6"/>
      <c r="D461" s="4"/>
      <c r="E461" s="66"/>
      <c r="F461" s="29"/>
      <c r="G461" s="26"/>
      <c r="H461" s="26"/>
      <c r="I461" s="7" t="s">
        <v>653</v>
      </c>
      <c r="J461" s="145" t="s">
        <v>11</v>
      </c>
      <c r="K461" s="29">
        <f>K459/1500</f>
        <v>1.8050334750465506E-3</v>
      </c>
      <c r="L461" s="28">
        <f>sand</f>
        <v>1050</v>
      </c>
      <c r="M461" s="26">
        <f t="shared" si="28"/>
        <v>1.8952851487988782</v>
      </c>
      <c r="N461" s="8"/>
      <c r="O461" s="66"/>
      <c r="P461" s="29"/>
      <c r="Q461" s="28"/>
      <c r="R461" s="26"/>
    </row>
    <row r="462" spans="1:18">
      <c r="A462" s="2"/>
      <c r="B462" s="126"/>
      <c r="C462" s="6"/>
      <c r="D462" s="4"/>
      <c r="E462" s="66"/>
      <c r="F462" s="29"/>
      <c r="G462" s="26"/>
      <c r="H462" s="26"/>
      <c r="I462" s="7"/>
      <c r="J462" s="145"/>
      <c r="K462" s="29"/>
      <c r="L462" s="28"/>
      <c r="M462" s="26"/>
      <c r="N462" s="8"/>
      <c r="O462" s="66"/>
      <c r="P462" s="29"/>
      <c r="Q462" s="28"/>
      <c r="R462" s="26"/>
    </row>
    <row r="463" spans="1:18">
      <c r="A463" s="2"/>
      <c r="B463" s="5"/>
      <c r="C463" s="6"/>
      <c r="D463" s="4"/>
      <c r="E463" s="9"/>
      <c r="F463" s="30"/>
      <c r="G463" s="27"/>
      <c r="H463" s="27"/>
      <c r="I463" s="9"/>
      <c r="J463" s="10"/>
      <c r="K463" s="30"/>
      <c r="L463" s="28"/>
      <c r="M463" s="28"/>
      <c r="N463" s="8"/>
      <c r="O463" s="6"/>
      <c r="P463" s="30"/>
      <c r="Q463" s="28"/>
      <c r="R463" s="28"/>
    </row>
    <row r="464" spans="1:18">
      <c r="A464" s="2"/>
      <c r="B464" s="11"/>
      <c r="C464" s="6"/>
      <c r="D464" s="12"/>
      <c r="E464" s="59"/>
      <c r="F464" s="13"/>
      <c r="G464" s="13" t="s">
        <v>20</v>
      </c>
      <c r="H464" s="25">
        <f>SUM(H452:H463)</f>
        <v>426.5625</v>
      </c>
      <c r="I464" s="703"/>
      <c r="J464" s="703"/>
      <c r="K464" s="14"/>
      <c r="L464" s="13" t="s">
        <v>21</v>
      </c>
      <c r="M464" s="25">
        <f>SUM(M452:M463)</f>
        <v>3307.8760171758513</v>
      </c>
      <c r="N464" s="3"/>
      <c r="O464" s="14"/>
      <c r="P464" s="14"/>
      <c r="Q464" s="13" t="s">
        <v>22</v>
      </c>
      <c r="R464" s="25">
        <f>SUM(R452:R463)</f>
        <v>433.71159999999998</v>
      </c>
    </row>
    <row r="465" spans="1:18">
      <c r="A465" s="2"/>
      <c r="B465" s="16" t="s">
        <v>13</v>
      </c>
      <c r="C465" s="14"/>
      <c r="D465" s="14"/>
      <c r="E465" s="14"/>
      <c r="F465" s="14"/>
      <c r="G465" s="13"/>
      <c r="H465" s="35">
        <f>M464+R464+H464</f>
        <v>4168.1501171758518</v>
      </c>
      <c r="I465" s="17"/>
      <c r="J465" s="14"/>
      <c r="K465" s="14"/>
      <c r="L465" s="13"/>
      <c r="M465" s="15"/>
      <c r="N465" s="14"/>
      <c r="O465" s="14"/>
      <c r="P465" s="14"/>
      <c r="Q465" s="14"/>
      <c r="R465" s="17"/>
    </row>
    <row r="466" spans="1:18">
      <c r="A466" s="2"/>
      <c r="B466" s="11" t="s">
        <v>25</v>
      </c>
      <c r="C466" s="4" t="s">
        <v>647</v>
      </c>
      <c r="D466" s="4"/>
      <c r="E466" s="4"/>
      <c r="F466" s="4"/>
      <c r="G466" s="18"/>
      <c r="H466" s="36">
        <f>20%*(H464)</f>
        <v>85.3125</v>
      </c>
      <c r="I466" s="20"/>
      <c r="J466" s="4" t="s">
        <v>26</v>
      </c>
      <c r="K466" s="4"/>
      <c r="L466" s="18"/>
      <c r="M466" s="19"/>
      <c r="N466" s="4"/>
      <c r="O466" s="4"/>
      <c r="P466" s="4"/>
      <c r="Q466" s="4"/>
      <c r="R466" s="20"/>
    </row>
    <row r="467" spans="1:18">
      <c r="A467" s="23"/>
      <c r="B467" s="11" t="s">
        <v>14</v>
      </c>
      <c r="C467" s="4"/>
      <c r="D467" s="4"/>
      <c r="E467" s="4"/>
      <c r="F467" s="4"/>
      <c r="G467" s="18"/>
      <c r="H467" s="36">
        <f>SUM(H465:H466)</f>
        <v>4253.4626171758518</v>
      </c>
      <c r="I467" s="20"/>
      <c r="J467" s="750">
        <v>3</v>
      </c>
      <c r="K467" s="751"/>
      <c r="L467" s="751"/>
      <c r="M467" s="751"/>
      <c r="N467" s="751"/>
      <c r="O467" s="751"/>
      <c r="P467" s="751"/>
      <c r="Q467" s="751"/>
      <c r="R467" s="752"/>
    </row>
    <row r="468" spans="1:18">
      <c r="A468" s="23"/>
      <c r="B468" s="11" t="s">
        <v>24</v>
      </c>
      <c r="C468" s="4"/>
      <c r="D468" s="4"/>
      <c r="E468" s="4"/>
      <c r="F468" s="4"/>
      <c r="G468" s="18"/>
      <c r="H468" s="36">
        <f>H467*15%</f>
        <v>638.01939257637775</v>
      </c>
      <c r="I468" s="20"/>
      <c r="J468" s="753"/>
      <c r="K468" s="754"/>
      <c r="L468" s="754"/>
      <c r="M468" s="754"/>
      <c r="N468" s="754"/>
      <c r="O468" s="754"/>
      <c r="P468" s="754"/>
      <c r="Q468" s="754"/>
      <c r="R468" s="755"/>
    </row>
    <row r="469" spans="1:18">
      <c r="A469" s="23"/>
      <c r="B469" s="11" t="s">
        <v>15</v>
      </c>
      <c r="C469" s="4"/>
      <c r="D469" s="4"/>
      <c r="E469" s="4"/>
      <c r="F469" s="4"/>
      <c r="G469" s="21" t="s">
        <v>16</v>
      </c>
      <c r="H469" s="37">
        <f>H468+H467</f>
        <v>4891.4820097522297</v>
      </c>
      <c r="I469" s="38" t="str">
        <f>CONCATENATE("per ",C452, C453)</f>
        <v>per nos.</v>
      </c>
      <c r="J469" s="753"/>
      <c r="K469" s="754"/>
      <c r="L469" s="754"/>
      <c r="M469" s="754"/>
      <c r="N469" s="754"/>
      <c r="O469" s="754"/>
      <c r="P469" s="754"/>
      <c r="Q469" s="754"/>
      <c r="R469" s="755"/>
    </row>
    <row r="470" spans="1:18">
      <c r="A470" s="23"/>
      <c r="B470" s="11" t="s">
        <v>18</v>
      </c>
      <c r="C470" s="4" t="s">
        <v>19</v>
      </c>
      <c r="D470" s="4"/>
      <c r="E470" s="4"/>
      <c r="F470" s="4"/>
      <c r="G470" s="21" t="s">
        <v>16</v>
      </c>
      <c r="H470" s="37">
        <f>CEILING(H469,0.5)</f>
        <v>4891.5</v>
      </c>
      <c r="I470" s="38" t="str">
        <f>CONCATENATE("per ",C452)</f>
        <v>per nos.</v>
      </c>
      <c r="J470" s="753"/>
      <c r="K470" s="754"/>
      <c r="L470" s="754"/>
      <c r="M470" s="754"/>
      <c r="N470" s="754"/>
      <c r="O470" s="754"/>
      <c r="P470" s="754"/>
      <c r="Q470" s="754"/>
      <c r="R470" s="755"/>
    </row>
    <row r="471" spans="1:18">
      <c r="A471" s="23"/>
      <c r="B471" s="11"/>
      <c r="C471" s="4"/>
      <c r="D471" s="4"/>
      <c r="E471" s="4"/>
      <c r="F471" s="4"/>
      <c r="G471" s="24" t="s">
        <v>17</v>
      </c>
      <c r="H471" s="37">
        <f>H470/exr</f>
        <v>37.626923076923077</v>
      </c>
      <c r="I471" s="38" t="str">
        <f>CONCATENATE("per ",C452)</f>
        <v>per nos.</v>
      </c>
      <c r="J471" s="756"/>
      <c r="K471" s="757"/>
      <c r="L471" s="757"/>
      <c r="M471" s="757"/>
      <c r="N471" s="757"/>
      <c r="O471" s="757"/>
      <c r="P471" s="757"/>
      <c r="Q471" s="757"/>
      <c r="R471" s="758"/>
    </row>
    <row r="472" spans="1:18">
      <c r="A472" s="39"/>
      <c r="B472" s="40"/>
      <c r="C472" s="41"/>
      <c r="D472" s="41"/>
      <c r="E472" s="41"/>
      <c r="F472" s="41"/>
      <c r="G472" s="149" t="s">
        <v>460</v>
      </c>
      <c r="H472" s="150">
        <f>CEILING(SUM(M464,R464)/H465,0.0025)</f>
        <v>0.9</v>
      </c>
      <c r="I472" s="42"/>
      <c r="J472" s="43"/>
      <c r="K472" s="43"/>
      <c r="L472" s="43"/>
      <c r="M472" s="43"/>
      <c r="N472" s="43"/>
      <c r="O472" s="43"/>
      <c r="P472" s="43"/>
      <c r="Q472" s="43"/>
      <c r="R472" s="44"/>
    </row>
    <row r="474" spans="1:18">
      <c r="A474" s="693" t="s">
        <v>0</v>
      </c>
      <c r="B474" s="695" t="s">
        <v>1</v>
      </c>
      <c r="C474" s="695" t="s">
        <v>2</v>
      </c>
      <c r="D474" s="697" t="s">
        <v>3</v>
      </c>
      <c r="E474" s="698"/>
      <c r="F474" s="698"/>
      <c r="G474" s="698"/>
      <c r="H474" s="698"/>
      <c r="I474" s="699" t="s">
        <v>4</v>
      </c>
      <c r="J474" s="700"/>
      <c r="K474" s="700"/>
      <c r="L474" s="700"/>
      <c r="M474" s="700"/>
      <c r="N474" s="698" t="s">
        <v>5</v>
      </c>
      <c r="O474" s="698"/>
      <c r="P474" s="698"/>
      <c r="Q474" s="698"/>
      <c r="R474" s="698"/>
    </row>
    <row r="475" spans="1:18">
      <c r="A475" s="694"/>
      <c r="B475" s="759"/>
      <c r="C475" s="696"/>
      <c r="D475" s="45" t="s">
        <v>6</v>
      </c>
      <c r="E475" s="46" t="s">
        <v>2</v>
      </c>
      <c r="F475" s="46" t="s">
        <v>7</v>
      </c>
      <c r="G475" s="46" t="s">
        <v>8</v>
      </c>
      <c r="H475" s="46" t="s">
        <v>9</v>
      </c>
      <c r="I475" s="46" t="s">
        <v>10</v>
      </c>
      <c r="J475" s="46" t="s">
        <v>2</v>
      </c>
      <c r="K475" s="46" t="s">
        <v>7</v>
      </c>
      <c r="L475" s="46" t="s">
        <v>8</v>
      </c>
      <c r="M475" s="47" t="s">
        <v>9</v>
      </c>
      <c r="N475" s="46" t="s">
        <v>10</v>
      </c>
      <c r="O475" s="46" t="s">
        <v>2</v>
      </c>
      <c r="P475" s="46" t="s">
        <v>7</v>
      </c>
      <c r="Q475" s="46" t="s">
        <v>8</v>
      </c>
      <c r="R475" s="46" t="s">
        <v>9</v>
      </c>
    </row>
    <row r="476" spans="1:18">
      <c r="A476" s="33" t="s">
        <v>23</v>
      </c>
      <c r="B476" s="127"/>
      <c r="C476" s="31"/>
      <c r="D476" s="31"/>
      <c r="E476" s="31"/>
      <c r="F476" s="31"/>
      <c r="G476" s="31"/>
      <c r="H476" s="31"/>
      <c r="I476" s="31"/>
      <c r="J476" s="31"/>
      <c r="K476" s="31"/>
      <c r="L476" s="31"/>
      <c r="M476" s="31"/>
      <c r="N476" s="31"/>
      <c r="O476" s="31"/>
      <c r="P476" s="31"/>
      <c r="Q476" s="31"/>
      <c r="R476" s="32"/>
    </row>
    <row r="477" spans="1:18">
      <c r="A477" s="34">
        <f>A452+1</f>
        <v>18</v>
      </c>
      <c r="B477" s="713" t="s">
        <v>669</v>
      </c>
      <c r="C477" s="66" t="s">
        <v>138</v>
      </c>
      <c r="D477" s="4"/>
      <c r="E477" s="6"/>
      <c r="F477" s="29"/>
      <c r="G477" s="26"/>
      <c r="H477" s="26"/>
      <c r="I477" s="6"/>
      <c r="J477" s="6"/>
      <c r="K477" s="29"/>
      <c r="L477" s="26"/>
      <c r="M477" s="26"/>
      <c r="N477" s="6"/>
      <c r="O477" s="6"/>
      <c r="P477" s="29"/>
      <c r="Q477" s="26"/>
      <c r="R477" s="26"/>
    </row>
    <row r="478" spans="1:18">
      <c r="A478" s="2"/>
      <c r="B478" s="714"/>
      <c r="C478" s="124"/>
      <c r="D478" s="4" t="s">
        <v>75</v>
      </c>
      <c r="E478" s="66" t="s">
        <v>81</v>
      </c>
      <c r="F478" s="29">
        <f>$F$353*J492</f>
        <v>0.125</v>
      </c>
      <c r="G478" s="26">
        <f>fr</f>
        <v>1100</v>
      </c>
      <c r="H478" s="26">
        <f>F478*G478</f>
        <v>137.5</v>
      </c>
      <c r="I478" s="7" t="s">
        <v>67</v>
      </c>
      <c r="J478" s="145" t="s">
        <v>250</v>
      </c>
      <c r="K478" s="29">
        <f>$K$353*J492</f>
        <v>6.8</v>
      </c>
      <c r="L478" s="28">
        <f>diesel</f>
        <v>177.6</v>
      </c>
      <c r="M478" s="26">
        <f>K478*L478</f>
        <v>1207.6799999999998</v>
      </c>
      <c r="N478" s="8" t="s">
        <v>655</v>
      </c>
      <c r="O478" s="66" t="s">
        <v>101</v>
      </c>
      <c r="P478" s="29">
        <v>0.25</v>
      </c>
      <c r="Q478" s="28">
        <f>compressor</f>
        <v>270.39999999999998</v>
      </c>
      <c r="R478" s="26">
        <f>P478*Q478</f>
        <v>67.599999999999994</v>
      </c>
    </row>
    <row r="479" spans="1:18">
      <c r="A479" s="2"/>
      <c r="B479" s="714"/>
      <c r="C479" s="6"/>
      <c r="D479" s="4" t="s">
        <v>89</v>
      </c>
      <c r="E479" s="66" t="s">
        <v>81</v>
      </c>
      <c r="F479" s="29">
        <f>$F$354*J492</f>
        <v>0.1875</v>
      </c>
      <c r="G479" s="26">
        <f>dr</f>
        <v>1100</v>
      </c>
      <c r="H479" s="26">
        <f>F479*G479</f>
        <v>206.25</v>
      </c>
      <c r="I479" s="7" t="s">
        <v>649</v>
      </c>
      <c r="J479" s="145" t="s">
        <v>12</v>
      </c>
      <c r="K479" s="29"/>
      <c r="L479" s="28"/>
      <c r="M479" s="154">
        <v>50</v>
      </c>
      <c r="N479" s="8" t="s">
        <v>656</v>
      </c>
      <c r="O479" s="66" t="s">
        <v>101</v>
      </c>
      <c r="P479" s="29">
        <v>0.25</v>
      </c>
      <c r="Q479" s="216">
        <f>jack_hammer</f>
        <v>162.24</v>
      </c>
      <c r="R479" s="26">
        <f>P479*Q479</f>
        <v>40.56</v>
      </c>
    </row>
    <row r="480" spans="1:18">
      <c r="A480" s="2"/>
      <c r="B480" s="126"/>
      <c r="C480" s="6"/>
      <c r="D480" s="4" t="s">
        <v>462</v>
      </c>
      <c r="E480" s="66" t="s">
        <v>81</v>
      </c>
      <c r="F480" s="29">
        <f>$F$355*J492</f>
        <v>0.3</v>
      </c>
      <c r="G480" s="26">
        <f>drh</f>
        <v>750</v>
      </c>
      <c r="H480" s="26">
        <f>F480*G480</f>
        <v>225</v>
      </c>
      <c r="I480" s="7" t="s">
        <v>494</v>
      </c>
      <c r="J480" s="145" t="s">
        <v>45</v>
      </c>
      <c r="K480" s="29">
        <f>0.5*$K$355*J492</f>
        <v>0.12</v>
      </c>
      <c r="L480" s="28">
        <f>Drillbit_32</f>
        <v>3709.37</v>
      </c>
      <c r="M480" s="26">
        <f t="shared" ref="M480:M486" si="29">K480*L480</f>
        <v>445.12439999999998</v>
      </c>
      <c r="N480" s="8" t="s">
        <v>657</v>
      </c>
      <c r="O480" s="66" t="s">
        <v>12</v>
      </c>
      <c r="P480" s="29"/>
      <c r="Q480" s="28"/>
      <c r="R480" s="154">
        <v>80</v>
      </c>
    </row>
    <row r="481" spans="1:18">
      <c r="A481" s="2"/>
      <c r="B481" s="126"/>
      <c r="C481" s="6"/>
      <c r="D481" s="4"/>
      <c r="E481" s="66"/>
      <c r="F481" s="29"/>
      <c r="G481" s="26"/>
      <c r="H481" s="26"/>
      <c r="I481" s="7" t="s">
        <v>664</v>
      </c>
      <c r="J481" s="145" t="s">
        <v>47</v>
      </c>
      <c r="K481" s="29">
        <f>J492</f>
        <v>4</v>
      </c>
      <c r="L481" s="28">
        <f>rockbolt_25</f>
        <v>353.56</v>
      </c>
      <c r="M481" s="26">
        <f t="shared" si="29"/>
        <v>1414.24</v>
      </c>
      <c r="N481" s="8" t="s">
        <v>658</v>
      </c>
      <c r="O481" s="66" t="s">
        <v>12</v>
      </c>
      <c r="P481" s="29"/>
      <c r="Q481" s="28"/>
      <c r="R481" s="154">
        <f>10%*R480</f>
        <v>8</v>
      </c>
    </row>
    <row r="482" spans="1:18">
      <c r="A482" s="2"/>
      <c r="B482" s="126"/>
      <c r="C482" s="6"/>
      <c r="D482" s="4"/>
      <c r="E482" s="66"/>
      <c r="F482" s="29"/>
      <c r="G482" s="26"/>
      <c r="H482" s="26"/>
      <c r="I482" s="7" t="s">
        <v>650</v>
      </c>
      <c r="J482" s="145" t="s">
        <v>45</v>
      </c>
      <c r="K482" s="29">
        <v>1</v>
      </c>
      <c r="L482" s="154">
        <v>40</v>
      </c>
      <c r="M482" s="26">
        <f t="shared" si="29"/>
        <v>40</v>
      </c>
      <c r="N482" s="8" t="s">
        <v>659</v>
      </c>
      <c r="O482" s="66" t="s">
        <v>101</v>
      </c>
      <c r="P482" s="29">
        <f>$P$357*J492</f>
        <v>0.5</v>
      </c>
      <c r="Q482" s="28">
        <f>grout_pump</f>
        <v>540.79999999999995</v>
      </c>
      <c r="R482" s="26">
        <f>P482*Q482</f>
        <v>270.39999999999998</v>
      </c>
    </row>
    <row r="483" spans="1:18">
      <c r="A483" s="2"/>
      <c r="B483" s="126"/>
      <c r="C483" s="6"/>
      <c r="D483" s="4"/>
      <c r="E483" s="66"/>
      <c r="F483" s="29"/>
      <c r="G483" s="26"/>
      <c r="H483" s="26"/>
      <c r="I483" s="7" t="s">
        <v>651</v>
      </c>
      <c r="J483" s="145" t="s">
        <v>45</v>
      </c>
      <c r="K483" s="29">
        <v>1</v>
      </c>
      <c r="L483" s="28">
        <f>bearing_plate*0.6</f>
        <v>860.51400000000001</v>
      </c>
      <c r="M483" s="26">
        <f t="shared" si="29"/>
        <v>860.51400000000001</v>
      </c>
      <c r="N483" s="8" t="s">
        <v>660</v>
      </c>
      <c r="O483" s="66" t="s">
        <v>101</v>
      </c>
      <c r="P483" s="29">
        <f>$P$358*J492</f>
        <v>0.24</v>
      </c>
      <c r="Q483" s="28">
        <f>fan</f>
        <v>260.67</v>
      </c>
      <c r="R483" s="26">
        <f>P483*Q483</f>
        <v>62.5608</v>
      </c>
    </row>
    <row r="484" spans="1:18">
      <c r="A484" s="2"/>
      <c r="B484" s="126"/>
      <c r="C484" s="6"/>
      <c r="D484" s="4"/>
      <c r="E484" s="66"/>
      <c r="F484" s="29"/>
      <c r="G484" s="26"/>
      <c r="H484" s="26"/>
      <c r="I484" s="7" t="s">
        <v>31</v>
      </c>
      <c r="J484" s="145" t="s">
        <v>28</v>
      </c>
      <c r="K484" s="29">
        <f>((PI()/4*((0.032)^2-(0.025)^2)*J492)*1440)*2</f>
        <v>3.6100669500931013</v>
      </c>
      <c r="L484" s="28">
        <f>cement/1000</f>
        <v>24.049689999999998</v>
      </c>
      <c r="M484" s="26">
        <f t="shared" si="29"/>
        <v>86.820991028984551</v>
      </c>
      <c r="N484" s="8" t="s">
        <v>661</v>
      </c>
      <c r="O484" s="66" t="s">
        <v>12</v>
      </c>
      <c r="P484" s="29"/>
      <c r="Q484" s="28"/>
      <c r="R484" s="154">
        <v>15</v>
      </c>
    </row>
    <row r="485" spans="1:18">
      <c r="A485" s="2"/>
      <c r="B485" s="126"/>
      <c r="C485" s="6"/>
      <c r="D485" s="4"/>
      <c r="E485" s="66"/>
      <c r="F485" s="29"/>
      <c r="G485" s="26"/>
      <c r="H485" s="26"/>
      <c r="I485" s="7" t="s">
        <v>652</v>
      </c>
      <c r="J485" s="145" t="s">
        <v>28</v>
      </c>
      <c r="K485" s="29">
        <f>0.005%*K484</f>
        <v>1.8050334750465509E-4</v>
      </c>
      <c r="L485" s="154">
        <v>500</v>
      </c>
      <c r="M485" s="26">
        <f t="shared" si="29"/>
        <v>9.0251673752327538E-2</v>
      </c>
      <c r="N485" s="8"/>
      <c r="O485" s="66"/>
      <c r="P485" s="29"/>
      <c r="Q485" s="28"/>
      <c r="R485" s="26"/>
    </row>
    <row r="486" spans="1:18">
      <c r="A486" s="2"/>
      <c r="B486" s="126"/>
      <c r="C486" s="6"/>
      <c r="D486" s="4"/>
      <c r="E486" s="66"/>
      <c r="F486" s="29"/>
      <c r="G486" s="26"/>
      <c r="H486" s="26"/>
      <c r="I486" s="7" t="s">
        <v>653</v>
      </c>
      <c r="J486" s="145" t="s">
        <v>11</v>
      </c>
      <c r="K486" s="29">
        <f>K484/1500</f>
        <v>2.4067113000620674E-3</v>
      </c>
      <c r="L486" s="28">
        <f>sand</f>
        <v>1050</v>
      </c>
      <c r="M486" s="26">
        <f t="shared" si="29"/>
        <v>2.527046865065171</v>
      </c>
      <c r="N486" s="8"/>
      <c r="O486" s="66"/>
      <c r="P486" s="29"/>
      <c r="Q486" s="28"/>
      <c r="R486" s="26"/>
    </row>
    <row r="487" spans="1:18">
      <c r="A487" s="2"/>
      <c r="B487" s="126"/>
      <c r="C487" s="6"/>
      <c r="D487" s="4"/>
      <c r="E487" s="66"/>
      <c r="F487" s="29"/>
      <c r="G487" s="26"/>
      <c r="H487" s="26"/>
      <c r="I487" s="7"/>
      <c r="J487" s="145"/>
      <c r="K487" s="29"/>
      <c r="L487" s="28"/>
      <c r="M487" s="26"/>
      <c r="N487" s="8"/>
      <c r="O487" s="66"/>
      <c r="P487" s="29"/>
      <c r="Q487" s="28"/>
      <c r="R487" s="26"/>
    </row>
    <row r="488" spans="1:18">
      <c r="A488" s="2"/>
      <c r="B488" s="5"/>
      <c r="C488" s="6"/>
      <c r="D488" s="4"/>
      <c r="E488" s="9"/>
      <c r="F488" s="30"/>
      <c r="G488" s="27"/>
      <c r="H488" s="27"/>
      <c r="I488" s="9"/>
      <c r="J488" s="10"/>
      <c r="K488" s="30"/>
      <c r="L488" s="28"/>
      <c r="M488" s="28"/>
      <c r="N488" s="8"/>
      <c r="O488" s="6"/>
      <c r="P488" s="30"/>
      <c r="Q488" s="28"/>
      <c r="R488" s="28"/>
    </row>
    <row r="489" spans="1:18">
      <c r="A489" s="2"/>
      <c r="B489" s="11"/>
      <c r="C489" s="6"/>
      <c r="D489" s="12"/>
      <c r="E489" s="59"/>
      <c r="F489" s="13"/>
      <c r="G489" s="13" t="s">
        <v>20</v>
      </c>
      <c r="H489" s="25">
        <f>SUM(H477:H488)</f>
        <v>568.75</v>
      </c>
      <c r="I489" s="703"/>
      <c r="J489" s="703"/>
      <c r="K489" s="14"/>
      <c r="L489" s="13" t="s">
        <v>21</v>
      </c>
      <c r="M489" s="25">
        <f>SUM(M477:M488)</f>
        <v>4106.9966895678017</v>
      </c>
      <c r="N489" s="3"/>
      <c r="O489" s="14"/>
      <c r="P489" s="14"/>
      <c r="Q489" s="13" t="s">
        <v>22</v>
      </c>
      <c r="R489" s="25">
        <f>SUM(R477:R488)</f>
        <v>544.12079999999992</v>
      </c>
    </row>
    <row r="490" spans="1:18">
      <c r="A490" s="2"/>
      <c r="B490" s="16" t="s">
        <v>13</v>
      </c>
      <c r="C490" s="14"/>
      <c r="D490" s="14"/>
      <c r="E490" s="14"/>
      <c r="F490" s="14"/>
      <c r="G490" s="13"/>
      <c r="H490" s="35">
        <f>M489+R489+H489</f>
        <v>5219.8674895678014</v>
      </c>
      <c r="I490" s="17"/>
      <c r="J490" s="14"/>
      <c r="K490" s="14"/>
      <c r="L490" s="13"/>
      <c r="M490" s="15"/>
      <c r="N490" s="14"/>
      <c r="O490" s="14"/>
      <c r="P490" s="14"/>
      <c r="Q490" s="14"/>
      <c r="R490" s="17"/>
    </row>
    <row r="491" spans="1:18">
      <c r="A491" s="2"/>
      <c r="B491" s="11" t="s">
        <v>25</v>
      </c>
      <c r="C491" s="4" t="s">
        <v>647</v>
      </c>
      <c r="D491" s="4"/>
      <c r="E491" s="4"/>
      <c r="F491" s="4"/>
      <c r="G491" s="18"/>
      <c r="H491" s="36">
        <f>20%*(H489)</f>
        <v>113.75</v>
      </c>
      <c r="I491" s="20"/>
      <c r="J491" s="4" t="s">
        <v>26</v>
      </c>
      <c r="K491" s="4"/>
      <c r="L491" s="18"/>
      <c r="M491" s="19"/>
      <c r="N491" s="4"/>
      <c r="O491" s="4"/>
      <c r="P491" s="4"/>
      <c r="Q491" s="4"/>
      <c r="R491" s="20"/>
    </row>
    <row r="492" spans="1:18">
      <c r="A492" s="23"/>
      <c r="B492" s="11" t="s">
        <v>14</v>
      </c>
      <c r="C492" s="4"/>
      <c r="D492" s="4"/>
      <c r="E492" s="4"/>
      <c r="F492" s="4"/>
      <c r="G492" s="18"/>
      <c r="H492" s="36">
        <f>SUM(H490:H491)</f>
        <v>5333.6174895678014</v>
      </c>
      <c r="I492" s="20"/>
      <c r="J492" s="750">
        <v>4</v>
      </c>
      <c r="K492" s="751"/>
      <c r="L492" s="751"/>
      <c r="M492" s="751"/>
      <c r="N492" s="751"/>
      <c r="O492" s="751"/>
      <c r="P492" s="751"/>
      <c r="Q492" s="751"/>
      <c r="R492" s="752"/>
    </row>
    <row r="493" spans="1:18">
      <c r="A493" s="23"/>
      <c r="B493" s="11" t="s">
        <v>24</v>
      </c>
      <c r="C493" s="4"/>
      <c r="D493" s="4"/>
      <c r="E493" s="4"/>
      <c r="F493" s="4"/>
      <c r="G493" s="18"/>
      <c r="H493" s="36">
        <f>H492*15%</f>
        <v>800.04262343517019</v>
      </c>
      <c r="I493" s="20"/>
      <c r="J493" s="753"/>
      <c r="K493" s="754"/>
      <c r="L493" s="754"/>
      <c r="M493" s="754"/>
      <c r="N493" s="754"/>
      <c r="O493" s="754"/>
      <c r="P493" s="754"/>
      <c r="Q493" s="754"/>
      <c r="R493" s="755"/>
    </row>
    <row r="494" spans="1:18">
      <c r="A494" s="23"/>
      <c r="B494" s="11" t="s">
        <v>15</v>
      </c>
      <c r="C494" s="4"/>
      <c r="D494" s="4"/>
      <c r="E494" s="4"/>
      <c r="F494" s="4"/>
      <c r="G494" s="21" t="s">
        <v>16</v>
      </c>
      <c r="H494" s="37">
        <f>H493+H492</f>
        <v>6133.6601130029712</v>
      </c>
      <c r="I494" s="38" t="str">
        <f>CONCATENATE("per ",C477, C478)</f>
        <v>per nos.</v>
      </c>
      <c r="J494" s="753"/>
      <c r="K494" s="754"/>
      <c r="L494" s="754"/>
      <c r="M494" s="754"/>
      <c r="N494" s="754"/>
      <c r="O494" s="754"/>
      <c r="P494" s="754"/>
      <c r="Q494" s="754"/>
      <c r="R494" s="755"/>
    </row>
    <row r="495" spans="1:18">
      <c r="A495" s="23"/>
      <c r="B495" s="11" t="s">
        <v>18</v>
      </c>
      <c r="C495" s="4" t="s">
        <v>19</v>
      </c>
      <c r="D495" s="4"/>
      <c r="E495" s="4"/>
      <c r="F495" s="4"/>
      <c r="G495" s="21" t="s">
        <v>16</v>
      </c>
      <c r="H495" s="37">
        <f>CEILING(H494,0.5)</f>
        <v>6134</v>
      </c>
      <c r="I495" s="38" t="str">
        <f>CONCATENATE("per ",C477)</f>
        <v>per nos.</v>
      </c>
      <c r="J495" s="753"/>
      <c r="K495" s="754"/>
      <c r="L495" s="754"/>
      <c r="M495" s="754"/>
      <c r="N495" s="754"/>
      <c r="O495" s="754"/>
      <c r="P495" s="754"/>
      <c r="Q495" s="754"/>
      <c r="R495" s="755"/>
    </row>
    <row r="496" spans="1:18">
      <c r="A496" s="23"/>
      <c r="B496" s="11"/>
      <c r="C496" s="4"/>
      <c r="D496" s="4"/>
      <c r="E496" s="4"/>
      <c r="F496" s="4"/>
      <c r="G496" s="24" t="s">
        <v>17</v>
      </c>
      <c r="H496" s="37">
        <f>H495/exr</f>
        <v>47.184615384615384</v>
      </c>
      <c r="I496" s="38" t="str">
        <f>CONCATENATE("per ",C477)</f>
        <v>per nos.</v>
      </c>
      <c r="J496" s="756"/>
      <c r="K496" s="757"/>
      <c r="L496" s="757"/>
      <c r="M496" s="757"/>
      <c r="N496" s="757"/>
      <c r="O496" s="757"/>
      <c r="P496" s="757"/>
      <c r="Q496" s="757"/>
      <c r="R496" s="758"/>
    </row>
    <row r="497" spans="1:18">
      <c r="A497" s="39"/>
      <c r="B497" s="40"/>
      <c r="C497" s="41"/>
      <c r="D497" s="41"/>
      <c r="E497" s="41"/>
      <c r="F497" s="41"/>
      <c r="G497" s="149" t="s">
        <v>460</v>
      </c>
      <c r="H497" s="150">
        <f>CEILING(SUM(M489,R489)/H490,0.0025)</f>
        <v>0.89250000000000007</v>
      </c>
      <c r="I497" s="42"/>
      <c r="J497" s="43"/>
      <c r="K497" s="43"/>
      <c r="L497" s="43"/>
      <c r="M497" s="43"/>
      <c r="N497" s="43"/>
      <c r="O497" s="43"/>
      <c r="P497" s="43"/>
      <c r="Q497" s="43"/>
      <c r="R497" s="44"/>
    </row>
    <row r="499" spans="1:18">
      <c r="A499" s="693" t="s">
        <v>0</v>
      </c>
      <c r="B499" s="695" t="s">
        <v>1</v>
      </c>
      <c r="C499" s="695" t="s">
        <v>2</v>
      </c>
      <c r="D499" s="697" t="s">
        <v>3</v>
      </c>
      <c r="E499" s="698"/>
      <c r="F499" s="698"/>
      <c r="G499" s="698"/>
      <c r="H499" s="698"/>
      <c r="I499" s="699" t="s">
        <v>4</v>
      </c>
      <c r="J499" s="700"/>
      <c r="K499" s="700"/>
      <c r="L499" s="700"/>
      <c r="M499" s="700"/>
      <c r="N499" s="698" t="s">
        <v>5</v>
      </c>
      <c r="O499" s="698"/>
      <c r="P499" s="698"/>
      <c r="Q499" s="698"/>
      <c r="R499" s="698"/>
    </row>
    <row r="500" spans="1:18">
      <c r="A500" s="694"/>
      <c r="B500" s="759"/>
      <c r="C500" s="696"/>
      <c r="D500" s="45" t="s">
        <v>6</v>
      </c>
      <c r="E500" s="46" t="s">
        <v>2</v>
      </c>
      <c r="F500" s="46" t="s">
        <v>7</v>
      </c>
      <c r="G500" s="46" t="s">
        <v>8</v>
      </c>
      <c r="H500" s="46" t="s">
        <v>9</v>
      </c>
      <c r="I500" s="46" t="s">
        <v>10</v>
      </c>
      <c r="J500" s="46" t="s">
        <v>2</v>
      </c>
      <c r="K500" s="46" t="s">
        <v>7</v>
      </c>
      <c r="L500" s="46" t="s">
        <v>8</v>
      </c>
      <c r="M500" s="47" t="s">
        <v>9</v>
      </c>
      <c r="N500" s="46" t="s">
        <v>10</v>
      </c>
      <c r="O500" s="46" t="s">
        <v>2</v>
      </c>
      <c r="P500" s="46" t="s">
        <v>7</v>
      </c>
      <c r="Q500" s="46" t="s">
        <v>8</v>
      </c>
      <c r="R500" s="46" t="s">
        <v>9</v>
      </c>
    </row>
    <row r="501" spans="1:18">
      <c r="A501" s="33" t="s">
        <v>23</v>
      </c>
      <c r="B501" s="127"/>
      <c r="C501" s="31"/>
      <c r="D501" s="31"/>
      <c r="E501" s="31"/>
      <c r="F501" s="31"/>
      <c r="G501" s="31"/>
      <c r="H501" s="31"/>
      <c r="I501" s="31"/>
      <c r="J501" s="31"/>
      <c r="K501" s="31"/>
      <c r="L501" s="31"/>
      <c r="M501" s="31"/>
      <c r="N501" s="31"/>
      <c r="O501" s="31"/>
      <c r="P501" s="31"/>
      <c r="Q501" s="31"/>
      <c r="R501" s="32"/>
    </row>
    <row r="502" spans="1:18">
      <c r="A502" s="34">
        <f>A477+1</f>
        <v>19</v>
      </c>
      <c r="B502" s="713" t="s">
        <v>670</v>
      </c>
      <c r="C502" s="66" t="s">
        <v>138</v>
      </c>
      <c r="D502" s="4"/>
      <c r="E502" s="6"/>
      <c r="F502" s="29"/>
      <c r="G502" s="26"/>
      <c r="H502" s="26"/>
      <c r="I502" s="6"/>
      <c r="J502" s="6"/>
      <c r="K502" s="29"/>
      <c r="L502" s="26"/>
      <c r="M502" s="26"/>
      <c r="N502" s="6"/>
      <c r="O502" s="6"/>
      <c r="P502" s="29"/>
      <c r="Q502" s="26"/>
      <c r="R502" s="26"/>
    </row>
    <row r="503" spans="1:18">
      <c r="A503" s="2"/>
      <c r="B503" s="714"/>
      <c r="C503" s="124"/>
      <c r="D503" s="4" t="s">
        <v>75</v>
      </c>
      <c r="E503" s="66" t="s">
        <v>81</v>
      </c>
      <c r="F503" s="29">
        <f>$F$353*J517</f>
        <v>0.15625</v>
      </c>
      <c r="G503" s="26">
        <f>fr</f>
        <v>1100</v>
      </c>
      <c r="H503" s="26">
        <f>F503*G503</f>
        <v>171.875</v>
      </c>
      <c r="I503" s="7" t="s">
        <v>67</v>
      </c>
      <c r="J503" s="145" t="s">
        <v>250</v>
      </c>
      <c r="K503" s="29">
        <f>$K$353*J517</f>
        <v>8.5</v>
      </c>
      <c r="L503" s="28">
        <f>diesel</f>
        <v>177.6</v>
      </c>
      <c r="M503" s="26">
        <f>K503*L503</f>
        <v>1509.6</v>
      </c>
      <c r="N503" s="8" t="s">
        <v>655</v>
      </c>
      <c r="O503" s="66" t="s">
        <v>101</v>
      </c>
      <c r="P503" s="29">
        <f>$P$353*J517</f>
        <v>0.625</v>
      </c>
      <c r="Q503" s="28">
        <f>compressor</f>
        <v>270.39999999999998</v>
      </c>
      <c r="R503" s="26">
        <f>P503*Q503</f>
        <v>169</v>
      </c>
    </row>
    <row r="504" spans="1:18">
      <c r="A504" s="2"/>
      <c r="B504" s="714"/>
      <c r="C504" s="6"/>
      <c r="D504" s="4" t="s">
        <v>89</v>
      </c>
      <c r="E504" s="66" t="s">
        <v>81</v>
      </c>
      <c r="F504" s="29">
        <f>$F$354*J517</f>
        <v>0.234375</v>
      </c>
      <c r="G504" s="26">
        <f>dr</f>
        <v>1100</v>
      </c>
      <c r="H504" s="26">
        <f>F504*G504</f>
        <v>257.8125</v>
      </c>
      <c r="I504" s="7" t="s">
        <v>649</v>
      </c>
      <c r="J504" s="145" t="s">
        <v>12</v>
      </c>
      <c r="K504" s="29"/>
      <c r="L504" s="28"/>
      <c r="M504" s="154">
        <v>60</v>
      </c>
      <c r="N504" s="8" t="s">
        <v>656</v>
      </c>
      <c r="O504" s="66" t="s">
        <v>101</v>
      </c>
      <c r="P504" s="29">
        <f>$P$354*J517</f>
        <v>0.625</v>
      </c>
      <c r="Q504" s="216">
        <f>jack_hammer</f>
        <v>162.24</v>
      </c>
      <c r="R504" s="26">
        <f>P504*Q504</f>
        <v>101.4</v>
      </c>
    </row>
    <row r="505" spans="1:18">
      <c r="A505" s="2"/>
      <c r="B505" s="126"/>
      <c r="C505" s="6"/>
      <c r="D505" s="4" t="s">
        <v>462</v>
      </c>
      <c r="E505" s="66" t="s">
        <v>81</v>
      </c>
      <c r="F505" s="29">
        <f>$F$355*J517</f>
        <v>0.375</v>
      </c>
      <c r="G505" s="26">
        <f>drh</f>
        <v>750</v>
      </c>
      <c r="H505" s="26">
        <f>F505*G505</f>
        <v>281.25</v>
      </c>
      <c r="I505" s="7" t="s">
        <v>494</v>
      </c>
      <c r="J505" s="145" t="s">
        <v>45</v>
      </c>
      <c r="K505" s="29">
        <f>$K$355*J517</f>
        <v>0.3</v>
      </c>
      <c r="L505" s="28">
        <f>Drillbit_32</f>
        <v>3709.37</v>
      </c>
      <c r="M505" s="26">
        <f t="shared" ref="M505:M511" si="30">K505*L505</f>
        <v>1112.8109999999999</v>
      </c>
      <c r="N505" s="8" t="s">
        <v>657</v>
      </c>
      <c r="O505" s="66" t="s">
        <v>12</v>
      </c>
      <c r="P505" s="29"/>
      <c r="Q505" s="28"/>
      <c r="R505" s="154">
        <v>120</v>
      </c>
    </row>
    <row r="506" spans="1:18">
      <c r="A506" s="2"/>
      <c r="B506" s="126"/>
      <c r="C506" s="6"/>
      <c r="D506" s="4"/>
      <c r="E506" s="66"/>
      <c r="F506" s="29"/>
      <c r="G506" s="26"/>
      <c r="H506" s="26"/>
      <c r="I506" s="7" t="s">
        <v>664</v>
      </c>
      <c r="J506" s="145" t="s">
        <v>47</v>
      </c>
      <c r="K506" s="29">
        <f>J517</f>
        <v>5</v>
      </c>
      <c r="L506" s="28">
        <f>rockbolt_25</f>
        <v>353.56</v>
      </c>
      <c r="M506" s="26">
        <f t="shared" si="30"/>
        <v>1767.8</v>
      </c>
      <c r="N506" s="8" t="s">
        <v>658</v>
      </c>
      <c r="O506" s="66" t="s">
        <v>12</v>
      </c>
      <c r="P506" s="29"/>
      <c r="Q506" s="28"/>
      <c r="R506" s="154">
        <f>10%*R505</f>
        <v>12</v>
      </c>
    </row>
    <row r="507" spans="1:18">
      <c r="A507" s="2"/>
      <c r="B507" s="126"/>
      <c r="C507" s="6"/>
      <c r="D507" s="4"/>
      <c r="E507" s="66"/>
      <c r="F507" s="29"/>
      <c r="G507" s="26"/>
      <c r="H507" s="26"/>
      <c r="I507" s="7" t="s">
        <v>650</v>
      </c>
      <c r="J507" s="145" t="s">
        <v>45</v>
      </c>
      <c r="K507" s="29">
        <v>1</v>
      </c>
      <c r="L507" s="154">
        <v>40</v>
      </c>
      <c r="M507" s="26">
        <f t="shared" si="30"/>
        <v>40</v>
      </c>
      <c r="N507" s="8" t="s">
        <v>659</v>
      </c>
      <c r="O507" s="66" t="s">
        <v>101</v>
      </c>
      <c r="P507" s="29">
        <f>$P$357*J517</f>
        <v>0.625</v>
      </c>
      <c r="Q507" s="28">
        <f>grout_pump</f>
        <v>540.79999999999995</v>
      </c>
      <c r="R507" s="26">
        <f>P507*Q507</f>
        <v>338</v>
      </c>
    </row>
    <row r="508" spans="1:18">
      <c r="A508" s="2"/>
      <c r="B508" s="126"/>
      <c r="C508" s="6"/>
      <c r="D508" s="4"/>
      <c r="E508" s="66"/>
      <c r="F508" s="29"/>
      <c r="G508" s="26"/>
      <c r="H508" s="26"/>
      <c r="I508" s="7" t="s">
        <v>651</v>
      </c>
      <c r="J508" s="145" t="s">
        <v>45</v>
      </c>
      <c r="K508" s="29">
        <v>1</v>
      </c>
      <c r="L508" s="28">
        <f>bearing_plate</f>
        <v>1434.19</v>
      </c>
      <c r="M508" s="26">
        <f t="shared" si="30"/>
        <v>1434.19</v>
      </c>
      <c r="N508" s="8" t="s">
        <v>660</v>
      </c>
      <c r="O508" s="66" t="s">
        <v>101</v>
      </c>
      <c r="P508" s="29">
        <f>$P$358*J517</f>
        <v>0.3</v>
      </c>
      <c r="Q508" s="28">
        <f>fan</f>
        <v>260.67</v>
      </c>
      <c r="R508" s="26">
        <f>P508*Q508</f>
        <v>78.201000000000008</v>
      </c>
    </row>
    <row r="509" spans="1:18">
      <c r="A509" s="2"/>
      <c r="B509" s="126"/>
      <c r="C509" s="6"/>
      <c r="D509" s="4"/>
      <c r="E509" s="66"/>
      <c r="F509" s="29"/>
      <c r="G509" s="26"/>
      <c r="H509" s="26"/>
      <c r="I509" s="7" t="s">
        <v>31</v>
      </c>
      <c r="J509" s="145" t="s">
        <v>28</v>
      </c>
      <c r="K509" s="29">
        <f>((PI()/4*((0.032)^2-(0.025)^2)*J517)*1440)*2</f>
        <v>4.5125836876163765</v>
      </c>
      <c r="L509" s="28">
        <f>cement/1000</f>
        <v>24.049689999999998</v>
      </c>
      <c r="M509" s="26">
        <f t="shared" si="30"/>
        <v>108.52623878623069</v>
      </c>
      <c r="N509" s="8" t="s">
        <v>661</v>
      </c>
      <c r="O509" s="66" t="s">
        <v>12</v>
      </c>
      <c r="P509" s="29"/>
      <c r="Q509" s="28"/>
      <c r="R509" s="154">
        <v>15</v>
      </c>
    </row>
    <row r="510" spans="1:18">
      <c r="A510" s="2"/>
      <c r="B510" s="126"/>
      <c r="C510" s="6"/>
      <c r="D510" s="4"/>
      <c r="E510" s="66"/>
      <c r="F510" s="29"/>
      <c r="G510" s="26"/>
      <c r="H510" s="26"/>
      <c r="I510" s="7" t="s">
        <v>652</v>
      </c>
      <c r="J510" s="145" t="s">
        <v>28</v>
      </c>
      <c r="K510" s="29">
        <f>0.005%*K509</f>
        <v>2.2562918438081883E-4</v>
      </c>
      <c r="L510" s="154">
        <v>500</v>
      </c>
      <c r="M510" s="26">
        <f t="shared" si="30"/>
        <v>0.11281459219040942</v>
      </c>
      <c r="N510" s="8"/>
      <c r="O510" s="66"/>
      <c r="P510" s="29"/>
      <c r="Q510" s="28"/>
      <c r="R510" s="26"/>
    </row>
    <row r="511" spans="1:18">
      <c r="A511" s="2"/>
      <c r="B511" s="126"/>
      <c r="C511" s="6"/>
      <c r="D511" s="4"/>
      <c r="E511" s="66"/>
      <c r="F511" s="29"/>
      <c r="G511" s="26"/>
      <c r="H511" s="26"/>
      <c r="I511" s="7" t="s">
        <v>653</v>
      </c>
      <c r="J511" s="145" t="s">
        <v>11</v>
      </c>
      <c r="K511" s="29">
        <f>K509/1500</f>
        <v>3.0083891250775843E-3</v>
      </c>
      <c r="L511" s="28">
        <f>sand</f>
        <v>1050</v>
      </c>
      <c r="M511" s="26">
        <f t="shared" si="30"/>
        <v>3.1588085813314635</v>
      </c>
      <c r="N511" s="8"/>
      <c r="O511" s="66"/>
      <c r="P511" s="29"/>
      <c r="Q511" s="28"/>
      <c r="R511" s="26"/>
    </row>
    <row r="512" spans="1:18">
      <c r="A512" s="2"/>
      <c r="B512" s="126"/>
      <c r="C512" s="6"/>
      <c r="D512" s="4"/>
      <c r="E512" s="66"/>
      <c r="F512" s="29"/>
      <c r="G512" s="26"/>
      <c r="H512" s="26"/>
      <c r="I512" s="7"/>
      <c r="J512" s="145"/>
      <c r="K512" s="29"/>
      <c r="L512" s="28"/>
      <c r="M512" s="26"/>
      <c r="N512" s="8"/>
      <c r="O512" s="66"/>
      <c r="P512" s="29"/>
      <c r="Q512" s="28"/>
      <c r="R512" s="26"/>
    </row>
    <row r="513" spans="1:18">
      <c r="A513" s="2"/>
      <c r="B513" s="5"/>
      <c r="C513" s="6"/>
      <c r="D513" s="4"/>
      <c r="E513" s="9"/>
      <c r="F513" s="30"/>
      <c r="G513" s="27"/>
      <c r="H513" s="27"/>
      <c r="I513" s="9"/>
      <c r="J513" s="10"/>
      <c r="K513" s="30"/>
      <c r="L513" s="28"/>
      <c r="M513" s="28"/>
      <c r="N513" s="8"/>
      <c r="O513" s="6"/>
      <c r="P513" s="30"/>
      <c r="Q513" s="28"/>
      <c r="R513" s="28"/>
    </row>
    <row r="514" spans="1:18">
      <c r="A514" s="2"/>
      <c r="B514" s="11"/>
      <c r="C514" s="6"/>
      <c r="D514" s="12"/>
      <c r="E514" s="59"/>
      <c r="F514" s="13"/>
      <c r="G514" s="13" t="s">
        <v>20</v>
      </c>
      <c r="H514" s="25">
        <f>SUM(H502:H513)</f>
        <v>710.9375</v>
      </c>
      <c r="I514" s="703"/>
      <c r="J514" s="703"/>
      <c r="K514" s="14"/>
      <c r="L514" s="13" t="s">
        <v>21</v>
      </c>
      <c r="M514" s="25">
        <f>SUM(M502:M513)</f>
        <v>6036.1988619597523</v>
      </c>
      <c r="N514" s="3"/>
      <c r="O514" s="14"/>
      <c r="P514" s="14"/>
      <c r="Q514" s="13" t="s">
        <v>22</v>
      </c>
      <c r="R514" s="25">
        <f>SUM(R502:R513)</f>
        <v>833.601</v>
      </c>
    </row>
    <row r="515" spans="1:18">
      <c r="A515" s="2"/>
      <c r="B515" s="16" t="s">
        <v>13</v>
      </c>
      <c r="C515" s="14"/>
      <c r="D515" s="14"/>
      <c r="E515" s="14"/>
      <c r="F515" s="14"/>
      <c r="G515" s="13"/>
      <c r="H515" s="35">
        <f>M514+R514+H514</f>
        <v>7580.737361959752</v>
      </c>
      <c r="I515" s="17"/>
      <c r="J515" s="14"/>
      <c r="K515" s="14"/>
      <c r="L515" s="13"/>
      <c r="M515" s="15"/>
      <c r="N515" s="14"/>
      <c r="O515" s="14"/>
      <c r="P515" s="14"/>
      <c r="Q515" s="14"/>
      <c r="R515" s="17"/>
    </row>
    <row r="516" spans="1:18">
      <c r="A516" s="2"/>
      <c r="B516" s="11" t="s">
        <v>25</v>
      </c>
      <c r="C516" s="4" t="s">
        <v>647</v>
      </c>
      <c r="D516" s="4"/>
      <c r="E516" s="4"/>
      <c r="F516" s="4"/>
      <c r="G516" s="18"/>
      <c r="H516" s="36">
        <f>20%*(H514)</f>
        <v>142.1875</v>
      </c>
      <c r="I516" s="20"/>
      <c r="J516" s="4" t="s">
        <v>26</v>
      </c>
      <c r="K516" s="4"/>
      <c r="L516" s="18"/>
      <c r="M516" s="19"/>
      <c r="N516" s="4"/>
      <c r="O516" s="4"/>
      <c r="P516" s="4"/>
      <c r="Q516" s="4"/>
      <c r="R516" s="20"/>
    </row>
    <row r="517" spans="1:18">
      <c r="A517" s="23"/>
      <c r="B517" s="11" t="s">
        <v>14</v>
      </c>
      <c r="C517" s="4"/>
      <c r="D517" s="4"/>
      <c r="E517" s="4"/>
      <c r="F517" s="4"/>
      <c r="G517" s="18"/>
      <c r="H517" s="36">
        <f>SUM(H515:H516)</f>
        <v>7722.924861959752</v>
      </c>
      <c r="I517" s="20"/>
      <c r="J517" s="750">
        <v>5</v>
      </c>
      <c r="K517" s="751"/>
      <c r="L517" s="751"/>
      <c r="M517" s="751"/>
      <c r="N517" s="751"/>
      <c r="O517" s="751"/>
      <c r="P517" s="751"/>
      <c r="Q517" s="751"/>
      <c r="R517" s="752"/>
    </row>
    <row r="518" spans="1:18">
      <c r="A518" s="23"/>
      <c r="B518" s="11" t="s">
        <v>24</v>
      </c>
      <c r="C518" s="4"/>
      <c r="D518" s="4"/>
      <c r="E518" s="4"/>
      <c r="F518" s="4"/>
      <c r="G518" s="18"/>
      <c r="H518" s="36">
        <f>H517*15%</f>
        <v>1158.4387292939628</v>
      </c>
      <c r="I518" s="20"/>
      <c r="J518" s="753"/>
      <c r="K518" s="754"/>
      <c r="L518" s="754"/>
      <c r="M518" s="754"/>
      <c r="N518" s="754"/>
      <c r="O518" s="754"/>
      <c r="P518" s="754"/>
      <c r="Q518" s="754"/>
      <c r="R518" s="755"/>
    </row>
    <row r="519" spans="1:18">
      <c r="A519" s="23"/>
      <c r="B519" s="11" t="s">
        <v>15</v>
      </c>
      <c r="C519" s="4"/>
      <c r="D519" s="4"/>
      <c r="E519" s="4"/>
      <c r="F519" s="4"/>
      <c r="G519" s="21" t="s">
        <v>16</v>
      </c>
      <c r="H519" s="37">
        <f>H518+H517</f>
        <v>8881.3635912537138</v>
      </c>
      <c r="I519" s="38" t="str">
        <f>CONCATENATE("per ",C502, C503)</f>
        <v>per nos.</v>
      </c>
      <c r="J519" s="753"/>
      <c r="K519" s="754"/>
      <c r="L519" s="754"/>
      <c r="M519" s="754"/>
      <c r="N519" s="754"/>
      <c r="O519" s="754"/>
      <c r="P519" s="754"/>
      <c r="Q519" s="754"/>
      <c r="R519" s="755"/>
    </row>
    <row r="520" spans="1:18">
      <c r="A520" s="23"/>
      <c r="B520" s="11" t="s">
        <v>18</v>
      </c>
      <c r="C520" s="4" t="s">
        <v>19</v>
      </c>
      <c r="D520" s="4"/>
      <c r="E520" s="4"/>
      <c r="F520" s="4"/>
      <c r="G520" s="21" t="s">
        <v>16</v>
      </c>
      <c r="H520" s="37">
        <f>CEILING(H519,0.5)</f>
        <v>8881.5</v>
      </c>
      <c r="I520" s="38" t="str">
        <f>CONCATENATE("per ",C502)</f>
        <v>per nos.</v>
      </c>
      <c r="J520" s="753"/>
      <c r="K520" s="754"/>
      <c r="L520" s="754"/>
      <c r="M520" s="754"/>
      <c r="N520" s="754"/>
      <c r="O520" s="754"/>
      <c r="P520" s="754"/>
      <c r="Q520" s="754"/>
      <c r="R520" s="755"/>
    </row>
    <row r="521" spans="1:18">
      <c r="A521" s="23"/>
      <c r="B521" s="11"/>
      <c r="C521" s="4"/>
      <c r="D521" s="4"/>
      <c r="E521" s="4"/>
      <c r="F521" s="4"/>
      <c r="G521" s="24" t="s">
        <v>17</v>
      </c>
      <c r="H521" s="37">
        <f>H520/exr</f>
        <v>68.319230769230771</v>
      </c>
      <c r="I521" s="38" t="str">
        <f>CONCATENATE("per ",C502)</f>
        <v>per nos.</v>
      </c>
      <c r="J521" s="756"/>
      <c r="K521" s="757"/>
      <c r="L521" s="757"/>
      <c r="M521" s="757"/>
      <c r="N521" s="757"/>
      <c r="O521" s="757"/>
      <c r="P521" s="757"/>
      <c r="Q521" s="757"/>
      <c r="R521" s="758"/>
    </row>
    <row r="522" spans="1:18">
      <c r="A522" s="39"/>
      <c r="B522" s="40"/>
      <c r="C522" s="41"/>
      <c r="D522" s="41"/>
      <c r="E522" s="41"/>
      <c r="F522" s="41"/>
      <c r="G522" s="149" t="s">
        <v>460</v>
      </c>
      <c r="H522" s="150">
        <f>CEILING(SUM(M514,R514)/H515,0.0025)</f>
        <v>0.90749999999999997</v>
      </c>
      <c r="I522" s="42"/>
      <c r="J522" s="43"/>
      <c r="K522" s="43"/>
      <c r="L522" s="43"/>
      <c r="M522" s="43"/>
      <c r="N522" s="43"/>
      <c r="O522" s="43"/>
      <c r="P522" s="43"/>
      <c r="Q522" s="43"/>
      <c r="R522" s="44"/>
    </row>
    <row r="524" spans="1:18">
      <c r="A524" s="693" t="s">
        <v>0</v>
      </c>
      <c r="B524" s="695" t="s">
        <v>1</v>
      </c>
      <c r="C524" s="695" t="s">
        <v>2</v>
      </c>
      <c r="D524" s="697" t="s">
        <v>3</v>
      </c>
      <c r="E524" s="698"/>
      <c r="F524" s="698"/>
      <c r="G524" s="698"/>
      <c r="H524" s="698"/>
      <c r="I524" s="699" t="s">
        <v>4</v>
      </c>
      <c r="J524" s="700"/>
      <c r="K524" s="700"/>
      <c r="L524" s="700"/>
      <c r="M524" s="700"/>
      <c r="N524" s="698" t="s">
        <v>5</v>
      </c>
      <c r="O524" s="698"/>
      <c r="P524" s="698"/>
      <c r="Q524" s="698"/>
      <c r="R524" s="698"/>
    </row>
    <row r="525" spans="1:18">
      <c r="A525" s="694"/>
      <c r="B525" s="759"/>
      <c r="C525" s="696"/>
      <c r="D525" s="45" t="s">
        <v>6</v>
      </c>
      <c r="E525" s="46" t="s">
        <v>2</v>
      </c>
      <c r="F525" s="46" t="s">
        <v>7</v>
      </c>
      <c r="G525" s="46" t="s">
        <v>8</v>
      </c>
      <c r="H525" s="46" t="s">
        <v>9</v>
      </c>
      <c r="I525" s="46" t="s">
        <v>10</v>
      </c>
      <c r="J525" s="46" t="s">
        <v>2</v>
      </c>
      <c r="K525" s="46" t="s">
        <v>7</v>
      </c>
      <c r="L525" s="46" t="s">
        <v>8</v>
      </c>
      <c r="M525" s="47" t="s">
        <v>9</v>
      </c>
      <c r="N525" s="46" t="s">
        <v>10</v>
      </c>
      <c r="O525" s="46" t="s">
        <v>2</v>
      </c>
      <c r="P525" s="46" t="s">
        <v>7</v>
      </c>
      <c r="Q525" s="46" t="s">
        <v>8</v>
      </c>
      <c r="R525" s="46" t="s">
        <v>9</v>
      </c>
    </row>
    <row r="526" spans="1:18">
      <c r="A526" s="33" t="s">
        <v>23</v>
      </c>
      <c r="B526" s="127"/>
      <c r="C526" s="31"/>
      <c r="D526" s="31"/>
      <c r="E526" s="31"/>
      <c r="F526" s="31"/>
      <c r="G526" s="31"/>
      <c r="H526" s="31"/>
      <c r="I526" s="31"/>
      <c r="J526" s="31"/>
      <c r="K526" s="31"/>
      <c r="L526" s="31"/>
      <c r="M526" s="31"/>
      <c r="N526" s="31"/>
      <c r="O526" s="31"/>
      <c r="P526" s="31"/>
      <c r="Q526" s="31"/>
      <c r="R526" s="32"/>
    </row>
    <row r="527" spans="1:18">
      <c r="A527" s="34">
        <f>A502+1</f>
        <v>20</v>
      </c>
      <c r="B527" s="713" t="s">
        <v>671</v>
      </c>
      <c r="C527" s="66" t="s">
        <v>138</v>
      </c>
      <c r="D527" s="4"/>
      <c r="E527" s="6"/>
      <c r="F527" s="29"/>
      <c r="G527" s="26"/>
      <c r="H527" s="26"/>
      <c r="I527" s="6"/>
      <c r="J527" s="6"/>
      <c r="K527" s="29"/>
      <c r="L527" s="26"/>
      <c r="M527" s="26"/>
      <c r="N527" s="6"/>
      <c r="O527" s="6"/>
      <c r="P527" s="29"/>
      <c r="Q527" s="26"/>
      <c r="R527" s="26"/>
    </row>
    <row r="528" spans="1:18">
      <c r="A528" s="2"/>
      <c r="B528" s="714"/>
      <c r="C528" s="124"/>
      <c r="D528" s="4" t="s">
        <v>75</v>
      </c>
      <c r="E528" s="66" t="s">
        <v>81</v>
      </c>
      <c r="F528" s="29">
        <f>$F$353*J542</f>
        <v>0.1875</v>
      </c>
      <c r="G528" s="26">
        <f>fr</f>
        <v>1100</v>
      </c>
      <c r="H528" s="26">
        <f>F528*G528</f>
        <v>206.25</v>
      </c>
      <c r="I528" s="7" t="s">
        <v>67</v>
      </c>
      <c r="J528" s="145" t="s">
        <v>250</v>
      </c>
      <c r="K528" s="29">
        <f>$K$353*J542</f>
        <v>10.199999999999999</v>
      </c>
      <c r="L528" s="28">
        <f>diesel</f>
        <v>177.6</v>
      </c>
      <c r="M528" s="26">
        <f>K528*L528</f>
        <v>1811.5199999999998</v>
      </c>
      <c r="N528" s="8" t="s">
        <v>655</v>
      </c>
      <c r="O528" s="66" t="s">
        <v>101</v>
      </c>
      <c r="P528" s="29">
        <f>$P$353*J542</f>
        <v>0.75</v>
      </c>
      <c r="Q528" s="28">
        <f>compressor</f>
        <v>270.39999999999998</v>
      </c>
      <c r="R528" s="26">
        <f>P528*Q528</f>
        <v>202.79999999999998</v>
      </c>
    </row>
    <row r="529" spans="1:18">
      <c r="A529" s="2"/>
      <c r="B529" s="714"/>
      <c r="C529" s="6"/>
      <c r="D529" s="4" t="s">
        <v>89</v>
      </c>
      <c r="E529" s="66" t="s">
        <v>81</v>
      </c>
      <c r="F529" s="29">
        <f>$F$354*J542</f>
        <v>0.28125</v>
      </c>
      <c r="G529" s="26">
        <f>dr</f>
        <v>1100</v>
      </c>
      <c r="H529" s="26">
        <f>F529*G529</f>
        <v>309.375</v>
      </c>
      <c r="I529" s="7" t="s">
        <v>649</v>
      </c>
      <c r="J529" s="145" t="s">
        <v>12</v>
      </c>
      <c r="K529" s="29"/>
      <c r="L529" s="28"/>
      <c r="M529" s="154">
        <v>70</v>
      </c>
      <c r="N529" s="8" t="s">
        <v>656</v>
      </c>
      <c r="O529" s="66" t="s">
        <v>101</v>
      </c>
      <c r="P529" s="29">
        <f>$P$354*J542</f>
        <v>0.75</v>
      </c>
      <c r="Q529" s="216">
        <f>jack_hammer</f>
        <v>162.24</v>
      </c>
      <c r="R529" s="26">
        <f>P529*Q529</f>
        <v>121.68</v>
      </c>
    </row>
    <row r="530" spans="1:18">
      <c r="A530" s="2"/>
      <c r="B530" s="126"/>
      <c r="C530" s="6"/>
      <c r="D530" s="4" t="s">
        <v>462</v>
      </c>
      <c r="E530" s="66" t="s">
        <v>81</v>
      </c>
      <c r="F530" s="29">
        <f>$F$355*J542</f>
        <v>0.44999999999999996</v>
      </c>
      <c r="G530" s="26">
        <f>drh</f>
        <v>750</v>
      </c>
      <c r="H530" s="26">
        <f>F530*G530</f>
        <v>337.49999999999994</v>
      </c>
      <c r="I530" s="7" t="s">
        <v>494</v>
      </c>
      <c r="J530" s="145" t="s">
        <v>45</v>
      </c>
      <c r="K530" s="29">
        <f>$K$355*J542</f>
        <v>0.36</v>
      </c>
      <c r="L530" s="28">
        <f>Drillbit_32</f>
        <v>3709.37</v>
      </c>
      <c r="M530" s="26">
        <f t="shared" ref="M530:M536" si="31">K530*L530</f>
        <v>1335.3732</v>
      </c>
      <c r="N530" s="8" t="s">
        <v>657</v>
      </c>
      <c r="O530" s="66" t="s">
        <v>12</v>
      </c>
      <c r="P530" s="29"/>
      <c r="Q530" s="28"/>
      <c r="R530" s="154">
        <v>120</v>
      </c>
    </row>
    <row r="531" spans="1:18">
      <c r="A531" s="2"/>
      <c r="B531" s="126"/>
      <c r="C531" s="6"/>
      <c r="D531" s="4"/>
      <c r="E531" s="66"/>
      <c r="F531" s="29"/>
      <c r="G531" s="26"/>
      <c r="H531" s="26"/>
      <c r="I531" s="7" t="s">
        <v>664</v>
      </c>
      <c r="J531" s="145" t="s">
        <v>47</v>
      </c>
      <c r="K531" s="29">
        <f>J542</f>
        <v>6</v>
      </c>
      <c r="L531" s="28">
        <f>rockbolt_25</f>
        <v>353.56</v>
      </c>
      <c r="M531" s="26">
        <f t="shared" si="31"/>
        <v>2121.36</v>
      </c>
      <c r="N531" s="8" t="s">
        <v>658</v>
      </c>
      <c r="O531" s="66" t="s">
        <v>12</v>
      </c>
      <c r="P531" s="29"/>
      <c r="Q531" s="28"/>
      <c r="R531" s="154">
        <f>10%*R530</f>
        <v>12</v>
      </c>
    </row>
    <row r="532" spans="1:18">
      <c r="A532" s="2"/>
      <c r="B532" s="126"/>
      <c r="C532" s="6"/>
      <c r="D532" s="4"/>
      <c r="E532" s="66"/>
      <c r="F532" s="29"/>
      <c r="G532" s="26"/>
      <c r="H532" s="26"/>
      <c r="I532" s="7" t="s">
        <v>650</v>
      </c>
      <c r="J532" s="145" t="s">
        <v>45</v>
      </c>
      <c r="K532" s="29">
        <v>1</v>
      </c>
      <c r="L532" s="154">
        <v>40</v>
      </c>
      <c r="M532" s="26">
        <f t="shared" si="31"/>
        <v>40</v>
      </c>
      <c r="N532" s="8" t="s">
        <v>659</v>
      </c>
      <c r="O532" s="66" t="s">
        <v>101</v>
      </c>
      <c r="P532" s="29">
        <f>$P$357*J542</f>
        <v>0.75</v>
      </c>
      <c r="Q532" s="28">
        <f>grout_pump</f>
        <v>540.79999999999995</v>
      </c>
      <c r="R532" s="26">
        <f>P532*Q532</f>
        <v>405.59999999999997</v>
      </c>
    </row>
    <row r="533" spans="1:18">
      <c r="A533" s="2"/>
      <c r="B533" s="126"/>
      <c r="C533" s="6"/>
      <c r="D533" s="4"/>
      <c r="E533" s="66"/>
      <c r="F533" s="29"/>
      <c r="G533" s="26"/>
      <c r="H533" s="26"/>
      <c r="I533" s="7" t="s">
        <v>651</v>
      </c>
      <c r="J533" s="145" t="s">
        <v>45</v>
      </c>
      <c r="K533" s="29">
        <v>1</v>
      </c>
      <c r="L533" s="28">
        <f>bearing_plate</f>
        <v>1434.19</v>
      </c>
      <c r="M533" s="26">
        <f t="shared" si="31"/>
        <v>1434.19</v>
      </c>
      <c r="N533" s="8" t="s">
        <v>660</v>
      </c>
      <c r="O533" s="66" t="s">
        <v>101</v>
      </c>
      <c r="P533" s="29">
        <f>$P$358*J542</f>
        <v>0.36</v>
      </c>
      <c r="Q533" s="28">
        <f>fan</f>
        <v>260.67</v>
      </c>
      <c r="R533" s="26">
        <f>P533*Q533</f>
        <v>93.841200000000001</v>
      </c>
    </row>
    <row r="534" spans="1:18">
      <c r="A534" s="2"/>
      <c r="B534" s="126"/>
      <c r="C534" s="6"/>
      <c r="D534" s="4"/>
      <c r="E534" s="66"/>
      <c r="F534" s="29"/>
      <c r="G534" s="26"/>
      <c r="H534" s="26"/>
      <c r="I534" s="7" t="s">
        <v>31</v>
      </c>
      <c r="J534" s="145" t="s">
        <v>28</v>
      </c>
      <c r="K534" s="29">
        <f>((PI()/4*((0.032)^2-(0.025)^2)*J542)*1440)*2</f>
        <v>5.4151004251396522</v>
      </c>
      <c r="L534" s="28">
        <f>cement/1000</f>
        <v>24.049689999999998</v>
      </c>
      <c r="M534" s="26">
        <f t="shared" si="31"/>
        <v>130.23148654347682</v>
      </c>
      <c r="N534" s="8" t="s">
        <v>661</v>
      </c>
      <c r="O534" s="66" t="s">
        <v>12</v>
      </c>
      <c r="P534" s="29"/>
      <c r="Q534" s="28"/>
      <c r="R534" s="154">
        <v>15</v>
      </c>
    </row>
    <row r="535" spans="1:18">
      <c r="A535" s="2"/>
      <c r="B535" s="126"/>
      <c r="C535" s="6"/>
      <c r="D535" s="4"/>
      <c r="E535" s="66"/>
      <c r="F535" s="29"/>
      <c r="G535" s="26"/>
      <c r="H535" s="26"/>
      <c r="I535" s="7" t="s">
        <v>652</v>
      </c>
      <c r="J535" s="145" t="s">
        <v>28</v>
      </c>
      <c r="K535" s="29">
        <f>0.005%*K534</f>
        <v>2.7075502125698263E-4</v>
      </c>
      <c r="L535" s="154">
        <v>500</v>
      </c>
      <c r="M535" s="26">
        <f t="shared" si="31"/>
        <v>0.13537751062849132</v>
      </c>
      <c r="N535" s="8"/>
      <c r="O535" s="66"/>
      <c r="P535" s="29"/>
      <c r="Q535" s="28"/>
      <c r="R535" s="26"/>
    </row>
    <row r="536" spans="1:18">
      <c r="A536" s="2"/>
      <c r="B536" s="126"/>
      <c r="C536" s="6"/>
      <c r="D536" s="4"/>
      <c r="E536" s="66"/>
      <c r="F536" s="29"/>
      <c r="G536" s="26"/>
      <c r="H536" s="26"/>
      <c r="I536" s="7" t="s">
        <v>653</v>
      </c>
      <c r="J536" s="145" t="s">
        <v>11</v>
      </c>
      <c r="K536" s="29">
        <f>K534/1500</f>
        <v>3.6100669500931013E-3</v>
      </c>
      <c r="L536" s="28">
        <f>sand</f>
        <v>1050</v>
      </c>
      <c r="M536" s="26">
        <f t="shared" si="31"/>
        <v>3.7905702975977564</v>
      </c>
      <c r="N536" s="8"/>
      <c r="O536" s="66"/>
      <c r="P536" s="29"/>
      <c r="Q536" s="28"/>
      <c r="R536" s="26"/>
    </row>
    <row r="537" spans="1:18">
      <c r="A537" s="2"/>
      <c r="B537" s="126"/>
      <c r="C537" s="6"/>
      <c r="D537" s="4"/>
      <c r="E537" s="66"/>
      <c r="F537" s="29"/>
      <c r="G537" s="26"/>
      <c r="H537" s="26"/>
      <c r="I537" s="7"/>
      <c r="J537" s="145"/>
      <c r="K537" s="29"/>
      <c r="L537" s="28"/>
      <c r="M537" s="26"/>
      <c r="N537" s="8"/>
      <c r="O537" s="66"/>
      <c r="P537" s="29"/>
      <c r="Q537" s="28"/>
      <c r="R537" s="26"/>
    </row>
    <row r="538" spans="1:18">
      <c r="A538" s="2"/>
      <c r="B538" s="5"/>
      <c r="C538" s="6"/>
      <c r="D538" s="4"/>
      <c r="E538" s="9"/>
      <c r="F538" s="30"/>
      <c r="G538" s="27"/>
      <c r="H538" s="27"/>
      <c r="I538" s="9"/>
      <c r="J538" s="10"/>
      <c r="K538" s="30"/>
      <c r="L538" s="28"/>
      <c r="M538" s="28"/>
      <c r="N538" s="8"/>
      <c r="O538" s="6"/>
      <c r="P538" s="30"/>
      <c r="Q538" s="28"/>
      <c r="R538" s="28"/>
    </row>
    <row r="539" spans="1:18">
      <c r="A539" s="2"/>
      <c r="B539" s="11"/>
      <c r="C539" s="6"/>
      <c r="D539" s="12"/>
      <c r="E539" s="59"/>
      <c r="F539" s="13"/>
      <c r="G539" s="13" t="s">
        <v>20</v>
      </c>
      <c r="H539" s="25">
        <f>SUM(H527:H538)</f>
        <v>853.125</v>
      </c>
      <c r="I539" s="703"/>
      <c r="J539" s="703"/>
      <c r="K539" s="14"/>
      <c r="L539" s="13" t="s">
        <v>21</v>
      </c>
      <c r="M539" s="25">
        <f>SUM(M527:M538)</f>
        <v>6946.600634351702</v>
      </c>
      <c r="N539" s="3"/>
      <c r="O539" s="14"/>
      <c r="P539" s="14"/>
      <c r="Q539" s="13" t="s">
        <v>22</v>
      </c>
      <c r="R539" s="25">
        <f>SUM(R527:R538)</f>
        <v>970.92119999999989</v>
      </c>
    </row>
    <row r="540" spans="1:18">
      <c r="A540" s="2"/>
      <c r="B540" s="16" t="s">
        <v>13</v>
      </c>
      <c r="C540" s="14"/>
      <c r="D540" s="14"/>
      <c r="E540" s="14"/>
      <c r="F540" s="14"/>
      <c r="G540" s="13"/>
      <c r="H540" s="35">
        <f>M539+R539+H539</f>
        <v>8770.6468343517008</v>
      </c>
      <c r="I540" s="17"/>
      <c r="J540" s="14"/>
      <c r="K540" s="14"/>
      <c r="L540" s="13"/>
      <c r="M540" s="15"/>
      <c r="N540" s="14"/>
      <c r="O540" s="14"/>
      <c r="P540" s="14"/>
      <c r="Q540" s="14"/>
      <c r="R540" s="17"/>
    </row>
    <row r="541" spans="1:18">
      <c r="A541" s="2"/>
      <c r="B541" s="11" t="s">
        <v>25</v>
      </c>
      <c r="C541" s="4" t="s">
        <v>647</v>
      </c>
      <c r="D541" s="4"/>
      <c r="E541" s="4"/>
      <c r="F541" s="4"/>
      <c r="G541" s="18"/>
      <c r="H541" s="36">
        <f>20%*(H539)</f>
        <v>170.625</v>
      </c>
      <c r="I541" s="20"/>
      <c r="J541" s="4" t="s">
        <v>26</v>
      </c>
      <c r="K541" s="4"/>
      <c r="L541" s="18"/>
      <c r="M541" s="19"/>
      <c r="N541" s="4"/>
      <c r="O541" s="4"/>
      <c r="P541" s="4"/>
      <c r="Q541" s="4"/>
      <c r="R541" s="20"/>
    </row>
    <row r="542" spans="1:18">
      <c r="A542" s="23"/>
      <c r="B542" s="11" t="s">
        <v>14</v>
      </c>
      <c r="C542" s="4"/>
      <c r="D542" s="4"/>
      <c r="E542" s="4"/>
      <c r="F542" s="4"/>
      <c r="G542" s="18"/>
      <c r="H542" s="36">
        <f>SUM(H540:H541)</f>
        <v>8941.2718343517008</v>
      </c>
      <c r="I542" s="20"/>
      <c r="J542" s="750">
        <v>6</v>
      </c>
      <c r="K542" s="751"/>
      <c r="L542" s="751"/>
      <c r="M542" s="751"/>
      <c r="N542" s="751"/>
      <c r="O542" s="751"/>
      <c r="P542" s="751"/>
      <c r="Q542" s="751"/>
      <c r="R542" s="752"/>
    </row>
    <row r="543" spans="1:18">
      <c r="A543" s="23"/>
      <c r="B543" s="11" t="s">
        <v>24</v>
      </c>
      <c r="C543" s="4"/>
      <c r="D543" s="4"/>
      <c r="E543" s="4"/>
      <c r="F543" s="4"/>
      <c r="G543" s="18"/>
      <c r="H543" s="36">
        <f>H542*15%</f>
        <v>1341.1907751527551</v>
      </c>
      <c r="I543" s="20"/>
      <c r="J543" s="753"/>
      <c r="K543" s="754"/>
      <c r="L543" s="754"/>
      <c r="M543" s="754"/>
      <c r="N543" s="754"/>
      <c r="O543" s="754"/>
      <c r="P543" s="754"/>
      <c r="Q543" s="754"/>
      <c r="R543" s="755"/>
    </row>
    <row r="544" spans="1:18">
      <c r="A544" s="23"/>
      <c r="B544" s="11" t="s">
        <v>15</v>
      </c>
      <c r="C544" s="4"/>
      <c r="D544" s="4"/>
      <c r="E544" s="4"/>
      <c r="F544" s="4"/>
      <c r="G544" s="21" t="s">
        <v>16</v>
      </c>
      <c r="H544" s="37">
        <f>H543+H542</f>
        <v>10282.462609504455</v>
      </c>
      <c r="I544" s="38" t="str">
        <f>CONCATENATE("per ",C527, C528)</f>
        <v>per nos.</v>
      </c>
      <c r="J544" s="753"/>
      <c r="K544" s="754"/>
      <c r="L544" s="754"/>
      <c r="M544" s="754"/>
      <c r="N544" s="754"/>
      <c r="O544" s="754"/>
      <c r="P544" s="754"/>
      <c r="Q544" s="754"/>
      <c r="R544" s="755"/>
    </row>
    <row r="545" spans="1:18">
      <c r="A545" s="23"/>
      <c r="B545" s="11" t="s">
        <v>18</v>
      </c>
      <c r="C545" s="4" t="s">
        <v>19</v>
      </c>
      <c r="D545" s="4"/>
      <c r="E545" s="4"/>
      <c r="F545" s="4"/>
      <c r="G545" s="21" t="s">
        <v>16</v>
      </c>
      <c r="H545" s="37">
        <f>CEILING(H544,0.5)</f>
        <v>10282.5</v>
      </c>
      <c r="I545" s="38" t="str">
        <f>CONCATENATE("per ",C527)</f>
        <v>per nos.</v>
      </c>
      <c r="J545" s="753"/>
      <c r="K545" s="754"/>
      <c r="L545" s="754"/>
      <c r="M545" s="754"/>
      <c r="N545" s="754"/>
      <c r="O545" s="754"/>
      <c r="P545" s="754"/>
      <c r="Q545" s="754"/>
      <c r="R545" s="755"/>
    </row>
    <row r="546" spans="1:18">
      <c r="A546" s="23"/>
      <c r="B546" s="11"/>
      <c r="C546" s="4"/>
      <c r="D546" s="4"/>
      <c r="E546" s="4"/>
      <c r="F546" s="4"/>
      <c r="G546" s="24" t="s">
        <v>17</v>
      </c>
      <c r="H546" s="37">
        <f>H545/exr</f>
        <v>79.09615384615384</v>
      </c>
      <c r="I546" s="38" t="str">
        <f>CONCATENATE("per ",C527)</f>
        <v>per nos.</v>
      </c>
      <c r="J546" s="756"/>
      <c r="K546" s="757"/>
      <c r="L546" s="757"/>
      <c r="M546" s="757"/>
      <c r="N546" s="757"/>
      <c r="O546" s="757"/>
      <c r="P546" s="757"/>
      <c r="Q546" s="757"/>
      <c r="R546" s="758"/>
    </row>
    <row r="547" spans="1:18">
      <c r="A547" s="39"/>
      <c r="B547" s="40"/>
      <c r="C547" s="41"/>
      <c r="D547" s="41"/>
      <c r="E547" s="41"/>
      <c r="F547" s="41"/>
      <c r="G547" s="149" t="s">
        <v>460</v>
      </c>
      <c r="H547" s="150">
        <f>CEILING(SUM(M539,R539)/H540,0.0025)</f>
        <v>0.90500000000000003</v>
      </c>
      <c r="I547" s="42"/>
      <c r="J547" s="43"/>
      <c r="K547" s="43"/>
      <c r="L547" s="43"/>
      <c r="M547" s="43"/>
      <c r="N547" s="43"/>
      <c r="O547" s="43"/>
      <c r="P547" s="43"/>
      <c r="Q547" s="43"/>
      <c r="R547" s="44"/>
    </row>
    <row r="548" spans="1:18" s="210" customFormat="1"/>
    <row r="549" spans="1:18">
      <c r="A549" s="693" t="s">
        <v>0</v>
      </c>
      <c r="B549" s="695" t="s">
        <v>1</v>
      </c>
      <c r="C549" s="695" t="s">
        <v>2</v>
      </c>
      <c r="D549" s="697" t="s">
        <v>3</v>
      </c>
      <c r="E549" s="698"/>
      <c r="F549" s="698"/>
      <c r="G549" s="698"/>
      <c r="H549" s="698"/>
      <c r="I549" s="699" t="s">
        <v>4</v>
      </c>
      <c r="J549" s="700"/>
      <c r="K549" s="700"/>
      <c r="L549" s="700"/>
      <c r="M549" s="700"/>
      <c r="N549" s="698" t="s">
        <v>5</v>
      </c>
      <c r="O549" s="698"/>
      <c r="P549" s="698"/>
      <c r="Q549" s="698"/>
      <c r="R549" s="698"/>
    </row>
    <row r="550" spans="1:18">
      <c r="A550" s="694"/>
      <c r="B550" s="759"/>
      <c r="C550" s="696"/>
      <c r="D550" s="45" t="s">
        <v>6</v>
      </c>
      <c r="E550" s="46" t="s">
        <v>2</v>
      </c>
      <c r="F550" s="46" t="s">
        <v>7</v>
      </c>
      <c r="G550" s="46" t="s">
        <v>8</v>
      </c>
      <c r="H550" s="46" t="s">
        <v>9</v>
      </c>
      <c r="I550" s="46" t="s">
        <v>10</v>
      </c>
      <c r="J550" s="46" t="s">
        <v>2</v>
      </c>
      <c r="K550" s="46" t="s">
        <v>7</v>
      </c>
      <c r="L550" s="46" t="s">
        <v>8</v>
      </c>
      <c r="M550" s="47" t="s">
        <v>9</v>
      </c>
      <c r="N550" s="46" t="s">
        <v>10</v>
      </c>
      <c r="O550" s="46" t="s">
        <v>2</v>
      </c>
      <c r="P550" s="46" t="s">
        <v>7</v>
      </c>
      <c r="Q550" s="46" t="s">
        <v>8</v>
      </c>
      <c r="R550" s="46" t="s">
        <v>9</v>
      </c>
    </row>
    <row r="551" spans="1:18">
      <c r="A551" s="33" t="s">
        <v>23</v>
      </c>
      <c r="B551" s="127"/>
      <c r="C551" s="31"/>
      <c r="D551" s="31"/>
      <c r="E551" s="31"/>
      <c r="F551" s="31"/>
      <c r="G551" s="31"/>
      <c r="H551" s="31"/>
      <c r="I551" s="31"/>
      <c r="J551" s="31"/>
      <c r="K551" s="31"/>
      <c r="L551" s="31"/>
      <c r="M551" s="31"/>
      <c r="N551" s="31"/>
      <c r="O551" s="31"/>
      <c r="P551" s="31"/>
      <c r="Q551" s="31"/>
      <c r="R551" s="32"/>
    </row>
    <row r="552" spans="1:18">
      <c r="A552" s="34">
        <f>A527+1</f>
        <v>21</v>
      </c>
      <c r="B552" s="713" t="s">
        <v>700</v>
      </c>
      <c r="C552" s="66" t="s">
        <v>138</v>
      </c>
      <c r="D552" s="4"/>
      <c r="E552" s="6"/>
      <c r="F552" s="29"/>
      <c r="G552" s="26"/>
      <c r="H552" s="26"/>
      <c r="I552" s="6"/>
      <c r="J552" s="6"/>
      <c r="K552" s="29"/>
      <c r="L552" s="26"/>
      <c r="M552" s="26"/>
      <c r="N552" s="6"/>
      <c r="O552" s="6"/>
      <c r="P552" s="29"/>
      <c r="Q552" s="26"/>
      <c r="R552" s="26"/>
    </row>
    <row r="553" spans="1:18">
      <c r="A553" s="2"/>
      <c r="B553" s="714"/>
      <c r="C553" s="124"/>
      <c r="D553" s="4" t="s">
        <v>75</v>
      </c>
      <c r="E553" s="66" t="s">
        <v>81</v>
      </c>
      <c r="F553" s="29">
        <f>0.5/16</f>
        <v>3.125E-2</v>
      </c>
      <c r="G553" s="26">
        <f>fr</f>
        <v>1100</v>
      </c>
      <c r="H553" s="26">
        <f>F553*G553</f>
        <v>34.375</v>
      </c>
      <c r="I553" s="7" t="s">
        <v>67</v>
      </c>
      <c r="J553" s="145" t="s">
        <v>250</v>
      </c>
      <c r="K553" s="29">
        <v>1.7</v>
      </c>
      <c r="L553" s="28">
        <f>diesel</f>
        <v>177.6</v>
      </c>
      <c r="M553" s="26">
        <f>K553*L553</f>
        <v>301.91999999999996</v>
      </c>
      <c r="N553" s="8" t="s">
        <v>655</v>
      </c>
      <c r="O553" s="66" t="s">
        <v>101</v>
      </c>
      <c r="P553" s="29">
        <v>0.125</v>
      </c>
      <c r="Q553" s="28">
        <f>compressor</f>
        <v>270.39999999999998</v>
      </c>
      <c r="R553" s="26">
        <f>P553*Q553</f>
        <v>33.799999999999997</v>
      </c>
    </row>
    <row r="554" spans="1:18">
      <c r="A554" s="2"/>
      <c r="B554" s="714"/>
      <c r="C554" s="6"/>
      <c r="D554" s="4" t="s">
        <v>89</v>
      </c>
      <c r="E554" s="66" t="s">
        <v>81</v>
      </c>
      <c r="F554" s="29">
        <f>0.75/16</f>
        <v>4.6875E-2</v>
      </c>
      <c r="G554" s="26">
        <f>dr</f>
        <v>1100</v>
      </c>
      <c r="H554" s="26">
        <f>F554*G554</f>
        <v>51.5625</v>
      </c>
      <c r="I554" s="7" t="s">
        <v>649</v>
      </c>
      <c r="J554" s="145" t="s">
        <v>12</v>
      </c>
      <c r="K554" s="29"/>
      <c r="L554" s="28"/>
      <c r="M554" s="154">
        <v>20</v>
      </c>
      <c r="N554" s="8" t="s">
        <v>656</v>
      </c>
      <c r="O554" s="66" t="s">
        <v>101</v>
      </c>
      <c r="P554" s="29">
        <v>0.125</v>
      </c>
      <c r="Q554" s="216">
        <f>jack_hammer</f>
        <v>162.24</v>
      </c>
      <c r="R554" s="26">
        <f>P554*Q554</f>
        <v>20.28</v>
      </c>
    </row>
    <row r="555" spans="1:18">
      <c r="A555" s="2"/>
      <c r="B555" s="126"/>
      <c r="C555" s="6"/>
      <c r="D555" s="4" t="s">
        <v>462</v>
      </c>
      <c r="E555" s="66" t="s">
        <v>81</v>
      </c>
      <c r="F555" s="29">
        <f>1.2/16</f>
        <v>7.4999999999999997E-2</v>
      </c>
      <c r="G555" s="26">
        <f>drh</f>
        <v>750</v>
      </c>
      <c r="H555" s="26">
        <f>F555*G555</f>
        <v>56.25</v>
      </c>
      <c r="I555" s="7" t="s">
        <v>494</v>
      </c>
      <c r="J555" s="145" t="s">
        <v>45</v>
      </c>
      <c r="K555" s="29">
        <v>0.06</v>
      </c>
      <c r="L555" s="28">
        <f>Drillbit_32</f>
        <v>3709.37</v>
      </c>
      <c r="M555" s="26">
        <f t="shared" ref="M555:M561" si="32">K555*L555</f>
        <v>222.56219999999999</v>
      </c>
      <c r="N555" s="8" t="s">
        <v>657</v>
      </c>
      <c r="O555" s="66" t="s">
        <v>12</v>
      </c>
      <c r="P555" s="29"/>
      <c r="Q555" s="28"/>
      <c r="R555" s="154">
        <v>50</v>
      </c>
    </row>
    <row r="556" spans="1:18">
      <c r="A556" s="2"/>
      <c r="B556" s="126"/>
      <c r="C556" s="6"/>
      <c r="D556" s="4"/>
      <c r="E556" s="66"/>
      <c r="F556" s="29"/>
      <c r="G556" s="26"/>
      <c r="H556" s="26"/>
      <c r="I556" s="7" t="s">
        <v>701</v>
      </c>
      <c r="J556" s="145" t="s">
        <v>47</v>
      </c>
      <c r="K556" s="29">
        <v>1</v>
      </c>
      <c r="L556" s="28">
        <f>rockbolt_32</f>
        <v>812.17</v>
      </c>
      <c r="M556" s="26">
        <f t="shared" si="32"/>
        <v>812.17</v>
      </c>
      <c r="N556" s="8" t="s">
        <v>658</v>
      </c>
      <c r="O556" s="66" t="s">
        <v>12</v>
      </c>
      <c r="P556" s="29"/>
      <c r="Q556" s="28"/>
      <c r="R556" s="154">
        <f>10%*R555</f>
        <v>5</v>
      </c>
    </row>
    <row r="557" spans="1:18">
      <c r="A557" s="2"/>
      <c r="B557" s="126"/>
      <c r="C557" s="6"/>
      <c r="D557" s="4"/>
      <c r="E557" s="66"/>
      <c r="F557" s="29"/>
      <c r="G557" s="26"/>
      <c r="H557" s="26"/>
      <c r="I557" s="7" t="s">
        <v>650</v>
      </c>
      <c r="J557" s="145" t="s">
        <v>45</v>
      </c>
      <c r="K557" s="29">
        <v>1</v>
      </c>
      <c r="L557" s="154">
        <v>40</v>
      </c>
      <c r="M557" s="26">
        <f t="shared" si="32"/>
        <v>40</v>
      </c>
      <c r="N557" s="8" t="s">
        <v>659</v>
      </c>
      <c r="O557" s="66" t="s">
        <v>101</v>
      </c>
      <c r="P557" s="29">
        <v>0.125</v>
      </c>
      <c r="Q557" s="28">
        <f>grout_pump</f>
        <v>540.79999999999995</v>
      </c>
      <c r="R557" s="26">
        <f>P557*Q557</f>
        <v>67.599999999999994</v>
      </c>
    </row>
    <row r="558" spans="1:18">
      <c r="A558" s="2"/>
      <c r="B558" s="126"/>
      <c r="C558" s="6"/>
      <c r="D558" s="4"/>
      <c r="E558" s="66"/>
      <c r="F558" s="29"/>
      <c r="G558" s="26"/>
      <c r="H558" s="26"/>
      <c r="I558" s="7" t="s">
        <v>651</v>
      </c>
      <c r="J558" s="145" t="s">
        <v>45</v>
      </c>
      <c r="K558" s="29">
        <v>1</v>
      </c>
      <c r="L558" s="28">
        <f>bearing_plate</f>
        <v>1434.19</v>
      </c>
      <c r="M558" s="26">
        <f t="shared" si="32"/>
        <v>1434.19</v>
      </c>
      <c r="N558" s="8" t="s">
        <v>660</v>
      </c>
      <c r="O558" s="66" t="s">
        <v>101</v>
      </c>
      <c r="P558" s="29">
        <v>0.06</v>
      </c>
      <c r="Q558" s="28">
        <f>fan</f>
        <v>260.67</v>
      </c>
      <c r="R558" s="26">
        <f>P558*Q558</f>
        <v>15.6402</v>
      </c>
    </row>
    <row r="559" spans="1:18">
      <c r="A559" s="2"/>
      <c r="B559" s="126"/>
      <c r="C559" s="6"/>
      <c r="D559" s="4"/>
      <c r="E559" s="66"/>
      <c r="F559" s="29"/>
      <c r="G559" s="26"/>
      <c r="H559" s="26"/>
      <c r="I559" s="7" t="s">
        <v>31</v>
      </c>
      <c r="J559" s="145" t="s">
        <v>28</v>
      </c>
      <c r="K559" s="29">
        <f>((PI()/4*((0.038)^2-(0.032)^2)*1)*1440)*2</f>
        <v>0.95001761844555344</v>
      </c>
      <c r="L559" s="28">
        <f>cement/1000</f>
        <v>24.049689999999998</v>
      </c>
      <c r="M559" s="26">
        <f t="shared" si="32"/>
        <v>22.847629218153841</v>
      </c>
      <c r="N559" s="8" t="s">
        <v>661</v>
      </c>
      <c r="O559" s="66" t="s">
        <v>12</v>
      </c>
      <c r="P559" s="29"/>
      <c r="Q559" s="28"/>
      <c r="R559" s="154">
        <v>15</v>
      </c>
    </row>
    <row r="560" spans="1:18">
      <c r="A560" s="2"/>
      <c r="B560" s="126"/>
      <c r="C560" s="6"/>
      <c r="D560" s="4"/>
      <c r="E560" s="66"/>
      <c r="F560" s="29"/>
      <c r="G560" s="26"/>
      <c r="H560" s="26"/>
      <c r="I560" s="7" t="s">
        <v>652</v>
      </c>
      <c r="J560" s="145" t="s">
        <v>28</v>
      </c>
      <c r="K560" s="29">
        <f>0.005%*K559</f>
        <v>4.7500880922277672E-5</v>
      </c>
      <c r="L560" s="154">
        <v>500</v>
      </c>
      <c r="M560" s="26">
        <f t="shared" si="32"/>
        <v>2.3750440461138837E-2</v>
      </c>
      <c r="N560" s="8"/>
      <c r="O560" s="66"/>
      <c r="P560" s="29"/>
      <c r="Q560" s="28"/>
      <c r="R560" s="26"/>
    </row>
    <row r="561" spans="1:18">
      <c r="A561" s="2"/>
      <c r="B561" s="126"/>
      <c r="C561" s="6"/>
      <c r="D561" s="4"/>
      <c r="E561" s="66"/>
      <c r="F561" s="29"/>
      <c r="G561" s="26"/>
      <c r="H561" s="26"/>
      <c r="I561" s="7" t="s">
        <v>653</v>
      </c>
      <c r="J561" s="145" t="s">
        <v>11</v>
      </c>
      <c r="K561" s="29">
        <f>K559/1500</f>
        <v>6.3334507896370233E-4</v>
      </c>
      <c r="L561" s="28">
        <f>sand</f>
        <v>1050</v>
      </c>
      <c r="M561" s="26">
        <f t="shared" si="32"/>
        <v>0.66501233291188744</v>
      </c>
      <c r="N561" s="8"/>
      <c r="O561" s="66"/>
      <c r="P561" s="29"/>
      <c r="Q561" s="28"/>
      <c r="R561" s="26"/>
    </row>
    <row r="562" spans="1:18">
      <c r="A562" s="2"/>
      <c r="B562" s="126"/>
      <c r="C562" s="6"/>
      <c r="D562" s="4"/>
      <c r="E562" s="66"/>
      <c r="F562" s="29"/>
      <c r="G562" s="26"/>
      <c r="H562" s="26"/>
      <c r="I562" s="7"/>
      <c r="J562" s="145"/>
      <c r="K562" s="29"/>
      <c r="L562" s="28"/>
      <c r="M562" s="26"/>
      <c r="N562" s="8"/>
      <c r="O562" s="66"/>
      <c r="P562" s="29"/>
      <c r="Q562" s="28"/>
      <c r="R562" s="26"/>
    </row>
    <row r="563" spans="1:18">
      <c r="A563" s="2"/>
      <c r="B563" s="5"/>
      <c r="C563" s="6"/>
      <c r="D563" s="4"/>
      <c r="E563" s="9"/>
      <c r="F563" s="30"/>
      <c r="G563" s="27"/>
      <c r="H563" s="27"/>
      <c r="I563" s="9"/>
      <c r="J563" s="10"/>
      <c r="K563" s="30"/>
      <c r="L563" s="28"/>
      <c r="M563" s="28"/>
      <c r="N563" s="8"/>
      <c r="O563" s="6"/>
      <c r="P563" s="30"/>
      <c r="Q563" s="28"/>
      <c r="R563" s="28"/>
    </row>
    <row r="564" spans="1:18">
      <c r="A564" s="2"/>
      <c r="B564" s="11"/>
      <c r="C564" s="6"/>
      <c r="D564" s="12"/>
      <c r="E564" s="59"/>
      <c r="F564" s="13"/>
      <c r="G564" s="13" t="s">
        <v>20</v>
      </c>
      <c r="H564" s="25">
        <f>SUM(H552:H563)</f>
        <v>142.1875</v>
      </c>
      <c r="I564" s="703"/>
      <c r="J564" s="703"/>
      <c r="K564" s="14"/>
      <c r="L564" s="13" t="s">
        <v>21</v>
      </c>
      <c r="M564" s="25">
        <f>SUM(M552:M563)</f>
        <v>2854.3785919915272</v>
      </c>
      <c r="N564" s="3"/>
      <c r="O564" s="14"/>
      <c r="P564" s="14"/>
      <c r="Q564" s="13" t="s">
        <v>22</v>
      </c>
      <c r="R564" s="25">
        <f>SUM(R552:R563)</f>
        <v>207.3202</v>
      </c>
    </row>
    <row r="565" spans="1:18">
      <c r="A565" s="2"/>
      <c r="B565" s="16" t="s">
        <v>13</v>
      </c>
      <c r="C565" s="14"/>
      <c r="D565" s="14"/>
      <c r="E565" s="14"/>
      <c r="F565" s="14"/>
      <c r="G565" s="13"/>
      <c r="H565" s="35">
        <f>M564+R564+H564</f>
        <v>3203.8862919915273</v>
      </c>
      <c r="I565" s="17"/>
      <c r="J565" s="14"/>
      <c r="K565" s="14"/>
      <c r="L565" s="13"/>
      <c r="M565" s="15"/>
      <c r="N565" s="14"/>
      <c r="O565" s="14"/>
      <c r="P565" s="14"/>
      <c r="Q565" s="14"/>
      <c r="R565" s="17"/>
    </row>
    <row r="566" spans="1:18">
      <c r="A566" s="2"/>
      <c r="B566" s="11" t="s">
        <v>25</v>
      </c>
      <c r="C566" s="4" t="s">
        <v>647</v>
      </c>
      <c r="D566" s="4"/>
      <c r="E566" s="4"/>
      <c r="F566" s="4"/>
      <c r="G566" s="18"/>
      <c r="H566" s="36">
        <f>20%*(H564)</f>
        <v>28.4375</v>
      </c>
      <c r="I566" s="20"/>
      <c r="J566" s="4" t="s">
        <v>26</v>
      </c>
      <c r="K566" s="4"/>
      <c r="L566" s="18"/>
      <c r="M566" s="19"/>
      <c r="N566" s="4"/>
      <c r="O566" s="4"/>
      <c r="P566" s="4"/>
      <c r="Q566" s="4"/>
      <c r="R566" s="20"/>
    </row>
    <row r="567" spans="1:18">
      <c r="A567" s="23"/>
      <c r="B567" s="11" t="s">
        <v>14</v>
      </c>
      <c r="C567" s="4"/>
      <c r="D567" s="4"/>
      <c r="E567" s="4"/>
      <c r="F567" s="4"/>
      <c r="G567" s="18"/>
      <c r="H567" s="36">
        <f>SUM(H565:H566)</f>
        <v>3232.3237919915273</v>
      </c>
      <c r="I567" s="20"/>
      <c r="J567" s="741"/>
      <c r="K567" s="742"/>
      <c r="L567" s="742"/>
      <c r="M567" s="742"/>
      <c r="N567" s="742"/>
      <c r="O567" s="742"/>
      <c r="P567" s="742"/>
      <c r="Q567" s="742"/>
      <c r="R567" s="743"/>
    </row>
    <row r="568" spans="1:18">
      <c r="A568" s="23"/>
      <c r="B568" s="11" t="s">
        <v>24</v>
      </c>
      <c r="C568" s="4"/>
      <c r="D568" s="4"/>
      <c r="E568" s="4"/>
      <c r="F568" s="4"/>
      <c r="G568" s="18"/>
      <c r="H568" s="36">
        <f>H567*15%</f>
        <v>484.84856879872905</v>
      </c>
      <c r="I568" s="20"/>
      <c r="J568" s="744"/>
      <c r="K568" s="745"/>
      <c r="L568" s="745"/>
      <c r="M568" s="745"/>
      <c r="N568" s="745"/>
      <c r="O568" s="745"/>
      <c r="P568" s="745"/>
      <c r="Q568" s="745"/>
      <c r="R568" s="746"/>
    </row>
    <row r="569" spans="1:18">
      <c r="A569" s="23"/>
      <c r="B569" s="11" t="s">
        <v>15</v>
      </c>
      <c r="C569" s="4"/>
      <c r="D569" s="4"/>
      <c r="E569" s="4"/>
      <c r="F569" s="4"/>
      <c r="G569" s="21" t="s">
        <v>16</v>
      </c>
      <c r="H569" s="37">
        <f>H568+H567</f>
        <v>3717.1723607902563</v>
      </c>
      <c r="I569" s="38" t="str">
        <f>CONCATENATE("per ",C552, C553)</f>
        <v>per nos.</v>
      </c>
      <c r="J569" s="744"/>
      <c r="K569" s="745"/>
      <c r="L569" s="745"/>
      <c r="M569" s="745"/>
      <c r="N569" s="745"/>
      <c r="O569" s="745"/>
      <c r="P569" s="745"/>
      <c r="Q569" s="745"/>
      <c r="R569" s="746"/>
    </row>
    <row r="570" spans="1:18">
      <c r="A570" s="23"/>
      <c r="B570" s="11" t="s">
        <v>18</v>
      </c>
      <c r="C570" s="4" t="s">
        <v>19</v>
      </c>
      <c r="D570" s="4"/>
      <c r="E570" s="4"/>
      <c r="F570" s="4"/>
      <c r="G570" s="21" t="s">
        <v>16</v>
      </c>
      <c r="H570" s="37">
        <f>CEILING(H569,0.5)</f>
        <v>3717.5</v>
      </c>
      <c r="I570" s="38" t="str">
        <f>CONCATENATE("per ",C552)</f>
        <v>per nos.</v>
      </c>
      <c r="J570" s="744"/>
      <c r="K570" s="745"/>
      <c r="L570" s="745"/>
      <c r="M570" s="745"/>
      <c r="N570" s="745"/>
      <c r="O570" s="745"/>
      <c r="P570" s="745"/>
      <c r="Q570" s="745"/>
      <c r="R570" s="746"/>
    </row>
    <row r="571" spans="1:18">
      <c r="A571" s="23"/>
      <c r="B571" s="11"/>
      <c r="C571" s="4"/>
      <c r="D571" s="4"/>
      <c r="E571" s="4"/>
      <c r="F571" s="4"/>
      <c r="G571" s="24" t="s">
        <v>17</v>
      </c>
      <c r="H571" s="37">
        <f>H570/exr</f>
        <v>28.596153846153847</v>
      </c>
      <c r="I571" s="38" t="str">
        <f>CONCATENATE("per ",C552)</f>
        <v>per nos.</v>
      </c>
      <c r="J571" s="747"/>
      <c r="K571" s="748"/>
      <c r="L571" s="748"/>
      <c r="M571" s="748"/>
      <c r="N571" s="748"/>
      <c r="O571" s="748"/>
      <c r="P571" s="748"/>
      <c r="Q571" s="748"/>
      <c r="R571" s="749"/>
    </row>
    <row r="572" spans="1:18">
      <c r="A572" s="39"/>
      <c r="B572" s="40"/>
      <c r="C572" s="41"/>
      <c r="D572" s="41"/>
      <c r="E572" s="41"/>
      <c r="F572" s="41"/>
      <c r="G572" s="149" t="s">
        <v>460</v>
      </c>
      <c r="H572" s="150">
        <f>CEILING(SUM(M564,R564)/H565,0.0025)</f>
        <v>0.95750000000000002</v>
      </c>
      <c r="I572" s="42"/>
      <c r="J572" s="43"/>
      <c r="K572" s="43"/>
      <c r="L572" s="43"/>
      <c r="M572" s="43"/>
      <c r="N572" s="43"/>
      <c r="O572" s="43"/>
      <c r="P572" s="43"/>
      <c r="Q572" s="43"/>
      <c r="R572" s="44"/>
    </row>
    <row r="574" spans="1:18">
      <c r="A574" s="693" t="s">
        <v>0</v>
      </c>
      <c r="B574" s="695" t="s">
        <v>1</v>
      </c>
      <c r="C574" s="695" t="s">
        <v>2</v>
      </c>
      <c r="D574" s="697" t="s">
        <v>3</v>
      </c>
      <c r="E574" s="698"/>
      <c r="F574" s="698"/>
      <c r="G574" s="698"/>
      <c r="H574" s="698"/>
      <c r="I574" s="699" t="s">
        <v>4</v>
      </c>
      <c r="J574" s="700"/>
      <c r="K574" s="700"/>
      <c r="L574" s="700"/>
      <c r="M574" s="700"/>
      <c r="N574" s="698" t="s">
        <v>5</v>
      </c>
      <c r="O574" s="698"/>
      <c r="P574" s="698"/>
      <c r="Q574" s="698"/>
      <c r="R574" s="698"/>
    </row>
    <row r="575" spans="1:18">
      <c r="A575" s="694"/>
      <c r="B575" s="759"/>
      <c r="C575" s="696"/>
      <c r="D575" s="45" t="s">
        <v>6</v>
      </c>
      <c r="E575" s="46" t="s">
        <v>2</v>
      </c>
      <c r="F575" s="46" t="s">
        <v>7</v>
      </c>
      <c r="G575" s="46" t="s">
        <v>8</v>
      </c>
      <c r="H575" s="46" t="s">
        <v>9</v>
      </c>
      <c r="I575" s="46" t="s">
        <v>10</v>
      </c>
      <c r="J575" s="46" t="s">
        <v>2</v>
      </c>
      <c r="K575" s="46" t="s">
        <v>7</v>
      </c>
      <c r="L575" s="46" t="s">
        <v>8</v>
      </c>
      <c r="M575" s="47" t="s">
        <v>9</v>
      </c>
      <c r="N575" s="46" t="s">
        <v>10</v>
      </c>
      <c r="O575" s="46" t="s">
        <v>2</v>
      </c>
      <c r="P575" s="46" t="s">
        <v>7</v>
      </c>
      <c r="Q575" s="46" t="s">
        <v>8</v>
      </c>
      <c r="R575" s="46" t="s">
        <v>9</v>
      </c>
    </row>
    <row r="576" spans="1:18">
      <c r="A576" s="33" t="s">
        <v>23</v>
      </c>
      <c r="B576" s="127"/>
      <c r="C576" s="31"/>
      <c r="D576" s="31"/>
      <c r="E576" s="31"/>
      <c r="F576" s="31"/>
      <c r="G576" s="31"/>
      <c r="H576" s="31"/>
      <c r="I576" s="31"/>
      <c r="J576" s="31"/>
      <c r="K576" s="31"/>
      <c r="L576" s="31"/>
      <c r="M576" s="31"/>
      <c r="N576" s="31"/>
      <c r="O576" s="31"/>
      <c r="P576" s="31"/>
      <c r="Q576" s="31"/>
      <c r="R576" s="32"/>
    </row>
    <row r="577" spans="1:18">
      <c r="A577" s="34">
        <f>A552+1</f>
        <v>22</v>
      </c>
      <c r="B577" s="713" t="s">
        <v>703</v>
      </c>
      <c r="C577" s="66" t="s">
        <v>138</v>
      </c>
      <c r="D577" s="4"/>
      <c r="E577" s="6"/>
      <c r="F577" s="29"/>
      <c r="G577" s="26"/>
      <c r="H577" s="26"/>
      <c r="I577" s="6"/>
      <c r="J577" s="6"/>
      <c r="K577" s="29"/>
      <c r="L577" s="26"/>
      <c r="M577" s="26"/>
      <c r="N577" s="6"/>
      <c r="O577" s="6"/>
      <c r="P577" s="29"/>
      <c r="Q577" s="26"/>
      <c r="R577" s="26"/>
    </row>
    <row r="578" spans="1:18">
      <c r="A578" s="2"/>
      <c r="B578" s="714"/>
      <c r="C578" s="124"/>
      <c r="D578" s="4" t="s">
        <v>75</v>
      </c>
      <c r="E578" s="66" t="s">
        <v>81</v>
      </c>
      <c r="F578" s="29">
        <f>$F$353*J592</f>
        <v>4.6875E-2</v>
      </c>
      <c r="G578" s="26">
        <f>fr</f>
        <v>1100</v>
      </c>
      <c r="H578" s="26">
        <f>F578*G578</f>
        <v>51.5625</v>
      </c>
      <c r="I578" s="7" t="s">
        <v>67</v>
      </c>
      <c r="J578" s="145" t="s">
        <v>250</v>
      </c>
      <c r="K578" s="29">
        <f>$K$553*J592</f>
        <v>2.5499999999999998</v>
      </c>
      <c r="L578" s="28">
        <f>diesel</f>
        <v>177.6</v>
      </c>
      <c r="M578" s="26">
        <f>K578*L578</f>
        <v>452.87999999999994</v>
      </c>
      <c r="N578" s="8" t="s">
        <v>655</v>
      </c>
      <c r="O578" s="66" t="s">
        <v>101</v>
      </c>
      <c r="P578" s="29">
        <f>$P$553*J592</f>
        <v>0.1875</v>
      </c>
      <c r="Q578" s="28">
        <f>compressor</f>
        <v>270.39999999999998</v>
      </c>
      <c r="R578" s="26">
        <f>P578*Q578</f>
        <v>50.699999999999996</v>
      </c>
    </row>
    <row r="579" spans="1:18">
      <c r="A579" s="2"/>
      <c r="B579" s="714"/>
      <c r="C579" s="6"/>
      <c r="D579" s="4" t="s">
        <v>89</v>
      </c>
      <c r="E579" s="66" t="s">
        <v>81</v>
      </c>
      <c r="F579" s="29">
        <f>$F$354*J592</f>
        <v>7.03125E-2</v>
      </c>
      <c r="G579" s="26">
        <f>dr</f>
        <v>1100</v>
      </c>
      <c r="H579" s="26">
        <f>F579*G579</f>
        <v>77.34375</v>
      </c>
      <c r="I579" s="7" t="s">
        <v>649</v>
      </c>
      <c r="J579" s="145" t="s">
        <v>12</v>
      </c>
      <c r="K579" s="29"/>
      <c r="L579" s="28"/>
      <c r="M579" s="154">
        <v>20</v>
      </c>
      <c r="N579" s="8" t="s">
        <v>656</v>
      </c>
      <c r="O579" s="66" t="s">
        <v>101</v>
      </c>
      <c r="P579" s="29">
        <f>$P$554*J592</f>
        <v>0.1875</v>
      </c>
      <c r="Q579" s="216">
        <f>jack_hammer</f>
        <v>162.24</v>
      </c>
      <c r="R579" s="26">
        <f>P579*Q579</f>
        <v>30.42</v>
      </c>
    </row>
    <row r="580" spans="1:18">
      <c r="A580" s="2"/>
      <c r="B580" s="126"/>
      <c r="C580" s="6"/>
      <c r="D580" s="4" t="s">
        <v>462</v>
      </c>
      <c r="E580" s="66" t="s">
        <v>81</v>
      </c>
      <c r="F580" s="29">
        <f>$F$355*J592</f>
        <v>0.11249999999999999</v>
      </c>
      <c r="G580" s="26">
        <f>drh</f>
        <v>750</v>
      </c>
      <c r="H580" s="26">
        <f>F580*G580</f>
        <v>84.374999999999986</v>
      </c>
      <c r="I580" s="7" t="s">
        <v>494</v>
      </c>
      <c r="J580" s="145" t="s">
        <v>45</v>
      </c>
      <c r="K580" s="29">
        <f>$K$555*J592</f>
        <v>0.09</v>
      </c>
      <c r="L580" s="28">
        <f>Drillbit_32</f>
        <v>3709.37</v>
      </c>
      <c r="M580" s="26">
        <f t="shared" ref="M580:M586" si="33">K580*L580</f>
        <v>333.8433</v>
      </c>
      <c r="N580" s="8" t="s">
        <v>657</v>
      </c>
      <c r="O580" s="66" t="s">
        <v>12</v>
      </c>
      <c r="P580" s="29"/>
      <c r="Q580" s="28"/>
      <c r="R580" s="154">
        <v>50</v>
      </c>
    </row>
    <row r="581" spans="1:18">
      <c r="A581" s="2"/>
      <c r="B581" s="126"/>
      <c r="C581" s="6"/>
      <c r="D581" s="4"/>
      <c r="E581" s="66"/>
      <c r="F581" s="29"/>
      <c r="G581" s="26"/>
      <c r="H581" s="26"/>
      <c r="I581" s="7" t="s">
        <v>702</v>
      </c>
      <c r="J581" s="145" t="s">
        <v>47</v>
      </c>
      <c r="K581" s="29">
        <f>J592</f>
        <v>1.5</v>
      </c>
      <c r="L581" s="28">
        <f>rockbolt_32</f>
        <v>812.17</v>
      </c>
      <c r="M581" s="26">
        <f t="shared" si="33"/>
        <v>1218.2549999999999</v>
      </c>
      <c r="N581" s="8" t="s">
        <v>658</v>
      </c>
      <c r="O581" s="66" t="s">
        <v>12</v>
      </c>
      <c r="P581" s="29"/>
      <c r="Q581" s="28"/>
      <c r="R581" s="154">
        <f>10%*R580</f>
        <v>5</v>
      </c>
    </row>
    <row r="582" spans="1:18">
      <c r="A582" s="2"/>
      <c r="B582" s="126"/>
      <c r="C582" s="6"/>
      <c r="D582" s="4"/>
      <c r="E582" s="66"/>
      <c r="F582" s="29"/>
      <c r="G582" s="26"/>
      <c r="H582" s="26"/>
      <c r="I582" s="7" t="s">
        <v>650</v>
      </c>
      <c r="J582" s="145" t="s">
        <v>45</v>
      </c>
      <c r="K582" s="29">
        <v>1</v>
      </c>
      <c r="L582" s="154">
        <v>40</v>
      </c>
      <c r="M582" s="26">
        <f t="shared" si="33"/>
        <v>40</v>
      </c>
      <c r="N582" s="8" t="s">
        <v>659</v>
      </c>
      <c r="O582" s="66" t="s">
        <v>101</v>
      </c>
      <c r="P582" s="29">
        <f>$P$557*J592</f>
        <v>0.1875</v>
      </c>
      <c r="Q582" s="28">
        <f>grout_pump</f>
        <v>540.79999999999995</v>
      </c>
      <c r="R582" s="26">
        <f>P582*Q582</f>
        <v>101.39999999999999</v>
      </c>
    </row>
    <row r="583" spans="1:18">
      <c r="A583" s="2"/>
      <c r="B583" s="126"/>
      <c r="C583" s="6"/>
      <c r="D583" s="4"/>
      <c r="E583" s="66"/>
      <c r="F583" s="29"/>
      <c r="G583" s="26"/>
      <c r="H583" s="26"/>
      <c r="I583" s="7" t="s">
        <v>651</v>
      </c>
      <c r="J583" s="145" t="s">
        <v>45</v>
      </c>
      <c r="K583" s="29">
        <v>1</v>
      </c>
      <c r="L583" s="28">
        <f>bearing_plate</f>
        <v>1434.19</v>
      </c>
      <c r="M583" s="26">
        <f t="shared" si="33"/>
        <v>1434.19</v>
      </c>
      <c r="N583" s="8" t="s">
        <v>660</v>
      </c>
      <c r="O583" s="66" t="s">
        <v>101</v>
      </c>
      <c r="P583" s="29">
        <f>$P$558*J592</f>
        <v>0.09</v>
      </c>
      <c r="Q583" s="28">
        <f>fan</f>
        <v>260.67</v>
      </c>
      <c r="R583" s="26">
        <f>P583*Q583</f>
        <v>23.4603</v>
      </c>
    </row>
    <row r="584" spans="1:18">
      <c r="A584" s="2"/>
      <c r="B584" s="126"/>
      <c r="C584" s="6"/>
      <c r="D584" s="4"/>
      <c r="E584" s="66"/>
      <c r="F584" s="29"/>
      <c r="G584" s="26"/>
      <c r="H584" s="26"/>
      <c r="I584" s="7" t="s">
        <v>31</v>
      </c>
      <c r="J584" s="145" t="s">
        <v>28</v>
      </c>
      <c r="K584" s="29">
        <f>((PI()/4*((0.038)^2-(0.032)^2)*J592)*1440)*2</f>
        <v>1.42502642766833</v>
      </c>
      <c r="L584" s="28">
        <f>cement/1000</f>
        <v>24.049689999999998</v>
      </c>
      <c r="M584" s="26">
        <f t="shared" si="33"/>
        <v>34.271443827230755</v>
      </c>
      <c r="N584" s="8" t="s">
        <v>661</v>
      </c>
      <c r="O584" s="66" t="s">
        <v>12</v>
      </c>
      <c r="P584" s="29"/>
      <c r="Q584" s="28"/>
      <c r="R584" s="154">
        <v>15</v>
      </c>
    </row>
    <row r="585" spans="1:18">
      <c r="A585" s="2"/>
      <c r="B585" s="126"/>
      <c r="C585" s="6"/>
      <c r="D585" s="4"/>
      <c r="E585" s="66"/>
      <c r="F585" s="29"/>
      <c r="G585" s="26"/>
      <c r="H585" s="26"/>
      <c r="I585" s="7" t="s">
        <v>652</v>
      </c>
      <c r="J585" s="145" t="s">
        <v>28</v>
      </c>
      <c r="K585" s="29">
        <f>0.005%*K584</f>
        <v>7.1251321383416502E-5</v>
      </c>
      <c r="L585" s="154">
        <v>500</v>
      </c>
      <c r="M585" s="26">
        <f t="shared" si="33"/>
        <v>3.562566069170825E-2</v>
      </c>
      <c r="N585" s="8"/>
      <c r="O585" s="66"/>
      <c r="P585" s="29"/>
      <c r="Q585" s="28"/>
      <c r="R585" s="26"/>
    </row>
    <row r="586" spans="1:18">
      <c r="A586" s="2"/>
      <c r="B586" s="126"/>
      <c r="C586" s="6"/>
      <c r="D586" s="4"/>
      <c r="E586" s="66"/>
      <c r="F586" s="29"/>
      <c r="G586" s="26"/>
      <c r="H586" s="26"/>
      <c r="I586" s="7" t="s">
        <v>653</v>
      </c>
      <c r="J586" s="145" t="s">
        <v>11</v>
      </c>
      <c r="K586" s="29">
        <f>K584/1500</f>
        <v>9.5001761844555328E-4</v>
      </c>
      <c r="L586" s="28">
        <f>sand</f>
        <v>1050</v>
      </c>
      <c r="M586" s="26">
        <f t="shared" si="33"/>
        <v>0.99751849936783099</v>
      </c>
      <c r="N586" s="8"/>
      <c r="O586" s="66"/>
      <c r="P586" s="29"/>
      <c r="Q586" s="28"/>
      <c r="R586" s="26"/>
    </row>
    <row r="587" spans="1:18">
      <c r="A587" s="2"/>
      <c r="B587" s="126"/>
      <c r="C587" s="6"/>
      <c r="D587" s="4"/>
      <c r="E587" s="66"/>
      <c r="F587" s="29"/>
      <c r="G587" s="26"/>
      <c r="H587" s="26"/>
      <c r="I587" s="7"/>
      <c r="J587" s="145"/>
      <c r="K587" s="29"/>
      <c r="L587" s="28"/>
      <c r="M587" s="26"/>
      <c r="N587" s="8"/>
      <c r="O587" s="66"/>
      <c r="P587" s="29"/>
      <c r="Q587" s="28"/>
      <c r="R587" s="26"/>
    </row>
    <row r="588" spans="1:18">
      <c r="A588" s="2"/>
      <c r="B588" s="5"/>
      <c r="C588" s="6"/>
      <c r="D588" s="4"/>
      <c r="E588" s="9"/>
      <c r="F588" s="30"/>
      <c r="G588" s="27"/>
      <c r="H588" s="27"/>
      <c r="I588" s="9"/>
      <c r="J588" s="10"/>
      <c r="K588" s="30"/>
      <c r="L588" s="28"/>
      <c r="M588" s="28"/>
      <c r="N588" s="8"/>
      <c r="O588" s="6"/>
      <c r="P588" s="30"/>
      <c r="Q588" s="28"/>
      <c r="R588" s="28"/>
    </row>
    <row r="589" spans="1:18">
      <c r="A589" s="2"/>
      <c r="B589" s="11"/>
      <c r="C589" s="6"/>
      <c r="D589" s="12"/>
      <c r="E589" s="59"/>
      <c r="F589" s="13"/>
      <c r="G589" s="13" t="s">
        <v>20</v>
      </c>
      <c r="H589" s="25">
        <f>SUM(H577:H588)</f>
        <v>213.28125</v>
      </c>
      <c r="I589" s="703"/>
      <c r="J589" s="703"/>
      <c r="K589" s="14"/>
      <c r="L589" s="13" t="s">
        <v>21</v>
      </c>
      <c r="M589" s="25">
        <f>SUM(M577:M588)</f>
        <v>3534.4728879872896</v>
      </c>
      <c r="N589" s="3"/>
      <c r="O589" s="14"/>
      <c r="P589" s="14"/>
      <c r="Q589" s="13" t="s">
        <v>22</v>
      </c>
      <c r="R589" s="25">
        <f>SUM(R577:R588)</f>
        <v>275.9803</v>
      </c>
    </row>
    <row r="590" spans="1:18">
      <c r="A590" s="2"/>
      <c r="B590" s="16" t="s">
        <v>13</v>
      </c>
      <c r="C590" s="14"/>
      <c r="D590" s="14"/>
      <c r="E590" s="14"/>
      <c r="F590" s="14"/>
      <c r="G590" s="13"/>
      <c r="H590" s="35">
        <f>M589+R589+H589</f>
        <v>4023.7344379872898</v>
      </c>
      <c r="I590" s="17"/>
      <c r="J590" s="14"/>
      <c r="K590" s="14"/>
      <c r="L590" s="13"/>
      <c r="M590" s="15"/>
      <c r="N590" s="14"/>
      <c r="O590" s="14"/>
      <c r="P590" s="14"/>
      <c r="Q590" s="14"/>
      <c r="R590" s="17"/>
    </row>
    <row r="591" spans="1:18">
      <c r="A591" s="2"/>
      <c r="B591" s="11" t="s">
        <v>25</v>
      </c>
      <c r="C591" s="4" t="s">
        <v>647</v>
      </c>
      <c r="D591" s="4"/>
      <c r="E591" s="4"/>
      <c r="F591" s="4"/>
      <c r="G591" s="18"/>
      <c r="H591" s="36">
        <f>20%*(H589)</f>
        <v>42.65625</v>
      </c>
      <c r="I591" s="20"/>
      <c r="J591" s="4" t="s">
        <v>26</v>
      </c>
      <c r="K591" s="4"/>
      <c r="L591" s="18"/>
      <c r="M591" s="19"/>
      <c r="N591" s="4"/>
      <c r="O591" s="4"/>
      <c r="P591" s="4"/>
      <c r="Q591" s="4"/>
      <c r="R591" s="20"/>
    </row>
    <row r="592" spans="1:18">
      <c r="A592" s="23"/>
      <c r="B592" s="11" t="s">
        <v>14</v>
      </c>
      <c r="C592" s="4"/>
      <c r="D592" s="4"/>
      <c r="E592" s="4"/>
      <c r="F592" s="4"/>
      <c r="G592" s="18"/>
      <c r="H592" s="36">
        <f>SUM(H590:H591)</f>
        <v>4066.3906879872898</v>
      </c>
      <c r="I592" s="20"/>
      <c r="J592" s="750">
        <v>1.5</v>
      </c>
      <c r="K592" s="751"/>
      <c r="L592" s="751"/>
      <c r="M592" s="751"/>
      <c r="N592" s="751"/>
      <c r="O592" s="751"/>
      <c r="P592" s="751"/>
      <c r="Q592" s="751"/>
      <c r="R592" s="752"/>
    </row>
    <row r="593" spans="1:18">
      <c r="A593" s="23"/>
      <c r="B593" s="11" t="s">
        <v>24</v>
      </c>
      <c r="C593" s="4"/>
      <c r="D593" s="4"/>
      <c r="E593" s="4"/>
      <c r="F593" s="4"/>
      <c r="G593" s="18"/>
      <c r="H593" s="36">
        <f>H592*15%</f>
        <v>609.95860319809344</v>
      </c>
      <c r="I593" s="20"/>
      <c r="J593" s="753"/>
      <c r="K593" s="754"/>
      <c r="L593" s="754"/>
      <c r="M593" s="754"/>
      <c r="N593" s="754"/>
      <c r="O593" s="754"/>
      <c r="P593" s="754"/>
      <c r="Q593" s="754"/>
      <c r="R593" s="755"/>
    </row>
    <row r="594" spans="1:18">
      <c r="A594" s="23"/>
      <c r="B594" s="11" t="s">
        <v>15</v>
      </c>
      <c r="C594" s="4"/>
      <c r="D594" s="4"/>
      <c r="E594" s="4"/>
      <c r="F594" s="4"/>
      <c r="G594" s="21" t="s">
        <v>16</v>
      </c>
      <c r="H594" s="37">
        <f>H593+H592</f>
        <v>4676.3492911853828</v>
      </c>
      <c r="I594" s="38" t="str">
        <f>CONCATENATE("per ",C577, C578)</f>
        <v>per nos.</v>
      </c>
      <c r="J594" s="753"/>
      <c r="K594" s="754"/>
      <c r="L594" s="754"/>
      <c r="M594" s="754"/>
      <c r="N594" s="754"/>
      <c r="O594" s="754"/>
      <c r="P594" s="754"/>
      <c r="Q594" s="754"/>
      <c r="R594" s="755"/>
    </row>
    <row r="595" spans="1:18">
      <c r="A595" s="23"/>
      <c r="B595" s="11" t="s">
        <v>18</v>
      </c>
      <c r="C595" s="4" t="s">
        <v>19</v>
      </c>
      <c r="D595" s="4"/>
      <c r="E595" s="4"/>
      <c r="F595" s="4"/>
      <c r="G595" s="21" t="s">
        <v>16</v>
      </c>
      <c r="H595" s="37">
        <f>CEILING(H594,0.5)</f>
        <v>4676.5</v>
      </c>
      <c r="I595" s="38" t="str">
        <f>CONCATENATE("per ",C577)</f>
        <v>per nos.</v>
      </c>
      <c r="J595" s="753"/>
      <c r="K595" s="754"/>
      <c r="L595" s="754"/>
      <c r="M595" s="754"/>
      <c r="N595" s="754"/>
      <c r="O595" s="754"/>
      <c r="P595" s="754"/>
      <c r="Q595" s="754"/>
      <c r="R595" s="755"/>
    </row>
    <row r="596" spans="1:18">
      <c r="A596" s="23"/>
      <c r="B596" s="11"/>
      <c r="C596" s="4"/>
      <c r="D596" s="4"/>
      <c r="E596" s="4"/>
      <c r="F596" s="4"/>
      <c r="G596" s="24" t="s">
        <v>17</v>
      </c>
      <c r="H596" s="37">
        <f>H595/exr</f>
        <v>35.973076923076924</v>
      </c>
      <c r="I596" s="38" t="str">
        <f>CONCATENATE("per ",C577)</f>
        <v>per nos.</v>
      </c>
      <c r="J596" s="756"/>
      <c r="K596" s="757"/>
      <c r="L596" s="757"/>
      <c r="M596" s="757"/>
      <c r="N596" s="757"/>
      <c r="O596" s="757"/>
      <c r="P596" s="757"/>
      <c r="Q596" s="757"/>
      <c r="R596" s="758"/>
    </row>
    <row r="597" spans="1:18">
      <c r="A597" s="39"/>
      <c r="B597" s="40"/>
      <c r="C597" s="41"/>
      <c r="D597" s="41"/>
      <c r="E597" s="41"/>
      <c r="F597" s="41"/>
      <c r="G597" s="149" t="s">
        <v>460</v>
      </c>
      <c r="H597" s="150">
        <f>CEILING(SUM(M589,R589)/H590,0.0025)</f>
        <v>0.94750000000000001</v>
      </c>
      <c r="I597" s="42"/>
      <c r="J597" s="43"/>
      <c r="K597" s="43"/>
      <c r="L597" s="43"/>
      <c r="M597" s="43"/>
      <c r="N597" s="43"/>
      <c r="O597" s="43"/>
      <c r="P597" s="43"/>
      <c r="Q597" s="43"/>
      <c r="R597" s="44"/>
    </row>
    <row r="599" spans="1:18">
      <c r="A599" s="693" t="s">
        <v>0</v>
      </c>
      <c r="B599" s="695" t="s">
        <v>1</v>
      </c>
      <c r="C599" s="695" t="s">
        <v>2</v>
      </c>
      <c r="D599" s="697" t="s">
        <v>3</v>
      </c>
      <c r="E599" s="698"/>
      <c r="F599" s="698"/>
      <c r="G599" s="698"/>
      <c r="H599" s="698"/>
      <c r="I599" s="699" t="s">
        <v>4</v>
      </c>
      <c r="J599" s="700"/>
      <c r="K599" s="700"/>
      <c r="L599" s="700"/>
      <c r="M599" s="700"/>
      <c r="N599" s="698" t="s">
        <v>5</v>
      </c>
      <c r="O599" s="698"/>
      <c r="P599" s="698"/>
      <c r="Q599" s="698"/>
      <c r="R599" s="698"/>
    </row>
    <row r="600" spans="1:18">
      <c r="A600" s="694"/>
      <c r="B600" s="759"/>
      <c r="C600" s="696"/>
      <c r="D600" s="45" t="s">
        <v>6</v>
      </c>
      <c r="E600" s="46" t="s">
        <v>2</v>
      </c>
      <c r="F600" s="46" t="s">
        <v>7</v>
      </c>
      <c r="G600" s="46" t="s">
        <v>8</v>
      </c>
      <c r="H600" s="46" t="s">
        <v>9</v>
      </c>
      <c r="I600" s="46" t="s">
        <v>10</v>
      </c>
      <c r="J600" s="46" t="s">
        <v>2</v>
      </c>
      <c r="K600" s="46" t="s">
        <v>7</v>
      </c>
      <c r="L600" s="46" t="s">
        <v>8</v>
      </c>
      <c r="M600" s="47" t="s">
        <v>9</v>
      </c>
      <c r="N600" s="46" t="s">
        <v>10</v>
      </c>
      <c r="O600" s="46" t="s">
        <v>2</v>
      </c>
      <c r="P600" s="46" t="s">
        <v>7</v>
      </c>
      <c r="Q600" s="46" t="s">
        <v>8</v>
      </c>
      <c r="R600" s="46" t="s">
        <v>9</v>
      </c>
    </row>
    <row r="601" spans="1:18">
      <c r="A601" s="33" t="s">
        <v>23</v>
      </c>
      <c r="B601" s="127"/>
      <c r="C601" s="31"/>
      <c r="D601" s="31"/>
      <c r="E601" s="31"/>
      <c r="F601" s="31"/>
      <c r="G601" s="31"/>
      <c r="H601" s="31"/>
      <c r="I601" s="31"/>
      <c r="J601" s="31"/>
      <c r="K601" s="31"/>
      <c r="L601" s="31"/>
      <c r="M601" s="31"/>
      <c r="N601" s="31"/>
      <c r="O601" s="31"/>
      <c r="P601" s="31"/>
      <c r="Q601" s="31"/>
      <c r="R601" s="32"/>
    </row>
    <row r="602" spans="1:18">
      <c r="A602" s="34">
        <f>A577+1</f>
        <v>23</v>
      </c>
      <c r="B602" s="713" t="s">
        <v>704</v>
      </c>
      <c r="C602" s="66" t="s">
        <v>138</v>
      </c>
      <c r="D602" s="4"/>
      <c r="E602" s="6"/>
      <c r="F602" s="29"/>
      <c r="G602" s="26"/>
      <c r="H602" s="26"/>
      <c r="I602" s="6"/>
      <c r="J602" s="6"/>
      <c r="K602" s="29"/>
      <c r="L602" s="26"/>
      <c r="M602" s="26"/>
      <c r="N602" s="6"/>
      <c r="O602" s="6"/>
      <c r="P602" s="29"/>
      <c r="Q602" s="26"/>
      <c r="R602" s="26"/>
    </row>
    <row r="603" spans="1:18">
      <c r="A603" s="2"/>
      <c r="B603" s="714"/>
      <c r="C603" s="124"/>
      <c r="D603" s="4" t="s">
        <v>75</v>
      </c>
      <c r="E603" s="66" t="s">
        <v>81</v>
      </c>
      <c r="F603" s="29">
        <f>$F$353*J617</f>
        <v>6.25E-2</v>
      </c>
      <c r="G603" s="26">
        <f>fr</f>
        <v>1100</v>
      </c>
      <c r="H603" s="26">
        <f>F603*G603</f>
        <v>68.75</v>
      </c>
      <c r="I603" s="7" t="s">
        <v>67</v>
      </c>
      <c r="J603" s="145" t="s">
        <v>250</v>
      </c>
      <c r="K603" s="29">
        <f>$K$553*J617</f>
        <v>3.4</v>
      </c>
      <c r="L603" s="28">
        <f>diesel</f>
        <v>177.6</v>
      </c>
      <c r="M603" s="26">
        <f>K603*L603</f>
        <v>603.83999999999992</v>
      </c>
      <c r="N603" s="8" t="s">
        <v>655</v>
      </c>
      <c r="O603" s="66" t="s">
        <v>101</v>
      </c>
      <c r="P603" s="29">
        <f>$P$553*J617</f>
        <v>0.25</v>
      </c>
      <c r="Q603" s="28">
        <f>compressor</f>
        <v>270.39999999999998</v>
      </c>
      <c r="R603" s="26">
        <f>P603*Q603</f>
        <v>67.599999999999994</v>
      </c>
    </row>
    <row r="604" spans="1:18">
      <c r="A604" s="2"/>
      <c r="B604" s="714"/>
      <c r="C604" s="6"/>
      <c r="D604" s="4" t="s">
        <v>89</v>
      </c>
      <c r="E604" s="66" t="s">
        <v>81</v>
      </c>
      <c r="F604" s="29">
        <f>$F$354*J617</f>
        <v>9.375E-2</v>
      </c>
      <c r="G604" s="26">
        <f>dr</f>
        <v>1100</v>
      </c>
      <c r="H604" s="26">
        <f>F604*G604</f>
        <v>103.125</v>
      </c>
      <c r="I604" s="7" t="s">
        <v>649</v>
      </c>
      <c r="J604" s="145" t="s">
        <v>12</v>
      </c>
      <c r="K604" s="29"/>
      <c r="L604" s="28"/>
      <c r="M604" s="154">
        <v>30</v>
      </c>
      <c r="N604" s="8" t="s">
        <v>656</v>
      </c>
      <c r="O604" s="66" t="s">
        <v>101</v>
      </c>
      <c r="P604" s="29">
        <f>$P$554*J617</f>
        <v>0.25</v>
      </c>
      <c r="Q604" s="216">
        <f>jack_hammer</f>
        <v>162.24</v>
      </c>
      <c r="R604" s="26">
        <f>P604*Q604</f>
        <v>40.56</v>
      </c>
    </row>
    <row r="605" spans="1:18">
      <c r="A605" s="2"/>
      <c r="B605" s="126"/>
      <c r="C605" s="6"/>
      <c r="D605" s="4" t="s">
        <v>462</v>
      </c>
      <c r="E605" s="66" t="s">
        <v>81</v>
      </c>
      <c r="F605" s="29">
        <f>$F$355*J617</f>
        <v>0.15</v>
      </c>
      <c r="G605" s="26">
        <f>drh</f>
        <v>750</v>
      </c>
      <c r="H605" s="26">
        <f>F605*G605</f>
        <v>112.5</v>
      </c>
      <c r="I605" s="7" t="s">
        <v>494</v>
      </c>
      <c r="J605" s="145" t="s">
        <v>45</v>
      </c>
      <c r="K605" s="29">
        <f>$K$555*J617</f>
        <v>0.12</v>
      </c>
      <c r="L605" s="28">
        <f>Drillbit_32</f>
        <v>3709.37</v>
      </c>
      <c r="M605" s="26">
        <f t="shared" ref="M605:M611" si="34">K605*L605</f>
        <v>445.12439999999998</v>
      </c>
      <c r="N605" s="8" t="s">
        <v>657</v>
      </c>
      <c r="O605" s="66" t="s">
        <v>12</v>
      </c>
      <c r="P605" s="29"/>
      <c r="Q605" s="28"/>
      <c r="R605" s="154">
        <v>50</v>
      </c>
    </row>
    <row r="606" spans="1:18">
      <c r="A606" s="2"/>
      <c r="B606" s="126"/>
      <c r="C606" s="6"/>
      <c r="D606" s="4"/>
      <c r="E606" s="66"/>
      <c r="F606" s="29"/>
      <c r="G606" s="26"/>
      <c r="H606" s="26"/>
      <c r="I606" s="7" t="s">
        <v>702</v>
      </c>
      <c r="J606" s="145" t="s">
        <v>47</v>
      </c>
      <c r="K606" s="29">
        <f>J617</f>
        <v>2</v>
      </c>
      <c r="L606" s="28">
        <f>rockbolt_32</f>
        <v>812.17</v>
      </c>
      <c r="M606" s="26">
        <f t="shared" si="34"/>
        <v>1624.34</v>
      </c>
      <c r="N606" s="8" t="s">
        <v>658</v>
      </c>
      <c r="O606" s="66" t="s">
        <v>12</v>
      </c>
      <c r="P606" s="29"/>
      <c r="Q606" s="28"/>
      <c r="R606" s="154">
        <f>10%*R605</f>
        <v>5</v>
      </c>
    </row>
    <row r="607" spans="1:18">
      <c r="A607" s="2"/>
      <c r="B607" s="126"/>
      <c r="C607" s="6"/>
      <c r="D607" s="4"/>
      <c r="E607" s="66"/>
      <c r="F607" s="29"/>
      <c r="G607" s="26"/>
      <c r="H607" s="26"/>
      <c r="I607" s="7" t="s">
        <v>650</v>
      </c>
      <c r="J607" s="145" t="s">
        <v>45</v>
      </c>
      <c r="K607" s="29">
        <v>1</v>
      </c>
      <c r="L607" s="154">
        <v>40</v>
      </c>
      <c r="M607" s="26">
        <f t="shared" si="34"/>
        <v>40</v>
      </c>
      <c r="N607" s="8" t="s">
        <v>659</v>
      </c>
      <c r="O607" s="66" t="s">
        <v>101</v>
      </c>
      <c r="P607" s="29">
        <f>$P$557*J617</f>
        <v>0.25</v>
      </c>
      <c r="Q607" s="28">
        <f>grout_pump</f>
        <v>540.79999999999995</v>
      </c>
      <c r="R607" s="26">
        <f>P607*Q607</f>
        <v>135.19999999999999</v>
      </c>
    </row>
    <row r="608" spans="1:18">
      <c r="A608" s="2"/>
      <c r="B608" s="126"/>
      <c r="C608" s="6"/>
      <c r="D608" s="4"/>
      <c r="E608" s="66"/>
      <c r="F608" s="29"/>
      <c r="G608" s="26"/>
      <c r="H608" s="26"/>
      <c r="I608" s="7" t="s">
        <v>651</v>
      </c>
      <c r="J608" s="145" t="s">
        <v>45</v>
      </c>
      <c r="K608" s="29">
        <v>1</v>
      </c>
      <c r="L608" s="28">
        <f>bearing_plate</f>
        <v>1434.19</v>
      </c>
      <c r="M608" s="26">
        <f t="shared" si="34"/>
        <v>1434.19</v>
      </c>
      <c r="N608" s="8" t="s">
        <v>660</v>
      </c>
      <c r="O608" s="66" t="s">
        <v>101</v>
      </c>
      <c r="P608" s="29">
        <f>$P$558*J617</f>
        <v>0.12</v>
      </c>
      <c r="Q608" s="28">
        <f>fan</f>
        <v>260.67</v>
      </c>
      <c r="R608" s="26">
        <f>P608*Q608</f>
        <v>31.2804</v>
      </c>
    </row>
    <row r="609" spans="1:18">
      <c r="A609" s="2"/>
      <c r="B609" s="126"/>
      <c r="C609" s="6"/>
      <c r="D609" s="4"/>
      <c r="E609" s="66"/>
      <c r="F609" s="29"/>
      <c r="G609" s="26"/>
      <c r="H609" s="26"/>
      <c r="I609" s="7" t="s">
        <v>31</v>
      </c>
      <c r="J609" s="145" t="s">
        <v>28</v>
      </c>
      <c r="K609" s="29">
        <f>((PI()/4*((0.038)^2-(0.032)^2)*J617)*1440)*2</f>
        <v>1.9000352368911069</v>
      </c>
      <c r="L609" s="28">
        <f>cement/1000</f>
        <v>24.049689999999998</v>
      </c>
      <c r="M609" s="26">
        <f t="shared" si="34"/>
        <v>45.695258436307682</v>
      </c>
      <c r="N609" s="8" t="s">
        <v>661</v>
      </c>
      <c r="O609" s="66" t="s">
        <v>12</v>
      </c>
      <c r="P609" s="29"/>
      <c r="Q609" s="28"/>
      <c r="R609" s="154">
        <v>15</v>
      </c>
    </row>
    <row r="610" spans="1:18">
      <c r="A610" s="2"/>
      <c r="B610" s="126"/>
      <c r="C610" s="6"/>
      <c r="D610" s="4"/>
      <c r="E610" s="66"/>
      <c r="F610" s="29"/>
      <c r="G610" s="26"/>
      <c r="H610" s="26"/>
      <c r="I610" s="7" t="s">
        <v>652</v>
      </c>
      <c r="J610" s="145" t="s">
        <v>28</v>
      </c>
      <c r="K610" s="29">
        <f>0.005%*K609</f>
        <v>9.5001761844555344E-5</v>
      </c>
      <c r="L610" s="154">
        <v>500</v>
      </c>
      <c r="M610" s="26">
        <f t="shared" si="34"/>
        <v>4.7500880922277673E-2</v>
      </c>
      <c r="N610" s="8"/>
      <c r="O610" s="66"/>
      <c r="P610" s="29"/>
      <c r="Q610" s="28"/>
      <c r="R610" s="26"/>
    </row>
    <row r="611" spans="1:18">
      <c r="A611" s="2"/>
      <c r="B611" s="126"/>
      <c r="C611" s="6"/>
      <c r="D611" s="4"/>
      <c r="E611" s="66"/>
      <c r="F611" s="29"/>
      <c r="G611" s="26"/>
      <c r="H611" s="26"/>
      <c r="I611" s="7" t="s">
        <v>653</v>
      </c>
      <c r="J611" s="145" t="s">
        <v>11</v>
      </c>
      <c r="K611" s="29">
        <f>K609/1500</f>
        <v>1.2666901579274047E-3</v>
      </c>
      <c r="L611" s="28">
        <f>sand</f>
        <v>1050</v>
      </c>
      <c r="M611" s="26">
        <f t="shared" si="34"/>
        <v>1.3300246658237749</v>
      </c>
      <c r="N611" s="8"/>
      <c r="O611" s="66"/>
      <c r="P611" s="29"/>
      <c r="Q611" s="28"/>
      <c r="R611" s="26"/>
    </row>
    <row r="612" spans="1:18">
      <c r="A612" s="2"/>
      <c r="B612" s="126"/>
      <c r="C612" s="6"/>
      <c r="D612" s="4"/>
      <c r="E612" s="66"/>
      <c r="F612" s="29"/>
      <c r="G612" s="26"/>
      <c r="H612" s="26"/>
      <c r="I612" s="7"/>
      <c r="J612" s="145"/>
      <c r="K612" s="29"/>
      <c r="L612" s="28"/>
      <c r="M612" s="26"/>
      <c r="N612" s="8"/>
      <c r="O612" s="66"/>
      <c r="P612" s="29"/>
      <c r="Q612" s="28"/>
      <c r="R612" s="26"/>
    </row>
    <row r="613" spans="1:18">
      <c r="A613" s="2"/>
      <c r="B613" s="5"/>
      <c r="C613" s="6"/>
      <c r="D613" s="4"/>
      <c r="E613" s="9"/>
      <c r="F613" s="30"/>
      <c r="G613" s="27"/>
      <c r="H613" s="27"/>
      <c r="I613" s="9"/>
      <c r="J613" s="10"/>
      <c r="K613" s="30"/>
      <c r="L613" s="28"/>
      <c r="M613" s="28"/>
      <c r="N613" s="8"/>
      <c r="O613" s="6"/>
      <c r="P613" s="30"/>
      <c r="Q613" s="28"/>
      <c r="R613" s="28"/>
    </row>
    <row r="614" spans="1:18">
      <c r="A614" s="2"/>
      <c r="B614" s="11"/>
      <c r="C614" s="6"/>
      <c r="D614" s="12"/>
      <c r="E614" s="59"/>
      <c r="F614" s="13"/>
      <c r="G614" s="13" t="s">
        <v>20</v>
      </c>
      <c r="H614" s="25">
        <f>SUM(H602:H613)</f>
        <v>284.375</v>
      </c>
      <c r="I614" s="703"/>
      <c r="J614" s="703"/>
      <c r="K614" s="14"/>
      <c r="L614" s="13" t="s">
        <v>21</v>
      </c>
      <c r="M614" s="25">
        <f>SUM(M602:M613)</f>
        <v>4224.5671839830538</v>
      </c>
      <c r="N614" s="3"/>
      <c r="O614" s="14"/>
      <c r="P614" s="14"/>
      <c r="Q614" s="13" t="s">
        <v>22</v>
      </c>
      <c r="R614" s="25">
        <f>SUM(R602:R613)</f>
        <v>344.6404</v>
      </c>
    </row>
    <row r="615" spans="1:18">
      <c r="A615" s="2"/>
      <c r="B615" s="16" t="s">
        <v>13</v>
      </c>
      <c r="C615" s="14"/>
      <c r="D615" s="14"/>
      <c r="E615" s="14"/>
      <c r="F615" s="14"/>
      <c r="G615" s="13"/>
      <c r="H615" s="35">
        <f>M614+R614+H614</f>
        <v>4853.5825839830541</v>
      </c>
      <c r="I615" s="17"/>
      <c r="J615" s="14"/>
      <c r="K615" s="14"/>
      <c r="L615" s="13"/>
      <c r="M615" s="15"/>
      <c r="N615" s="14"/>
      <c r="O615" s="14"/>
      <c r="P615" s="14"/>
      <c r="Q615" s="14"/>
      <c r="R615" s="17"/>
    </row>
    <row r="616" spans="1:18">
      <c r="A616" s="2"/>
      <c r="B616" s="11" t="s">
        <v>25</v>
      </c>
      <c r="C616" s="4" t="s">
        <v>647</v>
      </c>
      <c r="D616" s="4"/>
      <c r="E616" s="4"/>
      <c r="F616" s="4"/>
      <c r="G616" s="18"/>
      <c r="H616" s="36">
        <f>20%*(H614)</f>
        <v>56.875</v>
      </c>
      <c r="I616" s="20"/>
      <c r="J616" s="4" t="s">
        <v>26</v>
      </c>
      <c r="K616" s="4"/>
      <c r="L616" s="18"/>
      <c r="M616" s="19"/>
      <c r="N616" s="4"/>
      <c r="O616" s="4"/>
      <c r="P616" s="4"/>
      <c r="Q616" s="4"/>
      <c r="R616" s="20"/>
    </row>
    <row r="617" spans="1:18">
      <c r="A617" s="23"/>
      <c r="B617" s="11" t="s">
        <v>14</v>
      </c>
      <c r="C617" s="4"/>
      <c r="D617" s="4"/>
      <c r="E617" s="4"/>
      <c r="F617" s="4"/>
      <c r="G617" s="18"/>
      <c r="H617" s="36">
        <f>SUM(H615:H616)</f>
        <v>4910.4575839830541</v>
      </c>
      <c r="I617" s="20"/>
      <c r="J617" s="750">
        <v>2</v>
      </c>
      <c r="K617" s="751"/>
      <c r="L617" s="751"/>
      <c r="M617" s="751"/>
      <c r="N617" s="751"/>
      <c r="O617" s="751"/>
      <c r="P617" s="751"/>
      <c r="Q617" s="751"/>
      <c r="R617" s="752"/>
    </row>
    <row r="618" spans="1:18">
      <c r="A618" s="23"/>
      <c r="B618" s="11" t="s">
        <v>24</v>
      </c>
      <c r="C618" s="4"/>
      <c r="D618" s="4"/>
      <c r="E618" s="4"/>
      <c r="F618" s="4"/>
      <c r="G618" s="18"/>
      <c r="H618" s="36">
        <f>H617*15%</f>
        <v>736.56863759745806</v>
      </c>
      <c r="I618" s="20"/>
      <c r="J618" s="753"/>
      <c r="K618" s="754"/>
      <c r="L618" s="754"/>
      <c r="M618" s="754"/>
      <c r="N618" s="754"/>
      <c r="O618" s="754"/>
      <c r="P618" s="754"/>
      <c r="Q618" s="754"/>
      <c r="R618" s="755"/>
    </row>
    <row r="619" spans="1:18">
      <c r="A619" s="23"/>
      <c r="B619" s="11" t="s">
        <v>15</v>
      </c>
      <c r="C619" s="4"/>
      <c r="D619" s="4"/>
      <c r="E619" s="4"/>
      <c r="F619" s="4"/>
      <c r="G619" s="21" t="s">
        <v>16</v>
      </c>
      <c r="H619" s="37">
        <f>H618+H617</f>
        <v>5647.0262215805124</v>
      </c>
      <c r="I619" s="38" t="str">
        <f>CONCATENATE("per ",C602, C603)</f>
        <v>per nos.</v>
      </c>
      <c r="J619" s="753"/>
      <c r="K619" s="754"/>
      <c r="L619" s="754"/>
      <c r="M619" s="754"/>
      <c r="N619" s="754"/>
      <c r="O619" s="754"/>
      <c r="P619" s="754"/>
      <c r="Q619" s="754"/>
      <c r="R619" s="755"/>
    </row>
    <row r="620" spans="1:18">
      <c r="A620" s="23"/>
      <c r="B620" s="11" t="s">
        <v>18</v>
      </c>
      <c r="C620" s="4" t="s">
        <v>19</v>
      </c>
      <c r="D620" s="4"/>
      <c r="E620" s="4"/>
      <c r="F620" s="4"/>
      <c r="G620" s="21" t="s">
        <v>16</v>
      </c>
      <c r="H620" s="37">
        <f>CEILING(H619,0.5)</f>
        <v>5647.5</v>
      </c>
      <c r="I620" s="38" t="str">
        <f>CONCATENATE("per ",C602)</f>
        <v>per nos.</v>
      </c>
      <c r="J620" s="753"/>
      <c r="K620" s="754"/>
      <c r="L620" s="754"/>
      <c r="M620" s="754"/>
      <c r="N620" s="754"/>
      <c r="O620" s="754"/>
      <c r="P620" s="754"/>
      <c r="Q620" s="754"/>
      <c r="R620" s="755"/>
    </row>
    <row r="621" spans="1:18">
      <c r="A621" s="23"/>
      <c r="B621" s="11"/>
      <c r="C621" s="4"/>
      <c r="D621" s="4"/>
      <c r="E621" s="4"/>
      <c r="F621" s="4"/>
      <c r="G621" s="24" t="s">
        <v>17</v>
      </c>
      <c r="H621" s="37">
        <f>H620/exr</f>
        <v>43.442307692307693</v>
      </c>
      <c r="I621" s="38" t="str">
        <f>CONCATENATE("per ",C602)</f>
        <v>per nos.</v>
      </c>
      <c r="J621" s="756"/>
      <c r="K621" s="757"/>
      <c r="L621" s="757"/>
      <c r="M621" s="757"/>
      <c r="N621" s="757"/>
      <c r="O621" s="757"/>
      <c r="P621" s="757"/>
      <c r="Q621" s="757"/>
      <c r="R621" s="758"/>
    </row>
    <row r="622" spans="1:18">
      <c r="A622" s="39"/>
      <c r="B622" s="40"/>
      <c r="C622" s="41"/>
      <c r="D622" s="41"/>
      <c r="E622" s="41"/>
      <c r="F622" s="41"/>
      <c r="G622" s="149" t="s">
        <v>460</v>
      </c>
      <c r="H622" s="150">
        <f>CEILING(SUM(M614,R614)/H615,0.0025)</f>
        <v>0.9425</v>
      </c>
      <c r="I622" s="42"/>
      <c r="J622" s="43"/>
      <c r="K622" s="43"/>
      <c r="L622" s="43"/>
      <c r="M622" s="43"/>
      <c r="N622" s="43"/>
      <c r="O622" s="43"/>
      <c r="P622" s="43"/>
      <c r="Q622" s="43"/>
      <c r="R622" s="44"/>
    </row>
    <row r="624" spans="1:18">
      <c r="A624" s="693" t="s">
        <v>0</v>
      </c>
      <c r="B624" s="695" t="s">
        <v>1</v>
      </c>
      <c r="C624" s="695" t="s">
        <v>2</v>
      </c>
      <c r="D624" s="697" t="s">
        <v>3</v>
      </c>
      <c r="E624" s="698"/>
      <c r="F624" s="698"/>
      <c r="G624" s="698"/>
      <c r="H624" s="698"/>
      <c r="I624" s="699" t="s">
        <v>4</v>
      </c>
      <c r="J624" s="700"/>
      <c r="K624" s="700"/>
      <c r="L624" s="700"/>
      <c r="M624" s="700"/>
      <c r="N624" s="698" t="s">
        <v>5</v>
      </c>
      <c r="O624" s="698"/>
      <c r="P624" s="698"/>
      <c r="Q624" s="698"/>
      <c r="R624" s="698"/>
    </row>
    <row r="625" spans="1:18">
      <c r="A625" s="694"/>
      <c r="B625" s="759"/>
      <c r="C625" s="696"/>
      <c r="D625" s="45" t="s">
        <v>6</v>
      </c>
      <c r="E625" s="46" t="s">
        <v>2</v>
      </c>
      <c r="F625" s="46" t="s">
        <v>7</v>
      </c>
      <c r="G625" s="46" t="s">
        <v>8</v>
      </c>
      <c r="H625" s="46" t="s">
        <v>9</v>
      </c>
      <c r="I625" s="46" t="s">
        <v>10</v>
      </c>
      <c r="J625" s="46" t="s">
        <v>2</v>
      </c>
      <c r="K625" s="46" t="s">
        <v>7</v>
      </c>
      <c r="L625" s="46" t="s">
        <v>8</v>
      </c>
      <c r="M625" s="47" t="s">
        <v>9</v>
      </c>
      <c r="N625" s="46" t="s">
        <v>10</v>
      </c>
      <c r="O625" s="46" t="s">
        <v>2</v>
      </c>
      <c r="P625" s="46" t="s">
        <v>7</v>
      </c>
      <c r="Q625" s="46" t="s">
        <v>8</v>
      </c>
      <c r="R625" s="46" t="s">
        <v>9</v>
      </c>
    </row>
    <row r="626" spans="1:18">
      <c r="A626" s="33" t="s">
        <v>23</v>
      </c>
      <c r="B626" s="127"/>
      <c r="C626" s="31"/>
      <c r="D626" s="31"/>
      <c r="E626" s="31"/>
      <c r="F626" s="31"/>
      <c r="G626" s="31"/>
      <c r="H626" s="31"/>
      <c r="I626" s="31"/>
      <c r="J626" s="31"/>
      <c r="K626" s="31"/>
      <c r="L626" s="31"/>
      <c r="M626" s="31"/>
      <c r="N626" s="31"/>
      <c r="O626" s="31"/>
      <c r="P626" s="31"/>
      <c r="Q626" s="31"/>
      <c r="R626" s="32"/>
    </row>
    <row r="627" spans="1:18">
      <c r="A627" s="34">
        <f>A602+1</f>
        <v>24</v>
      </c>
      <c r="B627" s="713" t="s">
        <v>705</v>
      </c>
      <c r="C627" s="66" t="s">
        <v>138</v>
      </c>
      <c r="D627" s="4"/>
      <c r="E627" s="6"/>
      <c r="F627" s="29"/>
      <c r="G627" s="26"/>
      <c r="H627" s="26"/>
      <c r="I627" s="6"/>
      <c r="J627" s="6"/>
      <c r="K627" s="29"/>
      <c r="L627" s="26"/>
      <c r="M627" s="26"/>
      <c r="N627" s="6"/>
      <c r="O627" s="6"/>
      <c r="P627" s="29"/>
      <c r="Q627" s="26"/>
      <c r="R627" s="26"/>
    </row>
    <row r="628" spans="1:18">
      <c r="A628" s="2"/>
      <c r="B628" s="714"/>
      <c r="C628" s="124"/>
      <c r="D628" s="4" t="s">
        <v>75</v>
      </c>
      <c r="E628" s="66" t="s">
        <v>81</v>
      </c>
      <c r="F628" s="29">
        <f>$F$353*J642</f>
        <v>7.8125E-2</v>
      </c>
      <c r="G628" s="26">
        <f>fr</f>
        <v>1100</v>
      </c>
      <c r="H628" s="26">
        <f>F628*G628</f>
        <v>85.9375</v>
      </c>
      <c r="I628" s="7" t="s">
        <v>67</v>
      </c>
      <c r="J628" s="145" t="s">
        <v>250</v>
      </c>
      <c r="K628" s="29">
        <f>$K$553*J642</f>
        <v>4.25</v>
      </c>
      <c r="L628" s="28">
        <f>diesel</f>
        <v>177.6</v>
      </c>
      <c r="M628" s="26">
        <f>K628*L628</f>
        <v>754.8</v>
      </c>
      <c r="N628" s="8" t="s">
        <v>655</v>
      </c>
      <c r="O628" s="66" t="s">
        <v>101</v>
      </c>
      <c r="P628" s="29">
        <f>$P$553*J642</f>
        <v>0.3125</v>
      </c>
      <c r="Q628" s="28">
        <f>compressor</f>
        <v>270.39999999999998</v>
      </c>
      <c r="R628" s="26">
        <f>P628*Q628</f>
        <v>84.5</v>
      </c>
    </row>
    <row r="629" spans="1:18">
      <c r="A629" s="2"/>
      <c r="B629" s="714"/>
      <c r="C629" s="6"/>
      <c r="D629" s="4" t="s">
        <v>89</v>
      </c>
      <c r="E629" s="66" t="s">
        <v>81</v>
      </c>
      <c r="F629" s="29">
        <f>$F$354*J642</f>
        <v>0.1171875</v>
      </c>
      <c r="G629" s="26">
        <f>dr</f>
        <v>1100</v>
      </c>
      <c r="H629" s="26">
        <f>F629*G629</f>
        <v>128.90625</v>
      </c>
      <c r="I629" s="7" t="s">
        <v>649</v>
      </c>
      <c r="J629" s="145" t="s">
        <v>12</v>
      </c>
      <c r="K629" s="29"/>
      <c r="L629" s="28"/>
      <c r="M629" s="154">
        <v>30</v>
      </c>
      <c r="N629" s="8" t="s">
        <v>656</v>
      </c>
      <c r="O629" s="66" t="s">
        <v>101</v>
      </c>
      <c r="P629" s="29">
        <f>$P$554*J642</f>
        <v>0.3125</v>
      </c>
      <c r="Q629" s="216">
        <f>jack_hammer</f>
        <v>162.24</v>
      </c>
      <c r="R629" s="26">
        <f>P629*Q629</f>
        <v>50.7</v>
      </c>
    </row>
    <row r="630" spans="1:18">
      <c r="A630" s="2"/>
      <c r="B630" s="126"/>
      <c r="C630" s="6"/>
      <c r="D630" s="4" t="s">
        <v>462</v>
      </c>
      <c r="E630" s="66" t="s">
        <v>81</v>
      </c>
      <c r="F630" s="29">
        <f>$F$355*J642</f>
        <v>0.1875</v>
      </c>
      <c r="G630" s="26">
        <f>drh</f>
        <v>750</v>
      </c>
      <c r="H630" s="26">
        <f>F630*G630</f>
        <v>140.625</v>
      </c>
      <c r="I630" s="7" t="s">
        <v>494</v>
      </c>
      <c r="J630" s="145" t="s">
        <v>45</v>
      </c>
      <c r="K630" s="29">
        <f>$K$555*J642</f>
        <v>0.15</v>
      </c>
      <c r="L630" s="28">
        <f>Drillbit_32</f>
        <v>3709.37</v>
      </c>
      <c r="M630" s="26">
        <f t="shared" ref="M630:M636" si="35">K630*L630</f>
        <v>556.40549999999996</v>
      </c>
      <c r="N630" s="8" t="s">
        <v>657</v>
      </c>
      <c r="O630" s="66" t="s">
        <v>12</v>
      </c>
      <c r="P630" s="29"/>
      <c r="Q630" s="28"/>
      <c r="R630" s="154">
        <v>50</v>
      </c>
    </row>
    <row r="631" spans="1:18">
      <c r="A631" s="2"/>
      <c r="B631" s="126"/>
      <c r="C631" s="6"/>
      <c r="D631" s="4"/>
      <c r="E631" s="66"/>
      <c r="F631" s="29"/>
      <c r="G631" s="26"/>
      <c r="H631" s="26"/>
      <c r="I631" s="7" t="s">
        <v>702</v>
      </c>
      <c r="J631" s="145" t="s">
        <v>47</v>
      </c>
      <c r="K631" s="29">
        <f>J642</f>
        <v>2.5</v>
      </c>
      <c r="L631" s="28">
        <f>rockbolt_32</f>
        <v>812.17</v>
      </c>
      <c r="M631" s="26">
        <f t="shared" si="35"/>
        <v>2030.425</v>
      </c>
      <c r="N631" s="8" t="s">
        <v>658</v>
      </c>
      <c r="O631" s="66" t="s">
        <v>12</v>
      </c>
      <c r="P631" s="29"/>
      <c r="Q631" s="28"/>
      <c r="R631" s="154">
        <f>10%*R630</f>
        <v>5</v>
      </c>
    </row>
    <row r="632" spans="1:18">
      <c r="A632" s="2"/>
      <c r="B632" s="126"/>
      <c r="C632" s="6"/>
      <c r="D632" s="4"/>
      <c r="E632" s="66"/>
      <c r="F632" s="29"/>
      <c r="G632" s="26"/>
      <c r="H632" s="26"/>
      <c r="I632" s="7" t="s">
        <v>650</v>
      </c>
      <c r="J632" s="145" t="s">
        <v>45</v>
      </c>
      <c r="K632" s="29">
        <v>1</v>
      </c>
      <c r="L632" s="154">
        <v>40</v>
      </c>
      <c r="M632" s="26">
        <f t="shared" si="35"/>
        <v>40</v>
      </c>
      <c r="N632" s="8" t="s">
        <v>659</v>
      </c>
      <c r="O632" s="66" t="s">
        <v>101</v>
      </c>
      <c r="P632" s="29">
        <f>$P$557*J642</f>
        <v>0.3125</v>
      </c>
      <c r="Q632" s="28">
        <f>grout_pump</f>
        <v>540.79999999999995</v>
      </c>
      <c r="R632" s="26">
        <f>P632*Q632</f>
        <v>169</v>
      </c>
    </row>
    <row r="633" spans="1:18">
      <c r="A633" s="2"/>
      <c r="B633" s="126"/>
      <c r="C633" s="6"/>
      <c r="D633" s="4"/>
      <c r="E633" s="66"/>
      <c r="F633" s="29"/>
      <c r="G633" s="26"/>
      <c r="H633" s="26"/>
      <c r="I633" s="7" t="s">
        <v>651</v>
      </c>
      <c r="J633" s="145" t="s">
        <v>45</v>
      </c>
      <c r="K633" s="29">
        <v>1</v>
      </c>
      <c r="L633" s="28">
        <f>bearing_plate</f>
        <v>1434.19</v>
      </c>
      <c r="M633" s="26">
        <f t="shared" si="35"/>
        <v>1434.19</v>
      </c>
      <c r="N633" s="8" t="s">
        <v>660</v>
      </c>
      <c r="O633" s="66" t="s">
        <v>101</v>
      </c>
      <c r="P633" s="29">
        <f>$P$558*J642</f>
        <v>0.15</v>
      </c>
      <c r="Q633" s="28">
        <f>fan</f>
        <v>260.67</v>
      </c>
      <c r="R633" s="26">
        <f>P633*Q633</f>
        <v>39.100500000000004</v>
      </c>
    </row>
    <row r="634" spans="1:18">
      <c r="A634" s="2"/>
      <c r="B634" s="126"/>
      <c r="C634" s="6"/>
      <c r="D634" s="4"/>
      <c r="E634" s="66"/>
      <c r="F634" s="29"/>
      <c r="G634" s="26"/>
      <c r="H634" s="26"/>
      <c r="I634" s="7" t="s">
        <v>31</v>
      </c>
      <c r="J634" s="145" t="s">
        <v>28</v>
      </c>
      <c r="K634" s="29">
        <f>((PI()/4*((0.038)^2-(0.032)^2)*J642)*1440)*2</f>
        <v>2.3750440461138838</v>
      </c>
      <c r="L634" s="28">
        <f>cement/1000</f>
        <v>24.049689999999998</v>
      </c>
      <c r="M634" s="26">
        <f t="shared" si="35"/>
        <v>57.119073045384603</v>
      </c>
      <c r="N634" s="8" t="s">
        <v>661</v>
      </c>
      <c r="O634" s="66" t="s">
        <v>12</v>
      </c>
      <c r="P634" s="29"/>
      <c r="Q634" s="28"/>
      <c r="R634" s="154">
        <v>15</v>
      </c>
    </row>
    <row r="635" spans="1:18">
      <c r="A635" s="2"/>
      <c r="B635" s="126"/>
      <c r="C635" s="6"/>
      <c r="D635" s="4"/>
      <c r="E635" s="66"/>
      <c r="F635" s="29"/>
      <c r="G635" s="26"/>
      <c r="H635" s="26"/>
      <c r="I635" s="7" t="s">
        <v>652</v>
      </c>
      <c r="J635" s="145" t="s">
        <v>28</v>
      </c>
      <c r="K635" s="29">
        <f>0.005%*K634</f>
        <v>1.1875220230569419E-4</v>
      </c>
      <c r="L635" s="154">
        <v>500</v>
      </c>
      <c r="M635" s="26">
        <f t="shared" si="35"/>
        <v>5.9376101152847097E-2</v>
      </c>
      <c r="N635" s="8"/>
      <c r="O635" s="66"/>
      <c r="P635" s="29"/>
      <c r="Q635" s="28"/>
      <c r="R635" s="26"/>
    </row>
    <row r="636" spans="1:18">
      <c r="A636" s="2"/>
      <c r="B636" s="126"/>
      <c r="C636" s="6"/>
      <c r="D636" s="4"/>
      <c r="E636" s="66"/>
      <c r="F636" s="29"/>
      <c r="G636" s="26"/>
      <c r="H636" s="26"/>
      <c r="I636" s="7" t="s">
        <v>653</v>
      </c>
      <c r="J636" s="145" t="s">
        <v>11</v>
      </c>
      <c r="K636" s="29">
        <f>K634/1500</f>
        <v>1.5833626974092558E-3</v>
      </c>
      <c r="L636" s="28">
        <f>sand</f>
        <v>1050</v>
      </c>
      <c r="M636" s="26">
        <f t="shared" si="35"/>
        <v>1.6625308322797185</v>
      </c>
      <c r="N636" s="8"/>
      <c r="O636" s="66"/>
      <c r="P636" s="29"/>
      <c r="Q636" s="28"/>
      <c r="R636" s="26"/>
    </row>
    <row r="637" spans="1:18">
      <c r="A637" s="2"/>
      <c r="B637" s="126"/>
      <c r="C637" s="6"/>
      <c r="D637" s="4"/>
      <c r="E637" s="66"/>
      <c r="F637" s="29"/>
      <c r="G637" s="26"/>
      <c r="H637" s="26"/>
      <c r="I637" s="7"/>
      <c r="J637" s="145"/>
      <c r="K637" s="29"/>
      <c r="L637" s="28"/>
      <c r="M637" s="26"/>
      <c r="N637" s="8"/>
      <c r="O637" s="66"/>
      <c r="P637" s="29"/>
      <c r="Q637" s="28"/>
      <c r="R637" s="26"/>
    </row>
    <row r="638" spans="1:18">
      <c r="A638" s="2"/>
      <c r="B638" s="5"/>
      <c r="C638" s="6"/>
      <c r="D638" s="4"/>
      <c r="E638" s="9"/>
      <c r="F638" s="30"/>
      <c r="G638" s="27"/>
      <c r="H638" s="27"/>
      <c r="I638" s="9"/>
      <c r="J638" s="10"/>
      <c r="K638" s="30"/>
      <c r="L638" s="28"/>
      <c r="M638" s="28"/>
      <c r="N638" s="8"/>
      <c r="O638" s="6"/>
      <c r="P638" s="30"/>
      <c r="Q638" s="28"/>
      <c r="R638" s="28"/>
    </row>
    <row r="639" spans="1:18">
      <c r="A639" s="2"/>
      <c r="B639" s="11"/>
      <c r="C639" s="6"/>
      <c r="D639" s="12"/>
      <c r="E639" s="59"/>
      <c r="F639" s="13"/>
      <c r="G639" s="13" t="s">
        <v>20</v>
      </c>
      <c r="H639" s="25">
        <f>SUM(H627:H638)</f>
        <v>355.46875</v>
      </c>
      <c r="I639" s="703"/>
      <c r="J639" s="703"/>
      <c r="K639" s="14"/>
      <c r="L639" s="13" t="s">
        <v>21</v>
      </c>
      <c r="M639" s="25">
        <f>SUM(M627:M638)</f>
        <v>4904.6614799788176</v>
      </c>
      <c r="N639" s="3"/>
      <c r="O639" s="14"/>
      <c r="P639" s="14"/>
      <c r="Q639" s="13" t="s">
        <v>22</v>
      </c>
      <c r="R639" s="25">
        <f>SUM(R627:R638)</f>
        <v>413.3005</v>
      </c>
    </row>
    <row r="640" spans="1:18">
      <c r="A640" s="2"/>
      <c r="B640" s="16" t="s">
        <v>13</v>
      </c>
      <c r="C640" s="14"/>
      <c r="D640" s="14"/>
      <c r="E640" s="14"/>
      <c r="F640" s="14"/>
      <c r="G640" s="13"/>
      <c r="H640" s="35">
        <f>M639+R639+H639</f>
        <v>5673.4307299788179</v>
      </c>
      <c r="I640" s="17"/>
      <c r="J640" s="14"/>
      <c r="K640" s="14"/>
      <c r="L640" s="13"/>
      <c r="M640" s="15"/>
      <c r="N640" s="14"/>
      <c r="O640" s="14"/>
      <c r="P640" s="14"/>
      <c r="Q640" s="14"/>
      <c r="R640" s="17"/>
    </row>
    <row r="641" spans="1:18">
      <c r="A641" s="2"/>
      <c r="B641" s="11" t="s">
        <v>25</v>
      </c>
      <c r="C641" s="4" t="s">
        <v>647</v>
      </c>
      <c r="D641" s="4"/>
      <c r="E641" s="4"/>
      <c r="F641" s="4"/>
      <c r="G641" s="18"/>
      <c r="H641" s="36">
        <f>20%*(H639)</f>
        <v>71.09375</v>
      </c>
      <c r="I641" s="20"/>
      <c r="J641" s="4" t="s">
        <v>26</v>
      </c>
      <c r="K641" s="4"/>
      <c r="L641" s="18"/>
      <c r="M641" s="19"/>
      <c r="N641" s="4"/>
      <c r="O641" s="4"/>
      <c r="P641" s="4"/>
      <c r="Q641" s="4"/>
      <c r="R641" s="20"/>
    </row>
    <row r="642" spans="1:18">
      <c r="A642" s="23"/>
      <c r="B642" s="11" t="s">
        <v>14</v>
      </c>
      <c r="C642" s="4"/>
      <c r="D642" s="4"/>
      <c r="E642" s="4"/>
      <c r="F642" s="4"/>
      <c r="G642" s="18"/>
      <c r="H642" s="36">
        <f>SUM(H640:H641)</f>
        <v>5744.5244799788179</v>
      </c>
      <c r="I642" s="20"/>
      <c r="J642" s="750">
        <v>2.5</v>
      </c>
      <c r="K642" s="751"/>
      <c r="L642" s="751"/>
      <c r="M642" s="751"/>
      <c r="N642" s="751"/>
      <c r="O642" s="751"/>
      <c r="P642" s="751"/>
      <c r="Q642" s="751"/>
      <c r="R642" s="752"/>
    </row>
    <row r="643" spans="1:18">
      <c r="A643" s="23"/>
      <c r="B643" s="11" t="s">
        <v>24</v>
      </c>
      <c r="C643" s="4"/>
      <c r="D643" s="4"/>
      <c r="E643" s="4"/>
      <c r="F643" s="4"/>
      <c r="G643" s="18"/>
      <c r="H643" s="36">
        <f>H642*15%</f>
        <v>861.67867199682269</v>
      </c>
      <c r="I643" s="20"/>
      <c r="J643" s="753"/>
      <c r="K643" s="754"/>
      <c r="L643" s="754"/>
      <c r="M643" s="754"/>
      <c r="N643" s="754"/>
      <c r="O643" s="754"/>
      <c r="P643" s="754"/>
      <c r="Q643" s="754"/>
      <c r="R643" s="755"/>
    </row>
    <row r="644" spans="1:18">
      <c r="A644" s="23"/>
      <c r="B644" s="11" t="s">
        <v>15</v>
      </c>
      <c r="C644" s="4"/>
      <c r="D644" s="4"/>
      <c r="E644" s="4"/>
      <c r="F644" s="4"/>
      <c r="G644" s="21" t="s">
        <v>16</v>
      </c>
      <c r="H644" s="37">
        <f>H643+H642</f>
        <v>6606.2031519756401</v>
      </c>
      <c r="I644" s="38" t="str">
        <f>CONCATENATE("per ",C627, C628)</f>
        <v>per nos.</v>
      </c>
      <c r="J644" s="753"/>
      <c r="K644" s="754"/>
      <c r="L644" s="754"/>
      <c r="M644" s="754"/>
      <c r="N644" s="754"/>
      <c r="O644" s="754"/>
      <c r="P644" s="754"/>
      <c r="Q644" s="754"/>
      <c r="R644" s="755"/>
    </row>
    <row r="645" spans="1:18">
      <c r="A645" s="23"/>
      <c r="B645" s="11" t="s">
        <v>18</v>
      </c>
      <c r="C645" s="4" t="s">
        <v>19</v>
      </c>
      <c r="D645" s="4"/>
      <c r="E645" s="4"/>
      <c r="F645" s="4"/>
      <c r="G645" s="21" t="s">
        <v>16</v>
      </c>
      <c r="H645" s="37">
        <f>CEILING(H644,0.5)</f>
        <v>6606.5</v>
      </c>
      <c r="I645" s="38" t="str">
        <f>CONCATENATE("per ",C627)</f>
        <v>per nos.</v>
      </c>
      <c r="J645" s="753"/>
      <c r="K645" s="754"/>
      <c r="L645" s="754"/>
      <c r="M645" s="754"/>
      <c r="N645" s="754"/>
      <c r="O645" s="754"/>
      <c r="P645" s="754"/>
      <c r="Q645" s="754"/>
      <c r="R645" s="755"/>
    </row>
    <row r="646" spans="1:18">
      <c r="A646" s="23"/>
      <c r="B646" s="11"/>
      <c r="C646" s="4"/>
      <c r="D646" s="4"/>
      <c r="E646" s="4"/>
      <c r="F646" s="4"/>
      <c r="G646" s="24" t="s">
        <v>17</v>
      </c>
      <c r="H646" s="37">
        <f>H645/exr</f>
        <v>50.819230769230771</v>
      </c>
      <c r="I646" s="38" t="str">
        <f>CONCATENATE("per ",C627)</f>
        <v>per nos.</v>
      </c>
      <c r="J646" s="756"/>
      <c r="K646" s="757"/>
      <c r="L646" s="757"/>
      <c r="M646" s="757"/>
      <c r="N646" s="757"/>
      <c r="O646" s="757"/>
      <c r="P646" s="757"/>
      <c r="Q646" s="757"/>
      <c r="R646" s="758"/>
    </row>
    <row r="647" spans="1:18">
      <c r="A647" s="39"/>
      <c r="B647" s="40"/>
      <c r="C647" s="41"/>
      <c r="D647" s="41"/>
      <c r="E647" s="41"/>
      <c r="F647" s="41"/>
      <c r="G647" s="149" t="s">
        <v>460</v>
      </c>
      <c r="H647" s="150">
        <f>CEILING(SUM(M639,R639)/H640,0.0025)</f>
        <v>0.9375</v>
      </c>
      <c r="I647" s="42"/>
      <c r="J647" s="43"/>
      <c r="K647" s="43"/>
      <c r="L647" s="43"/>
      <c r="M647" s="43"/>
      <c r="N647" s="43"/>
      <c r="O647" s="43"/>
      <c r="P647" s="43"/>
      <c r="Q647" s="43"/>
      <c r="R647" s="44"/>
    </row>
    <row r="649" spans="1:18">
      <c r="A649" s="693" t="s">
        <v>0</v>
      </c>
      <c r="B649" s="695" t="s">
        <v>1</v>
      </c>
      <c r="C649" s="695" t="s">
        <v>2</v>
      </c>
      <c r="D649" s="697" t="s">
        <v>3</v>
      </c>
      <c r="E649" s="698"/>
      <c r="F649" s="698"/>
      <c r="G649" s="698"/>
      <c r="H649" s="698"/>
      <c r="I649" s="699" t="s">
        <v>4</v>
      </c>
      <c r="J649" s="700"/>
      <c r="K649" s="700"/>
      <c r="L649" s="700"/>
      <c r="M649" s="700"/>
      <c r="N649" s="698" t="s">
        <v>5</v>
      </c>
      <c r="O649" s="698"/>
      <c r="P649" s="698"/>
      <c r="Q649" s="698"/>
      <c r="R649" s="698"/>
    </row>
    <row r="650" spans="1:18">
      <c r="A650" s="694"/>
      <c r="B650" s="759"/>
      <c r="C650" s="696"/>
      <c r="D650" s="45" t="s">
        <v>6</v>
      </c>
      <c r="E650" s="46" t="s">
        <v>2</v>
      </c>
      <c r="F650" s="46" t="s">
        <v>7</v>
      </c>
      <c r="G650" s="46" t="s">
        <v>8</v>
      </c>
      <c r="H650" s="46" t="s">
        <v>9</v>
      </c>
      <c r="I650" s="46" t="s">
        <v>10</v>
      </c>
      <c r="J650" s="46" t="s">
        <v>2</v>
      </c>
      <c r="K650" s="46" t="s">
        <v>7</v>
      </c>
      <c r="L650" s="46" t="s">
        <v>8</v>
      </c>
      <c r="M650" s="47" t="s">
        <v>9</v>
      </c>
      <c r="N650" s="46" t="s">
        <v>10</v>
      </c>
      <c r="O650" s="46" t="s">
        <v>2</v>
      </c>
      <c r="P650" s="46" t="s">
        <v>7</v>
      </c>
      <c r="Q650" s="46" t="s">
        <v>8</v>
      </c>
      <c r="R650" s="46" t="s">
        <v>9</v>
      </c>
    </row>
    <row r="651" spans="1:18">
      <c r="A651" s="33" t="s">
        <v>23</v>
      </c>
      <c r="B651" s="127"/>
      <c r="C651" s="31"/>
      <c r="D651" s="31"/>
      <c r="E651" s="31"/>
      <c r="F651" s="31"/>
      <c r="G651" s="31"/>
      <c r="H651" s="31"/>
      <c r="I651" s="31"/>
      <c r="J651" s="31"/>
      <c r="K651" s="31"/>
      <c r="L651" s="31"/>
      <c r="M651" s="31"/>
      <c r="N651" s="31"/>
      <c r="O651" s="31"/>
      <c r="P651" s="31"/>
      <c r="Q651" s="31"/>
      <c r="R651" s="32"/>
    </row>
    <row r="652" spans="1:18">
      <c r="A652" s="34">
        <f>A627+1</f>
        <v>25</v>
      </c>
      <c r="B652" s="713" t="s">
        <v>706</v>
      </c>
      <c r="C652" s="66" t="s">
        <v>138</v>
      </c>
      <c r="D652" s="4"/>
      <c r="E652" s="6"/>
      <c r="F652" s="29"/>
      <c r="G652" s="26"/>
      <c r="H652" s="26"/>
      <c r="I652" s="6"/>
      <c r="J652" s="6"/>
      <c r="K652" s="29"/>
      <c r="L652" s="26"/>
      <c r="M652" s="26"/>
      <c r="N652" s="6"/>
      <c r="O652" s="6"/>
      <c r="P652" s="29"/>
      <c r="Q652" s="26"/>
      <c r="R652" s="26"/>
    </row>
    <row r="653" spans="1:18">
      <c r="A653" s="2"/>
      <c r="B653" s="714"/>
      <c r="C653" s="124"/>
      <c r="D653" s="4" t="s">
        <v>75</v>
      </c>
      <c r="E653" s="66" t="s">
        <v>81</v>
      </c>
      <c r="F653" s="29">
        <f>$F$353*J667</f>
        <v>9.375E-2</v>
      </c>
      <c r="G653" s="26">
        <f>fr</f>
        <v>1100</v>
      </c>
      <c r="H653" s="26">
        <f>F653*G653</f>
        <v>103.125</v>
      </c>
      <c r="I653" s="7" t="s">
        <v>67</v>
      </c>
      <c r="J653" s="145" t="s">
        <v>250</v>
      </c>
      <c r="K653" s="29">
        <f>$K$553*J667</f>
        <v>5.0999999999999996</v>
      </c>
      <c r="L653" s="28">
        <f>diesel</f>
        <v>177.6</v>
      </c>
      <c r="M653" s="26">
        <f>K653*L653</f>
        <v>905.75999999999988</v>
      </c>
      <c r="N653" s="8" t="s">
        <v>655</v>
      </c>
      <c r="O653" s="66" t="s">
        <v>101</v>
      </c>
      <c r="P653" s="29">
        <f>$P$553*J667</f>
        <v>0.375</v>
      </c>
      <c r="Q653" s="28">
        <f>compressor</f>
        <v>270.39999999999998</v>
      </c>
      <c r="R653" s="26">
        <f>P653*Q653</f>
        <v>101.39999999999999</v>
      </c>
    </row>
    <row r="654" spans="1:18">
      <c r="A654" s="2"/>
      <c r="B654" s="714"/>
      <c r="C654" s="6"/>
      <c r="D654" s="4" t="s">
        <v>89</v>
      </c>
      <c r="E654" s="66" t="s">
        <v>81</v>
      </c>
      <c r="F654" s="29">
        <f>$F$354*J667</f>
        <v>0.140625</v>
      </c>
      <c r="G654" s="26">
        <f>dr</f>
        <v>1100</v>
      </c>
      <c r="H654" s="26">
        <f>F654*G654</f>
        <v>154.6875</v>
      </c>
      <c r="I654" s="7" t="s">
        <v>649</v>
      </c>
      <c r="J654" s="145" t="s">
        <v>12</v>
      </c>
      <c r="K654" s="29"/>
      <c r="L654" s="28"/>
      <c r="M654" s="154">
        <v>40</v>
      </c>
      <c r="N654" s="8" t="s">
        <v>656</v>
      </c>
      <c r="O654" s="66" t="s">
        <v>101</v>
      </c>
      <c r="P654" s="29">
        <f>$P$554*J667</f>
        <v>0.375</v>
      </c>
      <c r="Q654" s="216">
        <f>jack_hammer</f>
        <v>162.24</v>
      </c>
      <c r="R654" s="26">
        <f>P654*Q654</f>
        <v>60.84</v>
      </c>
    </row>
    <row r="655" spans="1:18">
      <c r="A655" s="2"/>
      <c r="B655" s="126"/>
      <c r="C655" s="6"/>
      <c r="D655" s="4" t="s">
        <v>462</v>
      </c>
      <c r="E655" s="66" t="s">
        <v>81</v>
      </c>
      <c r="F655" s="29">
        <f>$F$355*J667</f>
        <v>0.22499999999999998</v>
      </c>
      <c r="G655" s="26">
        <f>drh</f>
        <v>750</v>
      </c>
      <c r="H655" s="26">
        <f>F655*G655</f>
        <v>168.74999999999997</v>
      </c>
      <c r="I655" s="7" t="s">
        <v>494</v>
      </c>
      <c r="J655" s="145" t="s">
        <v>45</v>
      </c>
      <c r="K655" s="29">
        <f>$K$555*J667</f>
        <v>0.18</v>
      </c>
      <c r="L655" s="28">
        <f>Drillbit_32</f>
        <v>3709.37</v>
      </c>
      <c r="M655" s="26">
        <f t="shared" ref="M655:M661" si="36">K655*L655</f>
        <v>667.6866</v>
      </c>
      <c r="N655" s="8" t="s">
        <v>657</v>
      </c>
      <c r="O655" s="66" t="s">
        <v>12</v>
      </c>
      <c r="P655" s="29"/>
      <c r="Q655" s="28"/>
      <c r="R655" s="154">
        <v>80</v>
      </c>
    </row>
    <row r="656" spans="1:18">
      <c r="A656" s="2"/>
      <c r="B656" s="126"/>
      <c r="C656" s="6"/>
      <c r="D656" s="4"/>
      <c r="E656" s="66"/>
      <c r="F656" s="29"/>
      <c r="G656" s="26"/>
      <c r="H656" s="26"/>
      <c r="I656" s="7" t="s">
        <v>702</v>
      </c>
      <c r="J656" s="145" t="s">
        <v>47</v>
      </c>
      <c r="K656" s="29">
        <f>J667</f>
        <v>3</v>
      </c>
      <c r="L656" s="28">
        <f>rockbolt_32</f>
        <v>812.17</v>
      </c>
      <c r="M656" s="26">
        <f t="shared" si="36"/>
        <v>2436.5099999999998</v>
      </c>
      <c r="N656" s="8" t="s">
        <v>658</v>
      </c>
      <c r="O656" s="66" t="s">
        <v>12</v>
      </c>
      <c r="P656" s="29"/>
      <c r="Q656" s="28"/>
      <c r="R656" s="154">
        <f>10%*R655</f>
        <v>8</v>
      </c>
    </row>
    <row r="657" spans="1:18">
      <c r="A657" s="2"/>
      <c r="B657" s="126"/>
      <c r="C657" s="6"/>
      <c r="D657" s="4"/>
      <c r="E657" s="66"/>
      <c r="F657" s="29"/>
      <c r="G657" s="26"/>
      <c r="H657" s="26"/>
      <c r="I657" s="7" t="s">
        <v>650</v>
      </c>
      <c r="J657" s="145" t="s">
        <v>45</v>
      </c>
      <c r="K657" s="29">
        <v>1</v>
      </c>
      <c r="L657" s="154">
        <v>40</v>
      </c>
      <c r="M657" s="26">
        <f t="shared" si="36"/>
        <v>40</v>
      </c>
      <c r="N657" s="8" t="s">
        <v>659</v>
      </c>
      <c r="O657" s="66" t="s">
        <v>101</v>
      </c>
      <c r="P657" s="29">
        <f>$P$557*J667</f>
        <v>0.375</v>
      </c>
      <c r="Q657" s="28">
        <f>grout_pump</f>
        <v>540.79999999999995</v>
      </c>
      <c r="R657" s="26">
        <f>P657*Q657</f>
        <v>202.79999999999998</v>
      </c>
    </row>
    <row r="658" spans="1:18">
      <c r="A658" s="2"/>
      <c r="B658" s="126"/>
      <c r="C658" s="6"/>
      <c r="D658" s="4"/>
      <c r="E658" s="66"/>
      <c r="F658" s="29"/>
      <c r="G658" s="26"/>
      <c r="H658" s="26"/>
      <c r="I658" s="7" t="s">
        <v>651</v>
      </c>
      <c r="J658" s="145" t="s">
        <v>45</v>
      </c>
      <c r="K658" s="29">
        <v>1</v>
      </c>
      <c r="L658" s="28">
        <f>bearing_plate</f>
        <v>1434.19</v>
      </c>
      <c r="M658" s="26">
        <f t="shared" si="36"/>
        <v>1434.19</v>
      </c>
      <c r="N658" s="8" t="s">
        <v>660</v>
      </c>
      <c r="O658" s="66" t="s">
        <v>101</v>
      </c>
      <c r="P658" s="29">
        <f>$P$558*J667</f>
        <v>0.18</v>
      </c>
      <c r="Q658" s="28">
        <f>fan</f>
        <v>260.67</v>
      </c>
      <c r="R658" s="26">
        <f>P658*Q658</f>
        <v>46.9206</v>
      </c>
    </row>
    <row r="659" spans="1:18">
      <c r="A659" s="2"/>
      <c r="B659" s="126"/>
      <c r="C659" s="6"/>
      <c r="D659" s="4"/>
      <c r="E659" s="66"/>
      <c r="F659" s="29"/>
      <c r="G659" s="26"/>
      <c r="H659" s="26"/>
      <c r="I659" s="7" t="s">
        <v>31</v>
      </c>
      <c r="J659" s="145" t="s">
        <v>28</v>
      </c>
      <c r="K659" s="29">
        <f>((PI()/4*((0.038)^2-(0.032)^2)*J667)*1440)*2</f>
        <v>2.85005285533666</v>
      </c>
      <c r="L659" s="28">
        <f>cement/1000</f>
        <v>24.049689999999998</v>
      </c>
      <c r="M659" s="26">
        <f t="shared" si="36"/>
        <v>68.542887654461509</v>
      </c>
      <c r="N659" s="8" t="s">
        <v>661</v>
      </c>
      <c r="O659" s="66" t="s">
        <v>12</v>
      </c>
      <c r="P659" s="29"/>
      <c r="Q659" s="28"/>
      <c r="R659" s="154">
        <v>15</v>
      </c>
    </row>
    <row r="660" spans="1:18">
      <c r="A660" s="2"/>
      <c r="B660" s="126"/>
      <c r="C660" s="6"/>
      <c r="D660" s="4"/>
      <c r="E660" s="66"/>
      <c r="F660" s="29"/>
      <c r="G660" s="26"/>
      <c r="H660" s="26"/>
      <c r="I660" s="7" t="s">
        <v>652</v>
      </c>
      <c r="J660" s="145" t="s">
        <v>28</v>
      </c>
      <c r="K660" s="29">
        <f>0.005%*K659</f>
        <v>1.42502642766833E-4</v>
      </c>
      <c r="L660" s="154">
        <v>500</v>
      </c>
      <c r="M660" s="26">
        <f t="shared" si="36"/>
        <v>7.1251321383416499E-2</v>
      </c>
      <c r="N660" s="8"/>
      <c r="O660" s="66"/>
      <c r="P660" s="29"/>
      <c r="Q660" s="28"/>
      <c r="R660" s="26"/>
    </row>
    <row r="661" spans="1:18">
      <c r="A661" s="2"/>
      <c r="B661" s="126"/>
      <c r="C661" s="6"/>
      <c r="D661" s="4"/>
      <c r="E661" s="66"/>
      <c r="F661" s="29"/>
      <c r="G661" s="26"/>
      <c r="H661" s="26"/>
      <c r="I661" s="7" t="s">
        <v>653</v>
      </c>
      <c r="J661" s="145" t="s">
        <v>11</v>
      </c>
      <c r="K661" s="29">
        <f>K659/1500</f>
        <v>1.9000352368911066E-3</v>
      </c>
      <c r="L661" s="28">
        <f>sand</f>
        <v>1050</v>
      </c>
      <c r="M661" s="26">
        <f t="shared" si="36"/>
        <v>1.995036998735662</v>
      </c>
      <c r="N661" s="8"/>
      <c r="O661" s="66"/>
      <c r="P661" s="29"/>
      <c r="Q661" s="28"/>
      <c r="R661" s="26"/>
    </row>
    <row r="662" spans="1:18">
      <c r="A662" s="2"/>
      <c r="B662" s="126"/>
      <c r="C662" s="6"/>
      <c r="D662" s="4"/>
      <c r="E662" s="66"/>
      <c r="F662" s="29"/>
      <c r="G662" s="26"/>
      <c r="H662" s="26"/>
      <c r="I662" s="7"/>
      <c r="J662" s="145"/>
      <c r="K662" s="29"/>
      <c r="L662" s="28"/>
      <c r="M662" s="26"/>
      <c r="N662" s="8"/>
      <c r="O662" s="66"/>
      <c r="P662" s="29"/>
      <c r="Q662" s="28"/>
      <c r="R662" s="26"/>
    </row>
    <row r="663" spans="1:18">
      <c r="A663" s="2"/>
      <c r="B663" s="5"/>
      <c r="C663" s="6"/>
      <c r="D663" s="4"/>
      <c r="E663" s="9"/>
      <c r="F663" s="30"/>
      <c r="G663" s="27"/>
      <c r="H663" s="27"/>
      <c r="I663" s="9"/>
      <c r="J663" s="10"/>
      <c r="K663" s="30"/>
      <c r="L663" s="28"/>
      <c r="M663" s="28"/>
      <c r="N663" s="8"/>
      <c r="O663" s="6"/>
      <c r="P663" s="30"/>
      <c r="Q663" s="28"/>
      <c r="R663" s="28"/>
    </row>
    <row r="664" spans="1:18">
      <c r="A664" s="2"/>
      <c r="B664" s="11"/>
      <c r="C664" s="6"/>
      <c r="D664" s="12"/>
      <c r="E664" s="59"/>
      <c r="F664" s="13"/>
      <c r="G664" s="13" t="s">
        <v>20</v>
      </c>
      <c r="H664" s="25">
        <f>SUM(H652:H663)</f>
        <v>426.5625</v>
      </c>
      <c r="I664" s="703"/>
      <c r="J664" s="703"/>
      <c r="K664" s="14"/>
      <c r="L664" s="13" t="s">
        <v>21</v>
      </c>
      <c r="M664" s="25">
        <f>SUM(M652:M663)</f>
        <v>5594.7557759745796</v>
      </c>
      <c r="N664" s="3"/>
      <c r="O664" s="14"/>
      <c r="P664" s="14"/>
      <c r="Q664" s="13" t="s">
        <v>22</v>
      </c>
      <c r="R664" s="25">
        <f>SUM(R652:R663)</f>
        <v>514.96059999999989</v>
      </c>
    </row>
    <row r="665" spans="1:18">
      <c r="A665" s="2"/>
      <c r="B665" s="16" t="s">
        <v>13</v>
      </c>
      <c r="C665" s="14"/>
      <c r="D665" s="14"/>
      <c r="E665" s="14"/>
      <c r="F665" s="14"/>
      <c r="G665" s="13"/>
      <c r="H665" s="35">
        <f>M664+R664+H664</f>
        <v>6536.2788759745799</v>
      </c>
      <c r="I665" s="17"/>
      <c r="J665" s="14"/>
      <c r="K665" s="14"/>
      <c r="L665" s="13"/>
      <c r="M665" s="15"/>
      <c r="N665" s="14"/>
      <c r="O665" s="14"/>
      <c r="P665" s="14"/>
      <c r="Q665" s="14"/>
      <c r="R665" s="17"/>
    </row>
    <row r="666" spans="1:18">
      <c r="A666" s="2"/>
      <c r="B666" s="11" t="s">
        <v>25</v>
      </c>
      <c r="C666" s="4" t="s">
        <v>647</v>
      </c>
      <c r="D666" s="4"/>
      <c r="E666" s="4"/>
      <c r="F666" s="4"/>
      <c r="G666" s="18"/>
      <c r="H666" s="36">
        <f>20%*(H664)</f>
        <v>85.3125</v>
      </c>
      <c r="I666" s="20"/>
      <c r="J666" s="4" t="s">
        <v>26</v>
      </c>
      <c r="K666" s="4"/>
      <c r="L666" s="18"/>
      <c r="M666" s="19"/>
      <c r="N666" s="4"/>
      <c r="O666" s="4"/>
      <c r="P666" s="4"/>
      <c r="Q666" s="4"/>
      <c r="R666" s="20"/>
    </row>
    <row r="667" spans="1:18">
      <c r="A667" s="23"/>
      <c r="B667" s="11" t="s">
        <v>14</v>
      </c>
      <c r="C667" s="4"/>
      <c r="D667" s="4"/>
      <c r="E667" s="4"/>
      <c r="F667" s="4"/>
      <c r="G667" s="18"/>
      <c r="H667" s="36">
        <f>SUM(H665:H666)</f>
        <v>6621.5913759745799</v>
      </c>
      <c r="I667" s="20"/>
      <c r="J667" s="750">
        <v>3</v>
      </c>
      <c r="K667" s="751"/>
      <c r="L667" s="751"/>
      <c r="M667" s="751"/>
      <c r="N667" s="751"/>
      <c r="O667" s="751"/>
      <c r="P667" s="751"/>
      <c r="Q667" s="751"/>
      <c r="R667" s="752"/>
    </row>
    <row r="668" spans="1:18">
      <c r="A668" s="23"/>
      <c r="B668" s="11" t="s">
        <v>24</v>
      </c>
      <c r="C668" s="4"/>
      <c r="D668" s="4"/>
      <c r="E668" s="4"/>
      <c r="F668" s="4"/>
      <c r="G668" s="18"/>
      <c r="H668" s="36">
        <f>H667*15%</f>
        <v>993.2387063961869</v>
      </c>
      <c r="I668" s="20"/>
      <c r="J668" s="753"/>
      <c r="K668" s="754"/>
      <c r="L668" s="754"/>
      <c r="M668" s="754"/>
      <c r="N668" s="754"/>
      <c r="O668" s="754"/>
      <c r="P668" s="754"/>
      <c r="Q668" s="754"/>
      <c r="R668" s="755"/>
    </row>
    <row r="669" spans="1:18">
      <c r="A669" s="23"/>
      <c r="B669" s="11" t="s">
        <v>15</v>
      </c>
      <c r="C669" s="4"/>
      <c r="D669" s="4"/>
      <c r="E669" s="4"/>
      <c r="F669" s="4"/>
      <c r="G669" s="21" t="s">
        <v>16</v>
      </c>
      <c r="H669" s="37">
        <f>H668+H667</f>
        <v>7614.8300823707668</v>
      </c>
      <c r="I669" s="38" t="str">
        <f>CONCATENATE("per ",C652, C653)</f>
        <v>per nos.</v>
      </c>
      <c r="J669" s="753"/>
      <c r="K669" s="754"/>
      <c r="L669" s="754"/>
      <c r="M669" s="754"/>
      <c r="N669" s="754"/>
      <c r="O669" s="754"/>
      <c r="P669" s="754"/>
      <c r="Q669" s="754"/>
      <c r="R669" s="755"/>
    </row>
    <row r="670" spans="1:18">
      <c r="A670" s="23"/>
      <c r="B670" s="11" t="s">
        <v>18</v>
      </c>
      <c r="C670" s="4" t="s">
        <v>19</v>
      </c>
      <c r="D670" s="4"/>
      <c r="E670" s="4"/>
      <c r="F670" s="4"/>
      <c r="G670" s="21" t="s">
        <v>16</v>
      </c>
      <c r="H670" s="37">
        <f>CEILING(H669,0.5)</f>
        <v>7615</v>
      </c>
      <c r="I670" s="38" t="str">
        <f>CONCATENATE("per ",C652)</f>
        <v>per nos.</v>
      </c>
      <c r="J670" s="753"/>
      <c r="K670" s="754"/>
      <c r="L670" s="754"/>
      <c r="M670" s="754"/>
      <c r="N670" s="754"/>
      <c r="O670" s="754"/>
      <c r="P670" s="754"/>
      <c r="Q670" s="754"/>
      <c r="R670" s="755"/>
    </row>
    <row r="671" spans="1:18">
      <c r="A671" s="23"/>
      <c r="B671" s="11"/>
      <c r="C671" s="4"/>
      <c r="D671" s="4"/>
      <c r="E671" s="4"/>
      <c r="F671" s="4"/>
      <c r="G671" s="24" t="s">
        <v>17</v>
      </c>
      <c r="H671" s="37">
        <f>H670/exr</f>
        <v>58.57692307692308</v>
      </c>
      <c r="I671" s="38" t="str">
        <f>CONCATENATE("per ",C652)</f>
        <v>per nos.</v>
      </c>
      <c r="J671" s="756"/>
      <c r="K671" s="757"/>
      <c r="L671" s="757"/>
      <c r="M671" s="757"/>
      <c r="N671" s="757"/>
      <c r="O671" s="757"/>
      <c r="P671" s="757"/>
      <c r="Q671" s="757"/>
      <c r="R671" s="758"/>
    </row>
    <row r="672" spans="1:18">
      <c r="A672" s="39"/>
      <c r="B672" s="40"/>
      <c r="C672" s="41"/>
      <c r="D672" s="41"/>
      <c r="E672" s="41"/>
      <c r="F672" s="41"/>
      <c r="G672" s="149" t="s">
        <v>460</v>
      </c>
      <c r="H672" s="150">
        <f>CEILING(SUM(M664,R664)/H665,0.0025)</f>
        <v>0.93500000000000005</v>
      </c>
      <c r="I672" s="42"/>
      <c r="J672" s="43"/>
      <c r="K672" s="43"/>
      <c r="L672" s="43"/>
      <c r="M672" s="43"/>
      <c r="N672" s="43"/>
      <c r="O672" s="43"/>
      <c r="P672" s="43"/>
      <c r="Q672" s="43"/>
      <c r="R672" s="44"/>
    </row>
    <row r="674" spans="1:18">
      <c r="A674" s="693" t="s">
        <v>0</v>
      </c>
      <c r="B674" s="695" t="s">
        <v>1</v>
      </c>
      <c r="C674" s="695" t="s">
        <v>2</v>
      </c>
      <c r="D674" s="697" t="s">
        <v>3</v>
      </c>
      <c r="E674" s="698"/>
      <c r="F674" s="698"/>
      <c r="G674" s="698"/>
      <c r="H674" s="698"/>
      <c r="I674" s="699" t="s">
        <v>4</v>
      </c>
      <c r="J674" s="700"/>
      <c r="K674" s="700"/>
      <c r="L674" s="700"/>
      <c r="M674" s="700"/>
      <c r="N674" s="698" t="s">
        <v>5</v>
      </c>
      <c r="O674" s="698"/>
      <c r="P674" s="698"/>
      <c r="Q674" s="698"/>
      <c r="R674" s="698"/>
    </row>
    <row r="675" spans="1:18">
      <c r="A675" s="694"/>
      <c r="B675" s="759"/>
      <c r="C675" s="696"/>
      <c r="D675" s="45" t="s">
        <v>6</v>
      </c>
      <c r="E675" s="46" t="s">
        <v>2</v>
      </c>
      <c r="F675" s="46" t="s">
        <v>7</v>
      </c>
      <c r="G675" s="46" t="s">
        <v>8</v>
      </c>
      <c r="H675" s="46" t="s">
        <v>9</v>
      </c>
      <c r="I675" s="46" t="s">
        <v>10</v>
      </c>
      <c r="J675" s="46" t="s">
        <v>2</v>
      </c>
      <c r="K675" s="46" t="s">
        <v>7</v>
      </c>
      <c r="L675" s="46" t="s">
        <v>8</v>
      </c>
      <c r="M675" s="47" t="s">
        <v>9</v>
      </c>
      <c r="N675" s="46" t="s">
        <v>10</v>
      </c>
      <c r="O675" s="46" t="s">
        <v>2</v>
      </c>
      <c r="P675" s="46" t="s">
        <v>7</v>
      </c>
      <c r="Q675" s="46" t="s">
        <v>8</v>
      </c>
      <c r="R675" s="46" t="s">
        <v>9</v>
      </c>
    </row>
    <row r="676" spans="1:18">
      <c r="A676" s="33" t="s">
        <v>23</v>
      </c>
      <c r="B676" s="127"/>
      <c r="C676" s="31"/>
      <c r="D676" s="31"/>
      <c r="E676" s="31"/>
      <c r="F676" s="31"/>
      <c r="G676" s="31"/>
      <c r="H676" s="31"/>
      <c r="I676" s="31"/>
      <c r="J676" s="31"/>
      <c r="K676" s="31"/>
      <c r="L676" s="31"/>
      <c r="M676" s="31"/>
      <c r="N676" s="31"/>
      <c r="O676" s="31"/>
      <c r="P676" s="31"/>
      <c r="Q676" s="31"/>
      <c r="R676" s="32"/>
    </row>
    <row r="677" spans="1:18">
      <c r="A677" s="34">
        <f>A652+1</f>
        <v>26</v>
      </c>
      <c r="B677" s="713" t="s">
        <v>707</v>
      </c>
      <c r="C677" s="66" t="s">
        <v>138</v>
      </c>
      <c r="D677" s="4"/>
      <c r="E677" s="6"/>
      <c r="F677" s="29"/>
      <c r="G677" s="26"/>
      <c r="H677" s="26"/>
      <c r="I677" s="6"/>
      <c r="J677" s="6"/>
      <c r="K677" s="29"/>
      <c r="L677" s="26"/>
      <c r="M677" s="26"/>
      <c r="N677" s="6"/>
      <c r="O677" s="6"/>
      <c r="P677" s="29"/>
      <c r="Q677" s="26"/>
      <c r="R677" s="26"/>
    </row>
    <row r="678" spans="1:18">
      <c r="A678" s="2"/>
      <c r="B678" s="714"/>
      <c r="C678" s="124"/>
      <c r="D678" s="4" t="s">
        <v>75</v>
      </c>
      <c r="E678" s="66" t="s">
        <v>81</v>
      </c>
      <c r="F678" s="29">
        <f>$F$353*J692</f>
        <v>0.125</v>
      </c>
      <c r="G678" s="26">
        <f>fr</f>
        <v>1100</v>
      </c>
      <c r="H678" s="26">
        <f>F678*G678</f>
        <v>137.5</v>
      </c>
      <c r="I678" s="7" t="s">
        <v>67</v>
      </c>
      <c r="J678" s="145" t="s">
        <v>250</v>
      </c>
      <c r="K678" s="29">
        <f>$K$553*J692</f>
        <v>6.8</v>
      </c>
      <c r="L678" s="28">
        <f>diesel</f>
        <v>177.6</v>
      </c>
      <c r="M678" s="26">
        <f>K678*L678</f>
        <v>1207.6799999999998</v>
      </c>
      <c r="N678" s="8" t="s">
        <v>655</v>
      </c>
      <c r="O678" s="66" t="s">
        <v>101</v>
      </c>
      <c r="P678" s="29">
        <f>$P$553*J692</f>
        <v>0.5</v>
      </c>
      <c r="Q678" s="28">
        <f>compressor</f>
        <v>270.39999999999998</v>
      </c>
      <c r="R678" s="26">
        <f>P678*Q678</f>
        <v>135.19999999999999</v>
      </c>
    </row>
    <row r="679" spans="1:18">
      <c r="A679" s="2"/>
      <c r="B679" s="714"/>
      <c r="C679" s="6"/>
      <c r="D679" s="4" t="s">
        <v>89</v>
      </c>
      <c r="E679" s="66" t="s">
        <v>81</v>
      </c>
      <c r="F679" s="29">
        <f>$F$354*J692</f>
        <v>0.1875</v>
      </c>
      <c r="G679" s="26">
        <f>dr</f>
        <v>1100</v>
      </c>
      <c r="H679" s="26">
        <f>F679*G679</f>
        <v>206.25</v>
      </c>
      <c r="I679" s="7" t="s">
        <v>649</v>
      </c>
      <c r="J679" s="145" t="s">
        <v>12</v>
      </c>
      <c r="K679" s="29"/>
      <c r="L679" s="28"/>
      <c r="M679" s="154">
        <v>50</v>
      </c>
      <c r="N679" s="8" t="s">
        <v>656</v>
      </c>
      <c r="O679" s="66" t="s">
        <v>101</v>
      </c>
      <c r="P679" s="29">
        <f>$P$554*J692</f>
        <v>0.5</v>
      </c>
      <c r="Q679" s="216">
        <f>jack_hammer</f>
        <v>162.24</v>
      </c>
      <c r="R679" s="26">
        <f>P679*Q679</f>
        <v>81.12</v>
      </c>
    </row>
    <row r="680" spans="1:18">
      <c r="A680" s="2"/>
      <c r="B680" s="126"/>
      <c r="C680" s="6"/>
      <c r="D680" s="4" t="s">
        <v>462</v>
      </c>
      <c r="E680" s="66" t="s">
        <v>81</v>
      </c>
      <c r="F680" s="29">
        <f>$F$355*J692</f>
        <v>0.3</v>
      </c>
      <c r="G680" s="26">
        <f>drh</f>
        <v>750</v>
      </c>
      <c r="H680" s="26">
        <f>F680*G680</f>
        <v>225</v>
      </c>
      <c r="I680" s="7" t="s">
        <v>494</v>
      </c>
      <c r="J680" s="145" t="s">
        <v>45</v>
      </c>
      <c r="K680" s="29">
        <f>$K$555*J692</f>
        <v>0.24</v>
      </c>
      <c r="L680" s="28">
        <f>Drillbit_32</f>
        <v>3709.37</v>
      </c>
      <c r="M680" s="26">
        <f t="shared" ref="M680:M686" si="37">K680*L680</f>
        <v>890.24879999999996</v>
      </c>
      <c r="N680" s="8" t="s">
        <v>657</v>
      </c>
      <c r="O680" s="66" t="s">
        <v>12</v>
      </c>
      <c r="P680" s="29"/>
      <c r="Q680" s="28"/>
      <c r="R680" s="154">
        <v>80</v>
      </c>
    </row>
    <row r="681" spans="1:18">
      <c r="A681" s="2"/>
      <c r="B681" s="126"/>
      <c r="C681" s="6"/>
      <c r="D681" s="4"/>
      <c r="E681" s="66"/>
      <c r="F681" s="29"/>
      <c r="G681" s="26"/>
      <c r="H681" s="26"/>
      <c r="I681" s="7" t="s">
        <v>702</v>
      </c>
      <c r="J681" s="145" t="s">
        <v>47</v>
      </c>
      <c r="K681" s="29">
        <f>J692</f>
        <v>4</v>
      </c>
      <c r="L681" s="28">
        <f>rockbolt_32</f>
        <v>812.17</v>
      </c>
      <c r="M681" s="26">
        <f t="shared" si="37"/>
        <v>3248.68</v>
      </c>
      <c r="N681" s="8" t="s">
        <v>658</v>
      </c>
      <c r="O681" s="66" t="s">
        <v>12</v>
      </c>
      <c r="P681" s="29"/>
      <c r="Q681" s="28"/>
      <c r="R681" s="154">
        <f>10%*R680</f>
        <v>8</v>
      </c>
    </row>
    <row r="682" spans="1:18">
      <c r="A682" s="2"/>
      <c r="B682" s="126"/>
      <c r="C682" s="6"/>
      <c r="D682" s="4"/>
      <c r="E682" s="66"/>
      <c r="F682" s="29"/>
      <c r="G682" s="26"/>
      <c r="H682" s="26"/>
      <c r="I682" s="7" t="s">
        <v>650</v>
      </c>
      <c r="J682" s="145" t="s">
        <v>45</v>
      </c>
      <c r="K682" s="29">
        <v>1</v>
      </c>
      <c r="L682" s="154">
        <v>40</v>
      </c>
      <c r="M682" s="26">
        <f t="shared" si="37"/>
        <v>40</v>
      </c>
      <c r="N682" s="8" t="s">
        <v>659</v>
      </c>
      <c r="O682" s="66" t="s">
        <v>101</v>
      </c>
      <c r="P682" s="29">
        <f>$P$557*J692</f>
        <v>0.5</v>
      </c>
      <c r="Q682" s="28">
        <f>grout_pump</f>
        <v>540.79999999999995</v>
      </c>
      <c r="R682" s="26">
        <f>P682*Q682</f>
        <v>270.39999999999998</v>
      </c>
    </row>
    <row r="683" spans="1:18">
      <c r="A683" s="2"/>
      <c r="B683" s="126"/>
      <c r="C683" s="6"/>
      <c r="D683" s="4"/>
      <c r="E683" s="66"/>
      <c r="F683" s="29"/>
      <c r="G683" s="26"/>
      <c r="H683" s="26"/>
      <c r="I683" s="7" t="s">
        <v>651</v>
      </c>
      <c r="J683" s="145" t="s">
        <v>45</v>
      </c>
      <c r="K683" s="29">
        <v>1</v>
      </c>
      <c r="L683" s="28">
        <f>bearing_plate</f>
        <v>1434.19</v>
      </c>
      <c r="M683" s="26">
        <f t="shared" si="37"/>
        <v>1434.19</v>
      </c>
      <c r="N683" s="8" t="s">
        <v>660</v>
      </c>
      <c r="O683" s="66" t="s">
        <v>101</v>
      </c>
      <c r="P683" s="29">
        <f>$P$558*J692</f>
        <v>0.24</v>
      </c>
      <c r="Q683" s="28">
        <f>fan</f>
        <v>260.67</v>
      </c>
      <c r="R683" s="26">
        <f>P683*Q683</f>
        <v>62.5608</v>
      </c>
    </row>
    <row r="684" spans="1:18">
      <c r="A684" s="2"/>
      <c r="B684" s="126"/>
      <c r="C684" s="6"/>
      <c r="D684" s="4"/>
      <c r="E684" s="66"/>
      <c r="F684" s="29"/>
      <c r="G684" s="26"/>
      <c r="H684" s="26"/>
      <c r="I684" s="7" t="s">
        <v>31</v>
      </c>
      <c r="J684" s="145" t="s">
        <v>28</v>
      </c>
      <c r="K684" s="29">
        <f>((PI()/4*((0.038)^2-(0.032)^2)*J692)*1440)*2</f>
        <v>3.8000704737822137</v>
      </c>
      <c r="L684" s="28">
        <f>cement/1000</f>
        <v>24.049689999999998</v>
      </c>
      <c r="M684" s="26">
        <f t="shared" si="37"/>
        <v>91.390516872615365</v>
      </c>
      <c r="N684" s="8" t="s">
        <v>661</v>
      </c>
      <c r="O684" s="66" t="s">
        <v>12</v>
      </c>
      <c r="P684" s="29"/>
      <c r="Q684" s="28"/>
      <c r="R684" s="154">
        <v>15</v>
      </c>
    </row>
    <row r="685" spans="1:18">
      <c r="A685" s="2"/>
      <c r="B685" s="126"/>
      <c r="C685" s="6"/>
      <c r="D685" s="4"/>
      <c r="E685" s="66"/>
      <c r="F685" s="29"/>
      <c r="G685" s="26"/>
      <c r="H685" s="26"/>
      <c r="I685" s="7" t="s">
        <v>652</v>
      </c>
      <c r="J685" s="145" t="s">
        <v>28</v>
      </c>
      <c r="K685" s="29">
        <f>0.005%*K684</f>
        <v>1.9000352368911069E-4</v>
      </c>
      <c r="L685" s="154">
        <v>500</v>
      </c>
      <c r="M685" s="26">
        <f t="shared" si="37"/>
        <v>9.5001761844555346E-2</v>
      </c>
      <c r="N685" s="8"/>
      <c r="O685" s="66"/>
      <c r="P685" s="29"/>
      <c r="Q685" s="28"/>
      <c r="R685" s="26"/>
    </row>
    <row r="686" spans="1:18">
      <c r="A686" s="2"/>
      <c r="B686" s="126"/>
      <c r="C686" s="6"/>
      <c r="D686" s="4"/>
      <c r="E686" s="66"/>
      <c r="F686" s="29"/>
      <c r="G686" s="26"/>
      <c r="H686" s="26"/>
      <c r="I686" s="7" t="s">
        <v>653</v>
      </c>
      <c r="J686" s="145" t="s">
        <v>11</v>
      </c>
      <c r="K686" s="29">
        <f>K684/1500</f>
        <v>2.5333803158548093E-3</v>
      </c>
      <c r="L686" s="28">
        <f>sand</f>
        <v>1050</v>
      </c>
      <c r="M686" s="26">
        <f t="shared" si="37"/>
        <v>2.6600493316475498</v>
      </c>
      <c r="N686" s="8"/>
      <c r="O686" s="66"/>
      <c r="P686" s="29"/>
      <c r="Q686" s="28"/>
      <c r="R686" s="26"/>
    </row>
    <row r="687" spans="1:18">
      <c r="A687" s="2"/>
      <c r="B687" s="126"/>
      <c r="C687" s="6"/>
      <c r="D687" s="4"/>
      <c r="E687" s="66"/>
      <c r="F687" s="29"/>
      <c r="G687" s="26"/>
      <c r="H687" s="26"/>
      <c r="I687" s="7"/>
      <c r="J687" s="145"/>
      <c r="K687" s="29"/>
      <c r="L687" s="28"/>
      <c r="M687" s="26"/>
      <c r="N687" s="8"/>
      <c r="O687" s="66"/>
      <c r="P687" s="29"/>
      <c r="Q687" s="28"/>
      <c r="R687" s="26"/>
    </row>
    <row r="688" spans="1:18">
      <c r="A688" s="2"/>
      <c r="B688" s="5"/>
      <c r="C688" s="6"/>
      <c r="D688" s="4"/>
      <c r="E688" s="9"/>
      <c r="F688" s="30"/>
      <c r="G688" s="27"/>
      <c r="H688" s="27"/>
      <c r="I688" s="9"/>
      <c r="J688" s="10"/>
      <c r="K688" s="30"/>
      <c r="L688" s="28"/>
      <c r="M688" s="28"/>
      <c r="N688" s="8"/>
      <c r="O688" s="6"/>
      <c r="P688" s="30"/>
      <c r="Q688" s="28"/>
      <c r="R688" s="28"/>
    </row>
    <row r="689" spans="1:18">
      <c r="A689" s="2"/>
      <c r="B689" s="11"/>
      <c r="C689" s="6"/>
      <c r="D689" s="12"/>
      <c r="E689" s="59"/>
      <c r="F689" s="13"/>
      <c r="G689" s="13" t="s">
        <v>20</v>
      </c>
      <c r="H689" s="25">
        <f>SUM(H677:H688)</f>
        <v>568.75</v>
      </c>
      <c r="I689" s="703"/>
      <c r="J689" s="703"/>
      <c r="K689" s="14"/>
      <c r="L689" s="13" t="s">
        <v>21</v>
      </c>
      <c r="M689" s="25">
        <f>SUM(M677:M688)</f>
        <v>6964.9443679661072</v>
      </c>
      <c r="N689" s="3"/>
      <c r="O689" s="14"/>
      <c r="P689" s="14"/>
      <c r="Q689" s="13" t="s">
        <v>22</v>
      </c>
      <c r="R689" s="25">
        <f>SUM(R677:R688)</f>
        <v>652.2808</v>
      </c>
    </row>
    <row r="690" spans="1:18">
      <c r="A690" s="2"/>
      <c r="B690" s="16" t="s">
        <v>13</v>
      </c>
      <c r="C690" s="14"/>
      <c r="D690" s="14"/>
      <c r="E690" s="14"/>
      <c r="F690" s="14"/>
      <c r="G690" s="13"/>
      <c r="H690" s="35">
        <f>M689+R689+H689</f>
        <v>8185.9751679661076</v>
      </c>
      <c r="I690" s="17"/>
      <c r="J690" s="14"/>
      <c r="K690" s="14"/>
      <c r="L690" s="13"/>
      <c r="M690" s="15"/>
      <c r="N690" s="14"/>
      <c r="O690" s="14"/>
      <c r="P690" s="14"/>
      <c r="Q690" s="14"/>
      <c r="R690" s="17"/>
    </row>
    <row r="691" spans="1:18">
      <c r="A691" s="2"/>
      <c r="B691" s="11" t="s">
        <v>25</v>
      </c>
      <c r="C691" s="4" t="s">
        <v>647</v>
      </c>
      <c r="D691" s="4"/>
      <c r="E691" s="4"/>
      <c r="F691" s="4"/>
      <c r="G691" s="18"/>
      <c r="H691" s="36">
        <f>20%*(H689)</f>
        <v>113.75</v>
      </c>
      <c r="I691" s="20"/>
      <c r="J691" s="4" t="s">
        <v>26</v>
      </c>
      <c r="K691" s="4"/>
      <c r="L691" s="18"/>
      <c r="M691" s="19"/>
      <c r="N691" s="4"/>
      <c r="O691" s="4"/>
      <c r="P691" s="4"/>
      <c r="Q691" s="4"/>
      <c r="R691" s="20"/>
    </row>
    <row r="692" spans="1:18">
      <c r="A692" s="23"/>
      <c r="B692" s="11" t="s">
        <v>14</v>
      </c>
      <c r="C692" s="4"/>
      <c r="D692" s="4"/>
      <c r="E692" s="4"/>
      <c r="F692" s="4"/>
      <c r="G692" s="18"/>
      <c r="H692" s="36">
        <f>SUM(H690:H691)</f>
        <v>8299.7251679661076</v>
      </c>
      <c r="I692" s="20"/>
      <c r="J692" s="750">
        <v>4</v>
      </c>
      <c r="K692" s="751"/>
      <c r="L692" s="751"/>
      <c r="M692" s="751"/>
      <c r="N692" s="751"/>
      <c r="O692" s="751"/>
      <c r="P692" s="751"/>
      <c r="Q692" s="751"/>
      <c r="R692" s="752"/>
    </row>
    <row r="693" spans="1:18">
      <c r="A693" s="23"/>
      <c r="B693" s="11" t="s">
        <v>24</v>
      </c>
      <c r="C693" s="4"/>
      <c r="D693" s="4"/>
      <c r="E693" s="4"/>
      <c r="F693" s="4"/>
      <c r="G693" s="18"/>
      <c r="H693" s="36">
        <f>H692*15%</f>
        <v>1244.9587751949161</v>
      </c>
      <c r="I693" s="20"/>
      <c r="J693" s="753"/>
      <c r="K693" s="754"/>
      <c r="L693" s="754"/>
      <c r="M693" s="754"/>
      <c r="N693" s="754"/>
      <c r="O693" s="754"/>
      <c r="P693" s="754"/>
      <c r="Q693" s="754"/>
      <c r="R693" s="755"/>
    </row>
    <row r="694" spans="1:18">
      <c r="A694" s="23"/>
      <c r="B694" s="11" t="s">
        <v>15</v>
      </c>
      <c r="C694" s="4"/>
      <c r="D694" s="4"/>
      <c r="E694" s="4"/>
      <c r="F694" s="4"/>
      <c r="G694" s="21" t="s">
        <v>16</v>
      </c>
      <c r="H694" s="37">
        <f>H693+H692</f>
        <v>9544.6839431610242</v>
      </c>
      <c r="I694" s="38" t="str">
        <f>CONCATENATE("per ",C677, C678)</f>
        <v>per nos.</v>
      </c>
      <c r="J694" s="753"/>
      <c r="K694" s="754"/>
      <c r="L694" s="754"/>
      <c r="M694" s="754"/>
      <c r="N694" s="754"/>
      <c r="O694" s="754"/>
      <c r="P694" s="754"/>
      <c r="Q694" s="754"/>
      <c r="R694" s="755"/>
    </row>
    <row r="695" spans="1:18">
      <c r="A695" s="23"/>
      <c r="B695" s="11" t="s">
        <v>18</v>
      </c>
      <c r="C695" s="4" t="s">
        <v>19</v>
      </c>
      <c r="D695" s="4"/>
      <c r="E695" s="4"/>
      <c r="F695" s="4"/>
      <c r="G695" s="21" t="s">
        <v>16</v>
      </c>
      <c r="H695" s="37">
        <f>CEILING(H694,0.5)</f>
        <v>9545</v>
      </c>
      <c r="I695" s="38" t="str">
        <f>CONCATENATE("per ",C677)</f>
        <v>per nos.</v>
      </c>
      <c r="J695" s="753"/>
      <c r="K695" s="754"/>
      <c r="L695" s="754"/>
      <c r="M695" s="754"/>
      <c r="N695" s="754"/>
      <c r="O695" s="754"/>
      <c r="P695" s="754"/>
      <c r="Q695" s="754"/>
      <c r="R695" s="755"/>
    </row>
    <row r="696" spans="1:18">
      <c r="A696" s="23"/>
      <c r="B696" s="11"/>
      <c r="C696" s="4"/>
      <c r="D696" s="4"/>
      <c r="E696" s="4"/>
      <c r="F696" s="4"/>
      <c r="G696" s="24" t="s">
        <v>17</v>
      </c>
      <c r="H696" s="37">
        <f>H695/exr</f>
        <v>73.42307692307692</v>
      </c>
      <c r="I696" s="38" t="str">
        <f>CONCATENATE("per ",C677)</f>
        <v>per nos.</v>
      </c>
      <c r="J696" s="756"/>
      <c r="K696" s="757"/>
      <c r="L696" s="757"/>
      <c r="M696" s="757"/>
      <c r="N696" s="757"/>
      <c r="O696" s="757"/>
      <c r="P696" s="757"/>
      <c r="Q696" s="757"/>
      <c r="R696" s="758"/>
    </row>
    <row r="697" spans="1:18">
      <c r="A697" s="39"/>
      <c r="B697" s="40"/>
      <c r="C697" s="41"/>
      <c r="D697" s="41"/>
      <c r="E697" s="41"/>
      <c r="F697" s="41"/>
      <c r="G697" s="149" t="s">
        <v>460</v>
      </c>
      <c r="H697" s="150">
        <f>CEILING(SUM(M689,R689)/H690,0.0025)</f>
        <v>0.9325</v>
      </c>
      <c r="I697" s="42"/>
      <c r="J697" s="43"/>
      <c r="K697" s="43"/>
      <c r="L697" s="43"/>
      <c r="M697" s="43"/>
      <c r="N697" s="43"/>
      <c r="O697" s="43"/>
      <c r="P697" s="43"/>
      <c r="Q697" s="43"/>
      <c r="R697" s="44"/>
    </row>
    <row r="699" spans="1:18">
      <c r="A699" s="693" t="s">
        <v>0</v>
      </c>
      <c r="B699" s="695" t="s">
        <v>1</v>
      </c>
      <c r="C699" s="695" t="s">
        <v>2</v>
      </c>
      <c r="D699" s="697" t="s">
        <v>3</v>
      </c>
      <c r="E699" s="698"/>
      <c r="F699" s="698"/>
      <c r="G699" s="698"/>
      <c r="H699" s="698"/>
      <c r="I699" s="699" t="s">
        <v>4</v>
      </c>
      <c r="J699" s="700"/>
      <c r="K699" s="700"/>
      <c r="L699" s="700"/>
      <c r="M699" s="700"/>
      <c r="N699" s="698" t="s">
        <v>5</v>
      </c>
      <c r="O699" s="698"/>
      <c r="P699" s="698"/>
      <c r="Q699" s="698"/>
      <c r="R699" s="698"/>
    </row>
    <row r="700" spans="1:18">
      <c r="A700" s="694"/>
      <c r="B700" s="759"/>
      <c r="C700" s="696"/>
      <c r="D700" s="45" t="s">
        <v>6</v>
      </c>
      <c r="E700" s="46" t="s">
        <v>2</v>
      </c>
      <c r="F700" s="46" t="s">
        <v>7</v>
      </c>
      <c r="G700" s="46" t="s">
        <v>8</v>
      </c>
      <c r="H700" s="46" t="s">
        <v>9</v>
      </c>
      <c r="I700" s="46" t="s">
        <v>10</v>
      </c>
      <c r="J700" s="46" t="s">
        <v>2</v>
      </c>
      <c r="K700" s="46" t="s">
        <v>7</v>
      </c>
      <c r="L700" s="46" t="s">
        <v>8</v>
      </c>
      <c r="M700" s="47" t="s">
        <v>9</v>
      </c>
      <c r="N700" s="46" t="s">
        <v>10</v>
      </c>
      <c r="O700" s="46" t="s">
        <v>2</v>
      </c>
      <c r="P700" s="46" t="s">
        <v>7</v>
      </c>
      <c r="Q700" s="46" t="s">
        <v>8</v>
      </c>
      <c r="R700" s="46" t="s">
        <v>9</v>
      </c>
    </row>
    <row r="701" spans="1:18">
      <c r="A701" s="33" t="s">
        <v>23</v>
      </c>
      <c r="B701" s="127"/>
      <c r="C701" s="31"/>
      <c r="D701" s="31"/>
      <c r="E701" s="31"/>
      <c r="F701" s="31"/>
      <c r="G701" s="31"/>
      <c r="H701" s="31"/>
      <c r="I701" s="31"/>
      <c r="J701" s="31"/>
      <c r="K701" s="31"/>
      <c r="L701" s="31"/>
      <c r="M701" s="31"/>
      <c r="N701" s="31"/>
      <c r="O701" s="31"/>
      <c r="P701" s="31"/>
      <c r="Q701" s="31"/>
      <c r="R701" s="32"/>
    </row>
    <row r="702" spans="1:18">
      <c r="A702" s="34">
        <f>A677+1</f>
        <v>27</v>
      </c>
      <c r="B702" s="713" t="s">
        <v>708</v>
      </c>
      <c r="C702" s="66" t="s">
        <v>138</v>
      </c>
      <c r="D702" s="4"/>
      <c r="E702" s="6"/>
      <c r="F702" s="29"/>
      <c r="G702" s="26"/>
      <c r="H702" s="26"/>
      <c r="I702" s="6"/>
      <c r="J702" s="6"/>
      <c r="K702" s="29"/>
      <c r="L702" s="26"/>
      <c r="M702" s="26"/>
      <c r="N702" s="6"/>
      <c r="O702" s="6"/>
      <c r="P702" s="29"/>
      <c r="Q702" s="26"/>
      <c r="R702" s="26"/>
    </row>
    <row r="703" spans="1:18">
      <c r="A703" s="2"/>
      <c r="B703" s="714"/>
      <c r="C703" s="124"/>
      <c r="D703" s="4" t="s">
        <v>75</v>
      </c>
      <c r="E703" s="66" t="s">
        <v>81</v>
      </c>
      <c r="F703" s="29">
        <f>$F$353*J717</f>
        <v>0.15625</v>
      </c>
      <c r="G703" s="26">
        <f>fr</f>
        <v>1100</v>
      </c>
      <c r="H703" s="26">
        <f>F703*G703</f>
        <v>171.875</v>
      </c>
      <c r="I703" s="7" t="s">
        <v>67</v>
      </c>
      <c r="J703" s="145" t="s">
        <v>250</v>
      </c>
      <c r="K703" s="29">
        <f>$K$553*J717</f>
        <v>8.5</v>
      </c>
      <c r="L703" s="28">
        <f>diesel</f>
        <v>177.6</v>
      </c>
      <c r="M703" s="26">
        <f>K703*L703</f>
        <v>1509.6</v>
      </c>
      <c r="N703" s="8" t="s">
        <v>655</v>
      </c>
      <c r="O703" s="66" t="s">
        <v>101</v>
      </c>
      <c r="P703" s="29">
        <f>$P$553*J717</f>
        <v>0.625</v>
      </c>
      <c r="Q703" s="28">
        <f>compressor</f>
        <v>270.39999999999998</v>
      </c>
      <c r="R703" s="26">
        <f>P703*Q703</f>
        <v>169</v>
      </c>
    </row>
    <row r="704" spans="1:18">
      <c r="A704" s="2"/>
      <c r="B704" s="714"/>
      <c r="C704" s="6"/>
      <c r="D704" s="4" t="s">
        <v>89</v>
      </c>
      <c r="E704" s="66" t="s">
        <v>81</v>
      </c>
      <c r="F704" s="29">
        <f>$F$354*J717</f>
        <v>0.234375</v>
      </c>
      <c r="G704" s="26">
        <f>dr</f>
        <v>1100</v>
      </c>
      <c r="H704" s="26">
        <f>F704*G704</f>
        <v>257.8125</v>
      </c>
      <c r="I704" s="7" t="s">
        <v>649</v>
      </c>
      <c r="J704" s="145" t="s">
        <v>12</v>
      </c>
      <c r="K704" s="29"/>
      <c r="L704" s="28"/>
      <c r="M704" s="154">
        <v>60</v>
      </c>
      <c r="N704" s="8" t="s">
        <v>656</v>
      </c>
      <c r="O704" s="66" t="s">
        <v>101</v>
      </c>
      <c r="P704" s="29">
        <f>$P$554*J717</f>
        <v>0.625</v>
      </c>
      <c r="Q704" s="216">
        <f>jack_hammer</f>
        <v>162.24</v>
      </c>
      <c r="R704" s="26">
        <f>P704*Q704</f>
        <v>101.4</v>
      </c>
    </row>
    <row r="705" spans="1:19">
      <c r="A705" s="2"/>
      <c r="B705" s="126"/>
      <c r="C705" s="6"/>
      <c r="D705" s="4" t="s">
        <v>462</v>
      </c>
      <c r="E705" s="66" t="s">
        <v>81</v>
      </c>
      <c r="F705" s="29">
        <f>$F$355*J717</f>
        <v>0.375</v>
      </c>
      <c r="G705" s="26">
        <f>drh</f>
        <v>750</v>
      </c>
      <c r="H705" s="26">
        <f>F705*G705</f>
        <v>281.25</v>
      </c>
      <c r="I705" s="7" t="s">
        <v>494</v>
      </c>
      <c r="J705" s="145" t="s">
        <v>45</v>
      </c>
      <c r="K705" s="29">
        <f>$K$555*J717</f>
        <v>0.3</v>
      </c>
      <c r="L705" s="28">
        <f>Drillbit_32</f>
        <v>3709.37</v>
      </c>
      <c r="M705" s="26">
        <f t="shared" ref="M705:M711" si="38">K705*L705</f>
        <v>1112.8109999999999</v>
      </c>
      <c r="N705" s="8" t="s">
        <v>657</v>
      </c>
      <c r="O705" s="66" t="s">
        <v>12</v>
      </c>
      <c r="P705" s="29"/>
      <c r="Q705" s="28"/>
      <c r="R705" s="154">
        <v>120</v>
      </c>
    </row>
    <row r="706" spans="1:19">
      <c r="A706" s="2"/>
      <c r="B706" s="126"/>
      <c r="C706" s="6"/>
      <c r="D706" s="4"/>
      <c r="E706" s="66"/>
      <c r="F706" s="29"/>
      <c r="G706" s="26"/>
      <c r="H706" s="26"/>
      <c r="I706" s="7" t="s">
        <v>702</v>
      </c>
      <c r="J706" s="145" t="s">
        <v>47</v>
      </c>
      <c r="K706" s="29">
        <f>J717</f>
        <v>5</v>
      </c>
      <c r="L706" s="28">
        <f>rockbolt_32</f>
        <v>812.17</v>
      </c>
      <c r="M706" s="26">
        <f t="shared" si="38"/>
        <v>4060.85</v>
      </c>
      <c r="N706" s="8" t="s">
        <v>658</v>
      </c>
      <c r="O706" s="66" t="s">
        <v>12</v>
      </c>
      <c r="P706" s="29"/>
      <c r="Q706" s="28"/>
      <c r="R706" s="154">
        <f>10%*R705</f>
        <v>12</v>
      </c>
      <c r="S706" s="1" t="s">
        <v>75</v>
      </c>
    </row>
    <row r="707" spans="1:19">
      <c r="A707" s="2"/>
      <c r="B707" s="126"/>
      <c r="C707" s="6"/>
      <c r="D707" s="4"/>
      <c r="E707" s="66"/>
      <c r="F707" s="29"/>
      <c r="G707" s="26"/>
      <c r="H707" s="26"/>
      <c r="I707" s="7" t="s">
        <v>650</v>
      </c>
      <c r="J707" s="145" t="s">
        <v>45</v>
      </c>
      <c r="K707" s="29">
        <v>1</v>
      </c>
      <c r="L707" s="154">
        <v>40</v>
      </c>
      <c r="M707" s="26">
        <f t="shared" si="38"/>
        <v>40</v>
      </c>
      <c r="N707" s="8" t="s">
        <v>659</v>
      </c>
      <c r="O707" s="66" t="s">
        <v>101</v>
      </c>
      <c r="P707" s="29">
        <f>$P$557*J717</f>
        <v>0.625</v>
      </c>
      <c r="Q707" s="28">
        <f>grout_pump</f>
        <v>540.79999999999995</v>
      </c>
      <c r="R707" s="26">
        <f>P707*Q707</f>
        <v>338</v>
      </c>
      <c r="S707" s="1" t="s">
        <v>860</v>
      </c>
    </row>
    <row r="708" spans="1:19">
      <c r="A708" s="2"/>
      <c r="B708" s="126"/>
      <c r="C708" s="6"/>
      <c r="D708" s="4"/>
      <c r="E708" s="66"/>
      <c r="F708" s="29"/>
      <c r="G708" s="26"/>
      <c r="H708" s="26"/>
      <c r="I708" s="7" t="s">
        <v>651</v>
      </c>
      <c r="J708" s="145" t="s">
        <v>45</v>
      </c>
      <c r="K708" s="29">
        <v>1</v>
      </c>
      <c r="L708" s="28">
        <f>bearing_plate</f>
        <v>1434.19</v>
      </c>
      <c r="M708" s="26">
        <f t="shared" si="38"/>
        <v>1434.19</v>
      </c>
      <c r="N708" s="8" t="s">
        <v>660</v>
      </c>
      <c r="O708" s="66" t="s">
        <v>101</v>
      </c>
      <c r="P708" s="29">
        <f>$P$558*J717</f>
        <v>0.3</v>
      </c>
      <c r="Q708" s="28">
        <f>fan</f>
        <v>260.67</v>
      </c>
      <c r="R708" s="26">
        <f>P708*Q708</f>
        <v>78.201000000000008</v>
      </c>
      <c r="S708" s="1" t="s">
        <v>861</v>
      </c>
    </row>
    <row r="709" spans="1:19">
      <c r="A709" s="2"/>
      <c r="B709" s="126"/>
      <c r="C709" s="6"/>
      <c r="D709" s="4"/>
      <c r="E709" s="66"/>
      <c r="F709" s="29"/>
      <c r="G709" s="26"/>
      <c r="H709" s="26"/>
      <c r="I709" s="7" t="s">
        <v>31</v>
      </c>
      <c r="J709" s="145" t="s">
        <v>28</v>
      </c>
      <c r="K709" s="29">
        <f>((PI()/4*((0.038)^2-(0.032)^2)*J717)*1440)*2</f>
        <v>4.7500880922277675</v>
      </c>
      <c r="L709" s="28">
        <f>cement/1000</f>
        <v>24.049689999999998</v>
      </c>
      <c r="M709" s="26">
        <f t="shared" si="38"/>
        <v>114.23814609076921</v>
      </c>
      <c r="N709" s="8" t="s">
        <v>661</v>
      </c>
      <c r="O709" s="66" t="s">
        <v>12</v>
      </c>
      <c r="P709" s="29"/>
      <c r="Q709" s="28"/>
      <c r="R709" s="154">
        <v>15</v>
      </c>
      <c r="S709" s="1" t="s">
        <v>67</v>
      </c>
    </row>
    <row r="710" spans="1:19">
      <c r="A710" s="2"/>
      <c r="B710" s="126"/>
      <c r="C710" s="6"/>
      <c r="D710" s="4"/>
      <c r="E710" s="66"/>
      <c r="F710" s="29"/>
      <c r="G710" s="26"/>
      <c r="H710" s="26"/>
      <c r="I710" s="7" t="s">
        <v>652</v>
      </c>
      <c r="J710" s="145" t="s">
        <v>28</v>
      </c>
      <c r="K710" s="29">
        <f>0.005%*K709</f>
        <v>2.3750440461138837E-4</v>
      </c>
      <c r="L710" s="154">
        <v>500</v>
      </c>
      <c r="M710" s="26">
        <f t="shared" si="38"/>
        <v>0.11875220230569419</v>
      </c>
      <c r="N710" s="8"/>
      <c r="O710" s="66"/>
      <c r="P710" s="29"/>
      <c r="Q710" s="28"/>
      <c r="R710" s="26"/>
      <c r="S710" s="1" t="s">
        <v>862</v>
      </c>
    </row>
    <row r="711" spans="1:19">
      <c r="A711" s="2"/>
      <c r="B711" s="126"/>
      <c r="C711" s="6"/>
      <c r="D711" s="4"/>
      <c r="E711" s="66"/>
      <c r="F711" s="29"/>
      <c r="G711" s="26"/>
      <c r="H711" s="26"/>
      <c r="I711" s="7" t="s">
        <v>653</v>
      </c>
      <c r="J711" s="145" t="s">
        <v>11</v>
      </c>
      <c r="K711" s="29">
        <f>K709/1500</f>
        <v>3.1667253948185117E-3</v>
      </c>
      <c r="L711" s="28">
        <f>sand</f>
        <v>1050</v>
      </c>
      <c r="M711" s="26">
        <f t="shared" si="38"/>
        <v>3.3250616645594371</v>
      </c>
      <c r="N711" s="8"/>
      <c r="O711" s="66"/>
      <c r="P711" s="29"/>
      <c r="Q711" s="28"/>
      <c r="R711" s="26"/>
      <c r="S711" s="1" t="s">
        <v>494</v>
      </c>
    </row>
    <row r="712" spans="1:19">
      <c r="A712" s="2"/>
      <c r="B712" s="126"/>
      <c r="C712" s="6"/>
      <c r="D712" s="4"/>
      <c r="E712" s="66"/>
      <c r="F712" s="29"/>
      <c r="G712" s="26"/>
      <c r="H712" s="26"/>
      <c r="I712" s="7"/>
      <c r="J712" s="145"/>
      <c r="K712" s="29"/>
      <c r="L712" s="28"/>
      <c r="M712" s="26"/>
      <c r="N712" s="8"/>
      <c r="O712" s="66"/>
      <c r="P712" s="29"/>
      <c r="Q712" s="28"/>
      <c r="R712" s="26"/>
      <c r="S712" s="1" t="s">
        <v>863</v>
      </c>
    </row>
    <row r="713" spans="1:19">
      <c r="A713" s="2"/>
      <c r="B713" s="5"/>
      <c r="C713" s="6"/>
      <c r="D713" s="4"/>
      <c r="E713" s="9"/>
      <c r="F713" s="30"/>
      <c r="G713" s="27"/>
      <c r="H713" s="27"/>
      <c r="I713" s="9"/>
      <c r="J713" s="10"/>
      <c r="K713" s="30"/>
      <c r="L713" s="28"/>
      <c r="M713" s="28"/>
      <c r="N713" s="8"/>
      <c r="O713" s="6"/>
      <c r="P713" s="30"/>
      <c r="Q713" s="28"/>
      <c r="R713" s="28"/>
      <c r="S713" s="1" t="s">
        <v>650</v>
      </c>
    </row>
    <row r="714" spans="1:19">
      <c r="A714" s="2"/>
      <c r="B714" s="11"/>
      <c r="C714" s="6"/>
      <c r="D714" s="12"/>
      <c r="E714" s="59"/>
      <c r="F714" s="13"/>
      <c r="G714" s="13" t="s">
        <v>20</v>
      </c>
      <c r="H714" s="25">
        <f>SUM(H702:H713)</f>
        <v>710.9375</v>
      </c>
      <c r="I714" s="703"/>
      <c r="J714" s="703"/>
      <c r="K714" s="14"/>
      <c r="L714" s="13" t="s">
        <v>21</v>
      </c>
      <c r="M714" s="25">
        <f>SUM(M702:M713)</f>
        <v>8335.1329599576366</v>
      </c>
      <c r="N714" s="3"/>
      <c r="O714" s="14"/>
      <c r="P714" s="14"/>
      <c r="Q714" s="13" t="s">
        <v>22</v>
      </c>
      <c r="R714" s="25">
        <f>SUM(R702:R713)</f>
        <v>833.601</v>
      </c>
      <c r="S714" s="1" t="s">
        <v>864</v>
      </c>
    </row>
    <row r="715" spans="1:19">
      <c r="A715" s="2"/>
      <c r="B715" s="16" t="s">
        <v>13</v>
      </c>
      <c r="C715" s="14"/>
      <c r="D715" s="14"/>
      <c r="E715" s="14"/>
      <c r="F715" s="14"/>
      <c r="G715" s="13"/>
      <c r="H715" s="35">
        <f>M714+R714+H714</f>
        <v>9879.6714599576371</v>
      </c>
      <c r="I715" s="17"/>
      <c r="J715" s="14"/>
      <c r="K715" s="14"/>
      <c r="L715" s="13"/>
      <c r="M715" s="15"/>
      <c r="N715" s="14"/>
      <c r="O715" s="14"/>
      <c r="P715" s="14"/>
      <c r="Q715" s="14"/>
      <c r="R715" s="17"/>
      <c r="S715" s="1" t="s">
        <v>31</v>
      </c>
    </row>
    <row r="716" spans="1:19">
      <c r="A716" s="2"/>
      <c r="B716" s="11" t="s">
        <v>25</v>
      </c>
      <c r="C716" s="4" t="s">
        <v>647</v>
      </c>
      <c r="D716" s="4"/>
      <c r="E716" s="4"/>
      <c r="F716" s="4"/>
      <c r="G716" s="18"/>
      <c r="H716" s="36">
        <f>20%*(H714)</f>
        <v>142.1875</v>
      </c>
      <c r="I716" s="20"/>
      <c r="J716" s="4" t="s">
        <v>26</v>
      </c>
      <c r="K716" s="4"/>
      <c r="L716" s="18"/>
      <c r="M716" s="19"/>
      <c r="N716" s="4"/>
      <c r="O716" s="4"/>
      <c r="P716" s="4"/>
      <c r="Q716" s="4"/>
      <c r="R716" s="20"/>
      <c r="S716" s="1" t="s">
        <v>652</v>
      </c>
    </row>
    <row r="717" spans="1:19">
      <c r="A717" s="23"/>
      <c r="B717" s="11" t="s">
        <v>14</v>
      </c>
      <c r="C717" s="4"/>
      <c r="D717" s="4"/>
      <c r="E717" s="4"/>
      <c r="F717" s="4"/>
      <c r="G717" s="18"/>
      <c r="H717" s="36">
        <f>SUM(H715:H716)</f>
        <v>10021.858959957637</v>
      </c>
      <c r="I717" s="20"/>
      <c r="J717" s="750">
        <v>5</v>
      </c>
      <c r="K717" s="751"/>
      <c r="L717" s="751"/>
      <c r="M717" s="751"/>
      <c r="N717" s="751"/>
      <c r="O717" s="751"/>
      <c r="P717" s="751"/>
      <c r="Q717" s="751"/>
      <c r="R717" s="752"/>
      <c r="S717" s="1" t="s">
        <v>301</v>
      </c>
    </row>
    <row r="718" spans="1:19">
      <c r="A718" s="23"/>
      <c r="B718" s="11" t="s">
        <v>24</v>
      </c>
      <c r="C718" s="4"/>
      <c r="D718" s="4"/>
      <c r="E718" s="4"/>
      <c r="F718" s="4"/>
      <c r="G718" s="18"/>
      <c r="H718" s="36">
        <f>H717*15%</f>
        <v>1503.2788439936455</v>
      </c>
      <c r="I718" s="20"/>
      <c r="J718" s="753"/>
      <c r="K718" s="754"/>
      <c r="L718" s="754"/>
      <c r="M718" s="754"/>
      <c r="N718" s="754"/>
      <c r="O718" s="754"/>
      <c r="P718" s="754"/>
      <c r="Q718" s="754"/>
      <c r="R718" s="755"/>
      <c r="S718" s="1" t="s">
        <v>14</v>
      </c>
    </row>
    <row r="719" spans="1:19">
      <c r="A719" s="23"/>
      <c r="B719" s="11" t="s">
        <v>15</v>
      </c>
      <c r="C719" s="4"/>
      <c r="D719" s="4"/>
      <c r="E719" s="4"/>
      <c r="F719" s="4"/>
      <c r="G719" s="21" t="s">
        <v>16</v>
      </c>
      <c r="H719" s="37">
        <f>H718+H717</f>
        <v>11525.137803951282</v>
      </c>
      <c r="I719" s="38" t="str">
        <f>CONCATENATE("per ",C702, C703)</f>
        <v>per nos.</v>
      </c>
      <c r="J719" s="753"/>
      <c r="K719" s="754"/>
      <c r="L719" s="754"/>
      <c r="M719" s="754"/>
      <c r="N719" s="754"/>
      <c r="O719" s="754"/>
      <c r="P719" s="754"/>
      <c r="Q719" s="754"/>
      <c r="R719" s="755"/>
      <c r="S719" s="1" t="s">
        <v>865</v>
      </c>
    </row>
    <row r="720" spans="1:19">
      <c r="A720" s="23"/>
      <c r="B720" s="11" t="s">
        <v>18</v>
      </c>
      <c r="C720" s="4" t="s">
        <v>19</v>
      </c>
      <c r="D720" s="4"/>
      <c r="E720" s="4"/>
      <c r="F720" s="4"/>
      <c r="G720" s="21" t="s">
        <v>16</v>
      </c>
      <c r="H720" s="37">
        <f>CEILING(H719,0.5)</f>
        <v>11525.5</v>
      </c>
      <c r="I720" s="38" t="str">
        <f>CONCATENATE("per ",C702)</f>
        <v>per nos.</v>
      </c>
      <c r="J720" s="753"/>
      <c r="K720" s="754"/>
      <c r="L720" s="754"/>
      <c r="M720" s="754"/>
      <c r="N720" s="754"/>
      <c r="O720" s="754"/>
      <c r="P720" s="754"/>
      <c r="Q720" s="754"/>
      <c r="R720" s="755"/>
    </row>
    <row r="721" spans="1:18">
      <c r="A721" s="23"/>
      <c r="B721" s="11"/>
      <c r="C721" s="4"/>
      <c r="D721" s="4"/>
      <c r="E721" s="4"/>
      <c r="F721" s="4"/>
      <c r="G721" s="24" t="s">
        <v>17</v>
      </c>
      <c r="H721" s="37">
        <f>H720/exr</f>
        <v>88.657692307692301</v>
      </c>
      <c r="I721" s="38" t="str">
        <f>CONCATENATE("per ",C702)</f>
        <v>per nos.</v>
      </c>
      <c r="J721" s="756"/>
      <c r="K721" s="757"/>
      <c r="L721" s="757"/>
      <c r="M721" s="757"/>
      <c r="N721" s="757"/>
      <c r="O721" s="757"/>
      <c r="P721" s="757"/>
      <c r="Q721" s="757"/>
      <c r="R721" s="758"/>
    </row>
    <row r="722" spans="1:18">
      <c r="A722" s="39"/>
      <c r="B722" s="40"/>
      <c r="C722" s="41"/>
      <c r="D722" s="41"/>
      <c r="E722" s="41"/>
      <c r="F722" s="41"/>
      <c r="G722" s="149" t="s">
        <v>460</v>
      </c>
      <c r="H722" s="150">
        <f>CEILING(SUM(M714,R714)/H715,0.0025)</f>
        <v>0.93</v>
      </c>
      <c r="I722" s="211"/>
      <c r="J722" s="43"/>
      <c r="K722" s="43"/>
      <c r="L722" s="43"/>
      <c r="M722" s="43"/>
      <c r="N722" s="43"/>
      <c r="O722" s="43"/>
      <c r="P722" s="43"/>
      <c r="Q722" s="43"/>
      <c r="R722" s="44"/>
    </row>
    <row r="724" spans="1:18">
      <c r="A724" s="693" t="s">
        <v>0</v>
      </c>
      <c r="B724" s="695" t="s">
        <v>1</v>
      </c>
      <c r="C724" s="695" t="s">
        <v>2</v>
      </c>
      <c r="D724" s="697" t="s">
        <v>3</v>
      </c>
      <c r="E724" s="698"/>
      <c r="F724" s="698"/>
      <c r="G724" s="698"/>
      <c r="H724" s="698"/>
      <c r="I724" s="699" t="s">
        <v>4</v>
      </c>
      <c r="J724" s="700"/>
      <c r="K724" s="700"/>
      <c r="L724" s="700"/>
      <c r="M724" s="700"/>
      <c r="N724" s="698" t="s">
        <v>5</v>
      </c>
      <c r="O724" s="698"/>
      <c r="P724" s="698"/>
      <c r="Q724" s="698"/>
      <c r="R724" s="698"/>
    </row>
    <row r="725" spans="1:18">
      <c r="A725" s="694"/>
      <c r="B725" s="759"/>
      <c r="C725" s="696"/>
      <c r="D725" s="45" t="s">
        <v>6</v>
      </c>
      <c r="E725" s="46" t="s">
        <v>2</v>
      </c>
      <c r="F725" s="46" t="s">
        <v>7</v>
      </c>
      <c r="G725" s="46" t="s">
        <v>8</v>
      </c>
      <c r="H725" s="46" t="s">
        <v>9</v>
      </c>
      <c r="I725" s="46" t="s">
        <v>10</v>
      </c>
      <c r="J725" s="46" t="s">
        <v>2</v>
      </c>
      <c r="K725" s="46" t="s">
        <v>7</v>
      </c>
      <c r="L725" s="46" t="s">
        <v>8</v>
      </c>
      <c r="M725" s="47" t="s">
        <v>9</v>
      </c>
      <c r="N725" s="46" t="s">
        <v>10</v>
      </c>
      <c r="O725" s="46" t="s">
        <v>2</v>
      </c>
      <c r="P725" s="46" t="s">
        <v>7</v>
      </c>
      <c r="Q725" s="46" t="s">
        <v>8</v>
      </c>
      <c r="R725" s="46" t="s">
        <v>9</v>
      </c>
    </row>
    <row r="726" spans="1:18">
      <c r="A726" s="33" t="s">
        <v>23</v>
      </c>
      <c r="B726" s="127"/>
      <c r="C726" s="31"/>
      <c r="D726" s="31"/>
      <c r="E726" s="31"/>
      <c r="F726" s="31"/>
      <c r="G726" s="31"/>
      <c r="H726" s="31"/>
      <c r="I726" s="31"/>
      <c r="J726" s="31"/>
      <c r="K726" s="31"/>
      <c r="L726" s="31"/>
      <c r="M726" s="31"/>
      <c r="N726" s="31"/>
      <c r="O726" s="31"/>
      <c r="P726" s="31"/>
      <c r="Q726" s="31"/>
      <c r="R726" s="32"/>
    </row>
    <row r="727" spans="1:18">
      <c r="A727" s="34">
        <f>A702+1</f>
        <v>28</v>
      </c>
      <c r="B727" s="713" t="s">
        <v>709</v>
      </c>
      <c r="C727" s="66" t="s">
        <v>138</v>
      </c>
      <c r="D727" s="4"/>
      <c r="E727" s="6"/>
      <c r="F727" s="29"/>
      <c r="G727" s="26"/>
      <c r="H727" s="26"/>
      <c r="I727" s="6"/>
      <c r="J727" s="6"/>
      <c r="K727" s="29"/>
      <c r="L727" s="26"/>
      <c r="M727" s="26"/>
      <c r="N727" s="6"/>
      <c r="O727" s="6"/>
      <c r="P727" s="29"/>
      <c r="Q727" s="26"/>
      <c r="R727" s="26"/>
    </row>
    <row r="728" spans="1:18">
      <c r="A728" s="2"/>
      <c r="B728" s="714"/>
      <c r="C728" s="124"/>
      <c r="D728" s="4" t="s">
        <v>75</v>
      </c>
      <c r="E728" s="66" t="s">
        <v>81</v>
      </c>
      <c r="F728" s="29">
        <f>$F$353*J742</f>
        <v>0.1875</v>
      </c>
      <c r="G728" s="26">
        <f>fr</f>
        <v>1100</v>
      </c>
      <c r="H728" s="26">
        <f>F728*G728</f>
        <v>206.25</v>
      </c>
      <c r="I728" s="7" t="s">
        <v>67</v>
      </c>
      <c r="J728" s="145" t="s">
        <v>250</v>
      </c>
      <c r="K728" s="29">
        <f>$K$553*J742</f>
        <v>10.199999999999999</v>
      </c>
      <c r="L728" s="28">
        <f>diesel</f>
        <v>177.6</v>
      </c>
      <c r="M728" s="26">
        <f>K728*L728</f>
        <v>1811.5199999999998</v>
      </c>
      <c r="N728" s="8" t="s">
        <v>655</v>
      </c>
      <c r="O728" s="66" t="s">
        <v>101</v>
      </c>
      <c r="P728" s="29">
        <f>$P$553*J742</f>
        <v>0.75</v>
      </c>
      <c r="Q728" s="28">
        <f>compressor</f>
        <v>270.39999999999998</v>
      </c>
      <c r="R728" s="26">
        <f>P728*Q728</f>
        <v>202.79999999999998</v>
      </c>
    </row>
    <row r="729" spans="1:18">
      <c r="A729" s="2"/>
      <c r="B729" s="714"/>
      <c r="C729" s="6"/>
      <c r="D729" s="4" t="s">
        <v>89</v>
      </c>
      <c r="E729" s="66" t="s">
        <v>81</v>
      </c>
      <c r="F729" s="29">
        <f>$F$354*J742</f>
        <v>0.28125</v>
      </c>
      <c r="G729" s="26">
        <f>dr</f>
        <v>1100</v>
      </c>
      <c r="H729" s="26">
        <f>F729*G729</f>
        <v>309.375</v>
      </c>
      <c r="I729" s="7" t="s">
        <v>649</v>
      </c>
      <c r="J729" s="145" t="s">
        <v>12</v>
      </c>
      <c r="K729" s="29"/>
      <c r="L729" s="28"/>
      <c r="M729" s="154">
        <v>70</v>
      </c>
      <c r="N729" s="8" t="s">
        <v>656</v>
      </c>
      <c r="O729" s="66" t="s">
        <v>101</v>
      </c>
      <c r="P729" s="29">
        <f>$P$554*J742</f>
        <v>0.75</v>
      </c>
      <c r="Q729" s="216">
        <f>jack_hammer</f>
        <v>162.24</v>
      </c>
      <c r="R729" s="26">
        <f>P729*Q729</f>
        <v>121.68</v>
      </c>
    </row>
    <row r="730" spans="1:18">
      <c r="A730" s="2"/>
      <c r="B730" s="126"/>
      <c r="C730" s="6"/>
      <c r="D730" s="4" t="s">
        <v>462</v>
      </c>
      <c r="E730" s="66" t="s">
        <v>81</v>
      </c>
      <c r="F730" s="29">
        <f>$F$355*J742</f>
        <v>0.44999999999999996</v>
      </c>
      <c r="G730" s="26">
        <f>drh</f>
        <v>750</v>
      </c>
      <c r="H730" s="26">
        <f>F730*G730</f>
        <v>337.49999999999994</v>
      </c>
      <c r="I730" s="7" t="s">
        <v>494</v>
      </c>
      <c r="J730" s="145" t="s">
        <v>45</v>
      </c>
      <c r="K730" s="29">
        <f>$K$555*J742</f>
        <v>0.36</v>
      </c>
      <c r="L730" s="28">
        <f>Drillbit_32</f>
        <v>3709.37</v>
      </c>
      <c r="M730" s="26">
        <f t="shared" ref="M730:M736" si="39">K730*L730</f>
        <v>1335.3732</v>
      </c>
      <c r="N730" s="8" t="s">
        <v>657</v>
      </c>
      <c r="O730" s="66" t="s">
        <v>12</v>
      </c>
      <c r="P730" s="29"/>
      <c r="Q730" s="28"/>
      <c r="R730" s="154">
        <v>120</v>
      </c>
    </row>
    <row r="731" spans="1:18">
      <c r="A731" s="2"/>
      <c r="B731" s="126"/>
      <c r="C731" s="6"/>
      <c r="D731" s="4"/>
      <c r="E731" s="66"/>
      <c r="F731" s="29"/>
      <c r="G731" s="26"/>
      <c r="H731" s="26"/>
      <c r="I731" s="7" t="s">
        <v>702</v>
      </c>
      <c r="J731" s="145" t="s">
        <v>47</v>
      </c>
      <c r="K731" s="29">
        <f>J742</f>
        <v>6</v>
      </c>
      <c r="L731" s="28">
        <f>rockbolt_32</f>
        <v>812.17</v>
      </c>
      <c r="M731" s="26">
        <f t="shared" si="39"/>
        <v>4873.0199999999995</v>
      </c>
      <c r="N731" s="8" t="s">
        <v>658</v>
      </c>
      <c r="O731" s="66" t="s">
        <v>12</v>
      </c>
      <c r="P731" s="29"/>
      <c r="Q731" s="28"/>
      <c r="R731" s="154">
        <f>10%*R730</f>
        <v>12</v>
      </c>
    </row>
    <row r="732" spans="1:18">
      <c r="A732" s="2"/>
      <c r="B732" s="126"/>
      <c r="C732" s="6"/>
      <c r="D732" s="4"/>
      <c r="E732" s="66"/>
      <c r="F732" s="29"/>
      <c r="G732" s="26"/>
      <c r="H732" s="26"/>
      <c r="I732" s="7" t="s">
        <v>650</v>
      </c>
      <c r="J732" s="145" t="s">
        <v>45</v>
      </c>
      <c r="K732" s="29">
        <v>1</v>
      </c>
      <c r="L732" s="154">
        <v>40</v>
      </c>
      <c r="M732" s="26">
        <f t="shared" si="39"/>
        <v>40</v>
      </c>
      <c r="N732" s="8" t="s">
        <v>659</v>
      </c>
      <c r="O732" s="66" t="s">
        <v>101</v>
      </c>
      <c r="P732" s="29">
        <f>$P$557*J742</f>
        <v>0.75</v>
      </c>
      <c r="Q732" s="28">
        <f>grout_pump</f>
        <v>540.79999999999995</v>
      </c>
      <c r="R732" s="26">
        <f>P732*Q732</f>
        <v>405.59999999999997</v>
      </c>
    </row>
    <row r="733" spans="1:18">
      <c r="A733" s="2"/>
      <c r="B733" s="126"/>
      <c r="C733" s="6"/>
      <c r="D733" s="4"/>
      <c r="E733" s="66"/>
      <c r="F733" s="29"/>
      <c r="G733" s="26"/>
      <c r="H733" s="26"/>
      <c r="I733" s="7" t="s">
        <v>651</v>
      </c>
      <c r="J733" s="145" t="s">
        <v>45</v>
      </c>
      <c r="K733" s="29">
        <v>1</v>
      </c>
      <c r="L733" s="28">
        <f>bearing_plate</f>
        <v>1434.19</v>
      </c>
      <c r="M733" s="26">
        <f t="shared" si="39"/>
        <v>1434.19</v>
      </c>
      <c r="N733" s="8" t="s">
        <v>660</v>
      </c>
      <c r="O733" s="66" t="s">
        <v>101</v>
      </c>
      <c r="P733" s="29">
        <f>$P$558*J742</f>
        <v>0.36</v>
      </c>
      <c r="Q733" s="28">
        <f>fan</f>
        <v>260.67</v>
      </c>
      <c r="R733" s="26">
        <f>P733*Q733</f>
        <v>93.841200000000001</v>
      </c>
    </row>
    <row r="734" spans="1:18">
      <c r="A734" s="2"/>
      <c r="B734" s="126"/>
      <c r="C734" s="6"/>
      <c r="D734" s="4"/>
      <c r="E734" s="66"/>
      <c r="F734" s="29"/>
      <c r="G734" s="26"/>
      <c r="H734" s="26"/>
      <c r="I734" s="7" t="s">
        <v>31</v>
      </c>
      <c r="J734" s="145" t="s">
        <v>28</v>
      </c>
      <c r="K734" s="29">
        <f>((PI()/4*((0.038)^2-(0.032)^2)*J742)*1440)*2</f>
        <v>5.7001057106733199</v>
      </c>
      <c r="L734" s="28">
        <f>cement/1000</f>
        <v>24.049689999999998</v>
      </c>
      <c r="M734" s="26">
        <f t="shared" si="39"/>
        <v>137.08577530892302</v>
      </c>
      <c r="N734" s="8" t="s">
        <v>661</v>
      </c>
      <c r="O734" s="66" t="s">
        <v>12</v>
      </c>
      <c r="P734" s="29"/>
      <c r="Q734" s="28"/>
      <c r="R734" s="154">
        <v>15</v>
      </c>
    </row>
    <row r="735" spans="1:18">
      <c r="A735" s="2"/>
      <c r="B735" s="126"/>
      <c r="C735" s="6"/>
      <c r="D735" s="4"/>
      <c r="E735" s="66"/>
      <c r="F735" s="29"/>
      <c r="G735" s="26"/>
      <c r="H735" s="26"/>
      <c r="I735" s="7" t="s">
        <v>652</v>
      </c>
      <c r="J735" s="145" t="s">
        <v>28</v>
      </c>
      <c r="K735" s="29">
        <f>0.005%*K734</f>
        <v>2.8500528553366601E-4</v>
      </c>
      <c r="L735" s="154">
        <v>500</v>
      </c>
      <c r="M735" s="26">
        <f t="shared" si="39"/>
        <v>0.142502642766833</v>
      </c>
      <c r="N735" s="8"/>
      <c r="O735" s="66"/>
      <c r="P735" s="29"/>
      <c r="Q735" s="28"/>
      <c r="R735" s="26"/>
    </row>
    <row r="736" spans="1:18">
      <c r="A736" s="2"/>
      <c r="B736" s="126"/>
      <c r="C736" s="6"/>
      <c r="D736" s="4"/>
      <c r="E736" s="66"/>
      <c r="F736" s="29"/>
      <c r="G736" s="26"/>
      <c r="H736" s="26"/>
      <c r="I736" s="7" t="s">
        <v>653</v>
      </c>
      <c r="J736" s="145" t="s">
        <v>11</v>
      </c>
      <c r="K736" s="29">
        <f>K734/1500</f>
        <v>3.8000704737822131E-3</v>
      </c>
      <c r="L736" s="28">
        <f>sand</f>
        <v>1050</v>
      </c>
      <c r="M736" s="26">
        <f t="shared" si="39"/>
        <v>3.990073997471324</v>
      </c>
      <c r="N736" s="8"/>
      <c r="O736" s="66"/>
      <c r="P736" s="29"/>
      <c r="Q736" s="28"/>
      <c r="R736" s="26"/>
    </row>
    <row r="737" spans="1:18">
      <c r="A737" s="2"/>
      <c r="B737" s="126"/>
      <c r="C737" s="6"/>
      <c r="D737" s="4"/>
      <c r="E737" s="66"/>
      <c r="F737" s="29"/>
      <c r="G737" s="26"/>
      <c r="H737" s="26"/>
      <c r="I737" s="7"/>
      <c r="J737" s="145"/>
      <c r="K737" s="29"/>
      <c r="L737" s="28"/>
      <c r="M737" s="26"/>
      <c r="N737" s="8"/>
      <c r="O737" s="66"/>
      <c r="P737" s="29"/>
      <c r="Q737" s="28"/>
      <c r="R737" s="26"/>
    </row>
    <row r="738" spans="1:18">
      <c r="A738" s="2"/>
      <c r="B738" s="5"/>
      <c r="C738" s="6"/>
      <c r="D738" s="4"/>
      <c r="E738" s="9"/>
      <c r="F738" s="30"/>
      <c r="G738" s="27"/>
      <c r="H738" s="27"/>
      <c r="I738" s="9"/>
      <c r="J738" s="10"/>
      <c r="K738" s="30"/>
      <c r="L738" s="28"/>
      <c r="M738" s="28"/>
      <c r="N738" s="8"/>
      <c r="O738" s="6"/>
      <c r="P738" s="30"/>
      <c r="Q738" s="28"/>
      <c r="R738" s="28"/>
    </row>
    <row r="739" spans="1:18">
      <c r="A739" s="2"/>
      <c r="B739" s="11"/>
      <c r="C739" s="6"/>
      <c r="D739" s="12"/>
      <c r="E739" s="59"/>
      <c r="F739" s="13"/>
      <c r="G739" s="13" t="s">
        <v>20</v>
      </c>
      <c r="H739" s="25">
        <f>SUM(H727:H738)</f>
        <v>853.125</v>
      </c>
      <c r="I739" s="703"/>
      <c r="J739" s="703"/>
      <c r="K739" s="14"/>
      <c r="L739" s="13" t="s">
        <v>21</v>
      </c>
      <c r="M739" s="25">
        <f>SUM(M727:M738)</f>
        <v>9705.3215519491587</v>
      </c>
      <c r="N739" s="3"/>
      <c r="O739" s="14"/>
      <c r="P739" s="14"/>
      <c r="Q739" s="13" t="s">
        <v>22</v>
      </c>
      <c r="R739" s="25">
        <f>SUM(R727:R738)</f>
        <v>970.92119999999989</v>
      </c>
    </row>
    <row r="740" spans="1:18">
      <c r="A740" s="2"/>
      <c r="B740" s="16" t="s">
        <v>13</v>
      </c>
      <c r="C740" s="14"/>
      <c r="D740" s="14"/>
      <c r="E740" s="14"/>
      <c r="F740" s="14"/>
      <c r="G740" s="13"/>
      <c r="H740" s="35">
        <f>M739+R739+H739</f>
        <v>11529.367751949159</v>
      </c>
      <c r="I740" s="17"/>
      <c r="J740" s="14"/>
      <c r="K740" s="14"/>
      <c r="L740" s="13"/>
      <c r="M740" s="15"/>
      <c r="N740" s="14"/>
      <c r="O740" s="14"/>
      <c r="P740" s="14"/>
      <c r="Q740" s="14"/>
      <c r="R740" s="17"/>
    </row>
    <row r="741" spans="1:18">
      <c r="A741" s="2"/>
      <c r="B741" s="11" t="s">
        <v>25</v>
      </c>
      <c r="C741" s="4" t="s">
        <v>647</v>
      </c>
      <c r="D741" s="4"/>
      <c r="E741" s="4"/>
      <c r="F741" s="4"/>
      <c r="G741" s="18"/>
      <c r="H741" s="36">
        <f>20%*(H739)</f>
        <v>170.625</v>
      </c>
      <c r="I741" s="20"/>
      <c r="J741" s="4" t="s">
        <v>26</v>
      </c>
      <c r="K741" s="4"/>
      <c r="L741" s="18"/>
      <c r="M741" s="19"/>
      <c r="N741" s="4"/>
      <c r="O741" s="4"/>
      <c r="P741" s="4"/>
      <c r="Q741" s="4"/>
      <c r="R741" s="20"/>
    </row>
    <row r="742" spans="1:18">
      <c r="A742" s="23"/>
      <c r="B742" s="11" t="s">
        <v>14</v>
      </c>
      <c r="C742" s="4"/>
      <c r="D742" s="4"/>
      <c r="E742" s="4"/>
      <c r="F742" s="4"/>
      <c r="G742" s="18"/>
      <c r="H742" s="36">
        <f>SUM(H740:H741)</f>
        <v>11699.992751949159</v>
      </c>
      <c r="I742" s="20"/>
      <c r="J742" s="750">
        <v>6</v>
      </c>
      <c r="K742" s="751"/>
      <c r="L742" s="751"/>
      <c r="M742" s="751"/>
      <c r="N742" s="751"/>
      <c r="O742" s="751"/>
      <c r="P742" s="751"/>
      <c r="Q742" s="751"/>
      <c r="R742" s="752"/>
    </row>
    <row r="743" spans="1:18">
      <c r="A743" s="23"/>
      <c r="B743" s="11" t="s">
        <v>24</v>
      </c>
      <c r="C743" s="4"/>
      <c r="D743" s="4"/>
      <c r="E743" s="4"/>
      <c r="F743" s="4"/>
      <c r="G743" s="18"/>
      <c r="H743" s="36">
        <f>H742*15%</f>
        <v>1754.9989127923739</v>
      </c>
      <c r="I743" s="20"/>
      <c r="J743" s="753"/>
      <c r="K743" s="754"/>
      <c r="L743" s="754"/>
      <c r="M743" s="754"/>
      <c r="N743" s="754"/>
      <c r="O743" s="754"/>
      <c r="P743" s="754"/>
      <c r="Q743" s="754"/>
      <c r="R743" s="755"/>
    </row>
    <row r="744" spans="1:18">
      <c r="A744" s="23"/>
      <c r="B744" s="11" t="s">
        <v>15</v>
      </c>
      <c r="C744" s="4"/>
      <c r="D744" s="4"/>
      <c r="E744" s="4"/>
      <c r="F744" s="4"/>
      <c r="G744" s="21" t="s">
        <v>16</v>
      </c>
      <c r="H744" s="37">
        <f>H743+H742</f>
        <v>13454.991664741534</v>
      </c>
      <c r="I744" s="38" t="str">
        <f>CONCATENATE("per ",C727, C728)</f>
        <v>per nos.</v>
      </c>
      <c r="J744" s="753"/>
      <c r="K744" s="754"/>
      <c r="L744" s="754"/>
      <c r="M744" s="754"/>
      <c r="N744" s="754"/>
      <c r="O744" s="754"/>
      <c r="P744" s="754"/>
      <c r="Q744" s="754"/>
      <c r="R744" s="755"/>
    </row>
    <row r="745" spans="1:18">
      <c r="A745" s="23"/>
      <c r="B745" s="11" t="s">
        <v>18</v>
      </c>
      <c r="C745" s="4" t="s">
        <v>19</v>
      </c>
      <c r="D745" s="4"/>
      <c r="E745" s="4"/>
      <c r="F745" s="4"/>
      <c r="G745" s="21" t="s">
        <v>16</v>
      </c>
      <c r="H745" s="37">
        <f>CEILING(H744,0.5)</f>
        <v>13455</v>
      </c>
      <c r="I745" s="38" t="str">
        <f>CONCATENATE("per ",C727)</f>
        <v>per nos.</v>
      </c>
      <c r="J745" s="753"/>
      <c r="K745" s="754"/>
      <c r="L745" s="754"/>
      <c r="M745" s="754"/>
      <c r="N745" s="754"/>
      <c r="O745" s="754"/>
      <c r="P745" s="754"/>
      <c r="Q745" s="754"/>
      <c r="R745" s="755"/>
    </row>
    <row r="746" spans="1:18">
      <c r="A746" s="23"/>
      <c r="B746" s="11"/>
      <c r="C746" s="4"/>
      <c r="D746" s="4"/>
      <c r="E746" s="4"/>
      <c r="F746" s="4"/>
      <c r="G746" s="24" t="s">
        <v>17</v>
      </c>
      <c r="H746" s="37">
        <f>H745/exr</f>
        <v>103.5</v>
      </c>
      <c r="I746" s="38" t="str">
        <f>CONCATENATE("per ",C727)</f>
        <v>per nos.</v>
      </c>
      <c r="J746" s="756"/>
      <c r="K746" s="757"/>
      <c r="L746" s="757"/>
      <c r="M746" s="757"/>
      <c r="N746" s="757"/>
      <c r="O746" s="757"/>
      <c r="P746" s="757"/>
      <c r="Q746" s="757"/>
      <c r="R746" s="758"/>
    </row>
    <row r="747" spans="1:18">
      <c r="A747" s="39"/>
      <c r="B747" s="40"/>
      <c r="C747" s="41"/>
      <c r="D747" s="41"/>
      <c r="E747" s="41"/>
      <c r="F747" s="41"/>
      <c r="G747" s="149" t="s">
        <v>460</v>
      </c>
      <c r="H747" s="150">
        <f>CEILING(SUM(M739,R739)/H740,0.0025)</f>
        <v>0.92749999999999999</v>
      </c>
      <c r="I747" s="42"/>
      <c r="J747" s="43"/>
      <c r="K747" s="43"/>
      <c r="L747" s="43"/>
      <c r="M747" s="43"/>
      <c r="N747" s="43"/>
      <c r="O747" s="43"/>
      <c r="P747" s="43"/>
      <c r="Q747" s="43"/>
      <c r="R747" s="44"/>
    </row>
    <row r="748" spans="1:18" s="210" customFormat="1"/>
    <row r="749" spans="1:18">
      <c r="A749" s="693" t="s">
        <v>0</v>
      </c>
      <c r="B749" s="695" t="s">
        <v>1</v>
      </c>
      <c r="C749" s="695" t="s">
        <v>2</v>
      </c>
      <c r="D749" s="697" t="s">
        <v>3</v>
      </c>
      <c r="E749" s="698"/>
      <c r="F749" s="698"/>
      <c r="G749" s="698"/>
      <c r="H749" s="698"/>
      <c r="I749" s="699" t="s">
        <v>4</v>
      </c>
      <c r="J749" s="700"/>
      <c r="K749" s="700"/>
      <c r="L749" s="700"/>
      <c r="M749" s="700"/>
      <c r="N749" s="698" t="s">
        <v>5</v>
      </c>
      <c r="O749" s="698"/>
      <c r="P749" s="698"/>
      <c r="Q749" s="698"/>
      <c r="R749" s="698"/>
    </row>
    <row r="750" spans="1:18">
      <c r="A750" s="694"/>
      <c r="B750" s="759"/>
      <c r="C750" s="696"/>
      <c r="D750" s="45" t="s">
        <v>6</v>
      </c>
      <c r="E750" s="46" t="s">
        <v>2</v>
      </c>
      <c r="F750" s="46" t="s">
        <v>7</v>
      </c>
      <c r="G750" s="46" t="s">
        <v>8</v>
      </c>
      <c r="H750" s="46" t="s">
        <v>9</v>
      </c>
      <c r="I750" s="46" t="s">
        <v>10</v>
      </c>
      <c r="J750" s="46" t="s">
        <v>2</v>
      </c>
      <c r="K750" s="46" t="s">
        <v>7</v>
      </c>
      <c r="L750" s="46" t="s">
        <v>8</v>
      </c>
      <c r="M750" s="47" t="s">
        <v>9</v>
      </c>
      <c r="N750" s="46" t="s">
        <v>10</v>
      </c>
      <c r="O750" s="46" t="s">
        <v>2</v>
      </c>
      <c r="P750" s="46" t="s">
        <v>7</v>
      </c>
      <c r="Q750" s="46" t="s">
        <v>8</v>
      </c>
      <c r="R750" s="46" t="s">
        <v>9</v>
      </c>
    </row>
    <row r="751" spans="1:18">
      <c r="A751" s="33" t="s">
        <v>23</v>
      </c>
      <c r="B751" s="127"/>
      <c r="C751" s="31"/>
      <c r="D751" s="31"/>
      <c r="E751" s="31"/>
      <c r="F751" s="31"/>
      <c r="G751" s="31"/>
      <c r="H751" s="31"/>
      <c r="I751" s="31"/>
      <c r="J751" s="31"/>
      <c r="K751" s="31"/>
      <c r="L751" s="31"/>
      <c r="M751" s="31"/>
      <c r="N751" s="31"/>
      <c r="O751" s="31"/>
      <c r="P751" s="31"/>
      <c r="Q751" s="31"/>
      <c r="R751" s="32"/>
    </row>
    <row r="752" spans="1:18">
      <c r="A752" s="34">
        <f>A727+1</f>
        <v>29</v>
      </c>
      <c r="B752" s="713" t="s">
        <v>696</v>
      </c>
      <c r="C752" s="66" t="s">
        <v>11</v>
      </c>
      <c r="D752" s="4"/>
      <c r="E752" s="6"/>
      <c r="F752" s="29"/>
      <c r="G752" s="26"/>
      <c r="H752" s="26"/>
      <c r="I752" s="6"/>
      <c r="J752" s="8"/>
      <c r="K752" s="88"/>
      <c r="L752" s="28"/>
      <c r="M752" s="28"/>
      <c r="N752" s="8"/>
      <c r="O752" s="8"/>
      <c r="P752" s="88"/>
      <c r="Q752" s="28"/>
      <c r="R752" s="28"/>
    </row>
    <row r="753" spans="1:18">
      <c r="A753" s="2"/>
      <c r="B753" s="714"/>
      <c r="C753" s="124"/>
      <c r="D753" s="4" t="s">
        <v>75</v>
      </c>
      <c r="E753" s="66" t="s">
        <v>81</v>
      </c>
      <c r="F753" s="29">
        <v>0.5</v>
      </c>
      <c r="G753" s="26">
        <f>fr</f>
        <v>1100</v>
      </c>
      <c r="H753" s="26">
        <f>F753*G753</f>
        <v>550</v>
      </c>
      <c r="I753" s="7" t="s">
        <v>252</v>
      </c>
      <c r="J753" s="145" t="s">
        <v>673</v>
      </c>
      <c r="K753" s="88">
        <v>0.21</v>
      </c>
      <c r="L753" s="28">
        <f>cement</f>
        <v>24049.69</v>
      </c>
      <c r="M753" s="28">
        <f>K753*L753</f>
        <v>5050.4348999999993</v>
      </c>
      <c r="N753" s="8" t="s">
        <v>553</v>
      </c>
      <c r="O753" s="145" t="s">
        <v>101</v>
      </c>
      <c r="P753" s="88">
        <v>0</v>
      </c>
      <c r="Q753" s="28">
        <f>agitator</f>
        <v>1622.4</v>
      </c>
      <c r="R753" s="28">
        <f t="shared" ref="R753:R760" si="40">P753*Q753</f>
        <v>0</v>
      </c>
    </row>
    <row r="754" spans="1:18">
      <c r="A754" s="2"/>
      <c r="B754" s="714"/>
      <c r="C754" s="6"/>
      <c r="D754" s="4" t="s">
        <v>96</v>
      </c>
      <c r="E754" s="66" t="s">
        <v>81</v>
      </c>
      <c r="F754" s="29">
        <v>0.75</v>
      </c>
      <c r="G754" s="26">
        <f>sr</f>
        <v>1100</v>
      </c>
      <c r="H754" s="26">
        <f>F754*G754</f>
        <v>825</v>
      </c>
      <c r="I754" s="7" t="s">
        <v>253</v>
      </c>
      <c r="J754" s="145" t="s">
        <v>674</v>
      </c>
      <c r="K754" s="88">
        <v>0.5</v>
      </c>
      <c r="L754" s="28">
        <f>Agg_40</f>
        <v>2450</v>
      </c>
      <c r="M754" s="28">
        <f t="shared" ref="M754:M759" si="41">K754*L754</f>
        <v>1225</v>
      </c>
      <c r="N754" s="8" t="s">
        <v>675</v>
      </c>
      <c r="O754" s="145" t="s">
        <v>101</v>
      </c>
      <c r="P754" s="88">
        <v>0.4</v>
      </c>
      <c r="Q754" s="28">
        <f>mixer</f>
        <v>216.32</v>
      </c>
      <c r="R754" s="28">
        <f t="shared" si="40"/>
        <v>86.528000000000006</v>
      </c>
    </row>
    <row r="755" spans="1:18">
      <c r="A755" s="2"/>
      <c r="B755" s="126"/>
      <c r="C755" s="6"/>
      <c r="D755" s="4" t="s">
        <v>97</v>
      </c>
      <c r="E755" s="66" t="s">
        <v>81</v>
      </c>
      <c r="F755" s="29">
        <v>1.5</v>
      </c>
      <c r="G755" s="26">
        <f>ur</f>
        <v>850</v>
      </c>
      <c r="H755" s="26">
        <f>F755*G755</f>
        <v>1275</v>
      </c>
      <c r="I755" s="7" t="s">
        <v>258</v>
      </c>
      <c r="J755" s="145" t="s">
        <v>674</v>
      </c>
      <c r="K755" s="88">
        <v>0.22</v>
      </c>
      <c r="L755" s="28">
        <f>Agg_20</f>
        <v>2700</v>
      </c>
      <c r="M755" s="28">
        <f t="shared" si="41"/>
        <v>594</v>
      </c>
      <c r="N755" s="8" t="s">
        <v>676</v>
      </c>
      <c r="O755" s="145" t="s">
        <v>101</v>
      </c>
      <c r="P755" s="88">
        <v>0.1</v>
      </c>
      <c r="Q755" s="28">
        <f>truck</f>
        <v>486.72</v>
      </c>
      <c r="R755" s="28">
        <f t="shared" si="40"/>
        <v>48.672000000000004</v>
      </c>
    </row>
    <row r="756" spans="1:18">
      <c r="A756" s="2"/>
      <c r="B756" s="126"/>
      <c r="C756" s="6"/>
      <c r="D756" s="4" t="s">
        <v>76</v>
      </c>
      <c r="E756" s="66" t="s">
        <v>81</v>
      </c>
      <c r="F756" s="29">
        <f>P755/8</f>
        <v>1.2500000000000001E-2</v>
      </c>
      <c r="G756" s="26">
        <f>drv</f>
        <v>1100</v>
      </c>
      <c r="H756" s="26">
        <f>F756*G756</f>
        <v>13.75</v>
      </c>
      <c r="I756" s="7" t="s">
        <v>259</v>
      </c>
      <c r="J756" s="145" t="s">
        <v>674</v>
      </c>
      <c r="K756" s="88">
        <v>0.11</v>
      </c>
      <c r="L756" s="28">
        <f>Agg_10</f>
        <v>2950</v>
      </c>
      <c r="M756" s="28">
        <f t="shared" si="41"/>
        <v>324.5</v>
      </c>
      <c r="N756" s="8" t="s">
        <v>677</v>
      </c>
      <c r="O756" s="145" t="s">
        <v>101</v>
      </c>
      <c r="P756" s="88">
        <v>0.4</v>
      </c>
      <c r="Q756" s="28">
        <f>concrete_pump</f>
        <v>1081.5999999999999</v>
      </c>
      <c r="R756" s="28">
        <f t="shared" si="40"/>
        <v>432.64</v>
      </c>
    </row>
    <row r="757" spans="1:18">
      <c r="A757" s="2"/>
      <c r="B757" s="126"/>
      <c r="C757" s="6"/>
      <c r="D757" s="4" t="s">
        <v>86</v>
      </c>
      <c r="E757" s="66" t="s">
        <v>81</v>
      </c>
      <c r="F757" s="29">
        <f>F756</f>
        <v>1.2500000000000001E-2</v>
      </c>
      <c r="G757" s="26">
        <f>hr</f>
        <v>750</v>
      </c>
      <c r="H757" s="26">
        <f>F757*G757</f>
        <v>9.375</v>
      </c>
      <c r="I757" s="7" t="s">
        <v>254</v>
      </c>
      <c r="J757" s="145" t="s">
        <v>674</v>
      </c>
      <c r="K757" s="88">
        <v>0.44</v>
      </c>
      <c r="L757" s="28">
        <f>sand</f>
        <v>1050</v>
      </c>
      <c r="M757" s="28">
        <f t="shared" si="41"/>
        <v>462</v>
      </c>
      <c r="N757" s="8" t="s">
        <v>678</v>
      </c>
      <c r="O757" s="145" t="s">
        <v>101</v>
      </c>
      <c r="P757" s="88">
        <v>0.4</v>
      </c>
      <c r="Q757" s="28">
        <f>vibrator_concrete</f>
        <v>108.16</v>
      </c>
      <c r="R757" s="28">
        <f t="shared" si="40"/>
        <v>43.264000000000003</v>
      </c>
    </row>
    <row r="758" spans="1:18">
      <c r="A758" s="2"/>
      <c r="B758" s="126"/>
      <c r="C758" s="6"/>
      <c r="D758" s="4"/>
      <c r="E758" s="66"/>
      <c r="F758" s="29"/>
      <c r="G758" s="26"/>
      <c r="H758" s="26"/>
      <c r="I758" s="7" t="s">
        <v>70</v>
      </c>
      <c r="J758" s="145" t="s">
        <v>250</v>
      </c>
      <c r="K758" s="88">
        <v>0.1</v>
      </c>
      <c r="L758" s="28">
        <f>petrol</f>
        <v>188.6</v>
      </c>
      <c r="M758" s="28">
        <f t="shared" si="41"/>
        <v>18.86</v>
      </c>
      <c r="N758" s="8" t="s">
        <v>398</v>
      </c>
      <c r="O758" s="145" t="s">
        <v>101</v>
      </c>
      <c r="P758" s="88">
        <v>0.4</v>
      </c>
      <c r="Q758" s="28">
        <f>compressor</f>
        <v>270.39999999999998</v>
      </c>
      <c r="R758" s="28">
        <f t="shared" si="40"/>
        <v>108.16</v>
      </c>
    </row>
    <row r="759" spans="1:18">
      <c r="A759" s="2"/>
      <c r="B759" s="126"/>
      <c r="C759" s="6"/>
      <c r="D759" s="4"/>
      <c r="E759" s="66"/>
      <c r="F759" s="29"/>
      <c r="G759" s="26"/>
      <c r="H759" s="26"/>
      <c r="I759" s="7" t="s">
        <v>67</v>
      </c>
      <c r="J759" s="145" t="s">
        <v>250</v>
      </c>
      <c r="K759" s="88">
        <v>3</v>
      </c>
      <c r="L759" s="28">
        <f>diesel</f>
        <v>177.6</v>
      </c>
      <c r="M759" s="28">
        <f t="shared" si="41"/>
        <v>532.79999999999995</v>
      </c>
      <c r="N759" s="8" t="s">
        <v>679</v>
      </c>
      <c r="O759" s="145" t="s">
        <v>101</v>
      </c>
      <c r="P759" s="88">
        <v>0.4</v>
      </c>
      <c r="Q759" s="28">
        <v>50</v>
      </c>
      <c r="R759" s="28">
        <f t="shared" si="40"/>
        <v>20</v>
      </c>
    </row>
    <row r="760" spans="1:18">
      <c r="A760" s="2"/>
      <c r="B760" s="126"/>
      <c r="C760" s="6"/>
      <c r="D760" s="4"/>
      <c r="E760" s="66"/>
      <c r="F760" s="29"/>
      <c r="G760" s="26"/>
      <c r="H760" s="26"/>
      <c r="I760" s="7"/>
      <c r="J760" s="145"/>
      <c r="K760" s="88"/>
      <c r="L760" s="28"/>
      <c r="M760" s="28"/>
      <c r="N760" s="8" t="s">
        <v>680</v>
      </c>
      <c r="O760" s="145" t="s">
        <v>101</v>
      </c>
      <c r="P760" s="88">
        <v>0.4</v>
      </c>
      <c r="Q760" s="28">
        <v>50</v>
      </c>
      <c r="R760" s="28">
        <f t="shared" si="40"/>
        <v>20</v>
      </c>
    </row>
    <row r="761" spans="1:18">
      <c r="A761" s="2"/>
      <c r="B761" s="126"/>
      <c r="C761" s="6"/>
      <c r="D761" s="4"/>
      <c r="E761" s="66"/>
      <c r="F761" s="29"/>
      <c r="G761" s="26"/>
      <c r="H761" s="26"/>
      <c r="I761" s="7"/>
      <c r="J761" s="145"/>
      <c r="K761" s="88"/>
      <c r="L761" s="28"/>
      <c r="M761" s="28"/>
      <c r="N761" s="8"/>
      <c r="O761" s="145"/>
      <c r="P761" s="88"/>
      <c r="Q761" s="28"/>
      <c r="R761" s="28"/>
    </row>
    <row r="762" spans="1:18">
      <c r="A762" s="2"/>
      <c r="B762" s="126"/>
      <c r="C762" s="6"/>
      <c r="D762" s="4"/>
      <c r="E762" s="66"/>
      <c r="F762" s="29"/>
      <c r="G762" s="26"/>
      <c r="H762" s="26"/>
      <c r="I762" s="7"/>
      <c r="J762" s="145"/>
      <c r="K762" s="88"/>
      <c r="L762" s="28"/>
      <c r="M762" s="28"/>
      <c r="N762" s="8"/>
      <c r="O762" s="145"/>
      <c r="P762" s="88"/>
      <c r="Q762" s="28"/>
      <c r="R762" s="28"/>
    </row>
    <row r="763" spans="1:18">
      <c r="A763" s="2"/>
      <c r="B763" s="5"/>
      <c r="C763" s="6"/>
      <c r="D763" s="4"/>
      <c r="E763" s="9"/>
      <c r="F763" s="30"/>
      <c r="G763" s="27"/>
      <c r="H763" s="27"/>
      <c r="I763" s="9"/>
      <c r="J763" s="10"/>
      <c r="K763" s="91"/>
      <c r="L763" s="28"/>
      <c r="M763" s="28"/>
      <c r="N763" s="8"/>
      <c r="O763" s="8"/>
      <c r="P763" s="91"/>
      <c r="Q763" s="28"/>
      <c r="R763" s="28"/>
    </row>
    <row r="764" spans="1:18">
      <c r="A764" s="2"/>
      <c r="B764" s="11"/>
      <c r="C764" s="6"/>
      <c r="D764" s="12"/>
      <c r="E764" s="59"/>
      <c r="F764" s="13"/>
      <c r="G764" s="13" t="s">
        <v>20</v>
      </c>
      <c r="H764" s="25">
        <f>SUM(H752:H763)</f>
        <v>2673.125</v>
      </c>
      <c r="I764" s="703"/>
      <c r="J764" s="703"/>
      <c r="K764" s="14"/>
      <c r="L764" s="13" t="s">
        <v>21</v>
      </c>
      <c r="M764" s="25">
        <f>SUM(M752:M763)</f>
        <v>8207.5948999999982</v>
      </c>
      <c r="N764" s="3"/>
      <c r="O764" s="14"/>
      <c r="P764" s="14"/>
      <c r="Q764" s="13" t="s">
        <v>22</v>
      </c>
      <c r="R764" s="25">
        <f>SUM(R752:R763)</f>
        <v>759.26400000000001</v>
      </c>
    </row>
    <row r="765" spans="1:18">
      <c r="A765" s="2"/>
      <c r="B765" s="16" t="s">
        <v>13</v>
      </c>
      <c r="C765" s="14"/>
      <c r="D765" s="14"/>
      <c r="E765" s="14"/>
      <c r="F765" s="14"/>
      <c r="G765" s="13"/>
      <c r="H765" s="35">
        <f>M764+R764+H764</f>
        <v>11639.983899999997</v>
      </c>
      <c r="I765" s="17"/>
      <c r="J765" s="14"/>
      <c r="K765" s="14"/>
      <c r="L765" s="13"/>
      <c r="M765" s="15"/>
      <c r="N765" s="14"/>
      <c r="O765" s="14"/>
      <c r="P765" s="14"/>
      <c r="Q765" s="14"/>
      <c r="R765" s="17"/>
    </row>
    <row r="766" spans="1:18">
      <c r="A766" s="2"/>
      <c r="B766" s="11" t="s">
        <v>25</v>
      </c>
      <c r="C766" s="4" t="s">
        <v>647</v>
      </c>
      <c r="D766" s="4"/>
      <c r="E766" s="4"/>
      <c r="F766" s="4"/>
      <c r="G766" s="18"/>
      <c r="H766" s="36">
        <f>20%*(H764)</f>
        <v>534.625</v>
      </c>
      <c r="I766" s="20"/>
      <c r="J766" s="4" t="s">
        <v>26</v>
      </c>
      <c r="K766" s="4"/>
      <c r="L766" s="18"/>
      <c r="M766" s="19"/>
      <c r="N766" s="4"/>
      <c r="O766" s="4"/>
      <c r="P766" s="4"/>
      <c r="Q766" s="4"/>
      <c r="R766" s="20"/>
    </row>
    <row r="767" spans="1:18">
      <c r="A767" s="23"/>
      <c r="B767" s="11" t="s">
        <v>14</v>
      </c>
      <c r="C767" s="4"/>
      <c r="D767" s="4"/>
      <c r="E767" s="4"/>
      <c r="F767" s="4"/>
      <c r="G767" s="18"/>
      <c r="H767" s="36">
        <f>SUM(H765:H766)</f>
        <v>12174.608899999997</v>
      </c>
      <c r="I767" s="20"/>
      <c r="J767" s="750"/>
      <c r="K767" s="751"/>
      <c r="L767" s="751"/>
      <c r="M767" s="751"/>
      <c r="N767" s="751"/>
      <c r="O767" s="751"/>
      <c r="P767" s="751"/>
      <c r="Q767" s="751"/>
      <c r="R767" s="752"/>
    </row>
    <row r="768" spans="1:18">
      <c r="A768" s="23"/>
      <c r="B768" s="11" t="s">
        <v>24</v>
      </c>
      <c r="C768" s="4"/>
      <c r="D768" s="4"/>
      <c r="E768" s="4"/>
      <c r="F768" s="4"/>
      <c r="G768" s="18"/>
      <c r="H768" s="36">
        <f>H767*15%</f>
        <v>1826.1913349999995</v>
      </c>
      <c r="I768" s="20"/>
      <c r="J768" s="753"/>
      <c r="K768" s="754"/>
      <c r="L768" s="754"/>
      <c r="M768" s="754"/>
      <c r="N768" s="754"/>
      <c r="O768" s="754"/>
      <c r="P768" s="754"/>
      <c r="Q768" s="754"/>
      <c r="R768" s="755"/>
    </row>
    <row r="769" spans="1:18">
      <c r="A769" s="23"/>
      <c r="B769" s="11" t="s">
        <v>15</v>
      </c>
      <c r="C769" s="4"/>
      <c r="D769" s="4"/>
      <c r="E769" s="4"/>
      <c r="F769" s="4"/>
      <c r="G769" s="21" t="s">
        <v>16</v>
      </c>
      <c r="H769" s="37">
        <f>H768+H767</f>
        <v>14000.800234999997</v>
      </c>
      <c r="I769" s="38" t="str">
        <f>CONCATENATE("per ",C752, C753)</f>
        <v>per cum</v>
      </c>
      <c r="J769" s="753"/>
      <c r="K769" s="754"/>
      <c r="L769" s="754"/>
      <c r="M769" s="754"/>
      <c r="N769" s="754"/>
      <c r="O769" s="754"/>
      <c r="P769" s="754"/>
      <c r="Q769" s="754"/>
      <c r="R769" s="755"/>
    </row>
    <row r="770" spans="1:18">
      <c r="A770" s="23"/>
      <c r="B770" s="11" t="s">
        <v>18</v>
      </c>
      <c r="C770" s="4" t="s">
        <v>19</v>
      </c>
      <c r="D770" s="4"/>
      <c r="E770" s="4"/>
      <c r="F770" s="4"/>
      <c r="G770" s="21" t="s">
        <v>16</v>
      </c>
      <c r="H770" s="37">
        <f>CEILING(H769,0.5)</f>
        <v>14001</v>
      </c>
      <c r="I770" s="38" t="str">
        <f>CONCATENATE("per ",C752)</f>
        <v>per cum</v>
      </c>
      <c r="J770" s="753"/>
      <c r="K770" s="754"/>
      <c r="L770" s="754"/>
      <c r="M770" s="754"/>
      <c r="N770" s="754"/>
      <c r="O770" s="754"/>
      <c r="P770" s="754"/>
      <c r="Q770" s="754"/>
      <c r="R770" s="755"/>
    </row>
    <row r="771" spans="1:18">
      <c r="A771" s="23"/>
      <c r="B771" s="11"/>
      <c r="C771" s="4"/>
      <c r="D771" s="4"/>
      <c r="E771" s="4"/>
      <c r="F771" s="4"/>
      <c r="G771" s="24" t="s">
        <v>17</v>
      </c>
      <c r="H771" s="37">
        <f>H770/exr</f>
        <v>107.7</v>
      </c>
      <c r="I771" s="38" t="str">
        <f>CONCATENATE("per ",C752)</f>
        <v>per cum</v>
      </c>
      <c r="J771" s="756"/>
      <c r="K771" s="757"/>
      <c r="L771" s="757"/>
      <c r="M771" s="757"/>
      <c r="N771" s="757"/>
      <c r="O771" s="757"/>
      <c r="P771" s="757"/>
      <c r="Q771" s="757"/>
      <c r="R771" s="758"/>
    </row>
    <row r="772" spans="1:18">
      <c r="A772" s="39"/>
      <c r="B772" s="40"/>
      <c r="C772" s="41"/>
      <c r="D772" s="41"/>
      <c r="E772" s="41"/>
      <c r="F772" s="41"/>
      <c r="G772" s="149" t="s">
        <v>460</v>
      </c>
      <c r="H772" s="150">
        <f>CEILING(SUM(M764,R764)/H765,0.0025)</f>
        <v>0.77249999999999996</v>
      </c>
      <c r="I772" s="42"/>
      <c r="J772" s="43"/>
      <c r="K772" s="43"/>
      <c r="L772" s="43"/>
      <c r="M772" s="43"/>
      <c r="N772" s="43"/>
      <c r="O772" s="43"/>
      <c r="P772" s="43"/>
      <c r="Q772" s="43"/>
      <c r="R772" s="44"/>
    </row>
    <row r="774" spans="1:18">
      <c r="A774" s="693" t="s">
        <v>0</v>
      </c>
      <c r="B774" s="695" t="s">
        <v>1</v>
      </c>
      <c r="C774" s="695" t="s">
        <v>2</v>
      </c>
      <c r="D774" s="697" t="s">
        <v>3</v>
      </c>
      <c r="E774" s="698"/>
      <c r="F774" s="698"/>
      <c r="G774" s="698"/>
      <c r="H774" s="698"/>
      <c r="I774" s="699" t="s">
        <v>4</v>
      </c>
      <c r="J774" s="700"/>
      <c r="K774" s="700"/>
      <c r="L774" s="700"/>
      <c r="M774" s="700"/>
      <c r="N774" s="698" t="s">
        <v>5</v>
      </c>
      <c r="O774" s="698"/>
      <c r="P774" s="698"/>
      <c r="Q774" s="698"/>
      <c r="R774" s="698"/>
    </row>
    <row r="775" spans="1:18">
      <c r="A775" s="694"/>
      <c r="B775" s="759"/>
      <c r="C775" s="696"/>
      <c r="D775" s="45" t="s">
        <v>6</v>
      </c>
      <c r="E775" s="46" t="s">
        <v>2</v>
      </c>
      <c r="F775" s="46" t="s">
        <v>7</v>
      </c>
      <c r="G775" s="46" t="s">
        <v>8</v>
      </c>
      <c r="H775" s="46" t="s">
        <v>9</v>
      </c>
      <c r="I775" s="46" t="s">
        <v>10</v>
      </c>
      <c r="J775" s="46" t="s">
        <v>2</v>
      </c>
      <c r="K775" s="46" t="s">
        <v>7</v>
      </c>
      <c r="L775" s="46" t="s">
        <v>8</v>
      </c>
      <c r="M775" s="47" t="s">
        <v>9</v>
      </c>
      <c r="N775" s="46" t="s">
        <v>10</v>
      </c>
      <c r="O775" s="46" t="s">
        <v>2</v>
      </c>
      <c r="P775" s="46" t="s">
        <v>7</v>
      </c>
      <c r="Q775" s="46" t="s">
        <v>8</v>
      </c>
      <c r="R775" s="46" t="s">
        <v>9</v>
      </c>
    </row>
    <row r="776" spans="1:18">
      <c r="A776" s="33" t="s">
        <v>23</v>
      </c>
      <c r="B776" s="127"/>
      <c r="C776" s="31"/>
      <c r="D776" s="31"/>
      <c r="E776" s="31"/>
      <c r="F776" s="31"/>
      <c r="G776" s="31"/>
      <c r="H776" s="31"/>
      <c r="I776" s="31"/>
      <c r="J776" s="31"/>
      <c r="K776" s="31"/>
      <c r="L776" s="31"/>
      <c r="M776" s="31"/>
      <c r="N776" s="31"/>
      <c r="O776" s="31"/>
      <c r="P776" s="31"/>
      <c r="Q776" s="31"/>
      <c r="R776" s="32"/>
    </row>
    <row r="777" spans="1:18">
      <c r="A777" s="34">
        <f>A752+1</f>
        <v>30</v>
      </c>
      <c r="B777" s="713" t="s">
        <v>697</v>
      </c>
      <c r="C777" s="66" t="s">
        <v>11</v>
      </c>
      <c r="D777" s="4"/>
      <c r="E777" s="6"/>
      <c r="F777" s="29"/>
      <c r="G777" s="26"/>
      <c r="H777" s="26"/>
      <c r="I777" s="6"/>
      <c r="J777" s="8"/>
      <c r="K777" s="88"/>
      <c r="L777" s="28"/>
      <c r="M777" s="28"/>
      <c r="N777" s="8"/>
      <c r="O777" s="8"/>
      <c r="P777" s="88"/>
      <c r="Q777" s="28"/>
      <c r="R777" s="28"/>
    </row>
    <row r="778" spans="1:18">
      <c r="A778" s="2"/>
      <c r="B778" s="714"/>
      <c r="C778" s="124"/>
      <c r="D778" s="4" t="s">
        <v>75</v>
      </c>
      <c r="E778" s="66" t="s">
        <v>81</v>
      </c>
      <c r="F778" s="29">
        <v>0.5</v>
      </c>
      <c r="G778" s="26">
        <f>fr</f>
        <v>1100</v>
      </c>
      <c r="H778" s="26">
        <f>F778*G778</f>
        <v>550</v>
      </c>
      <c r="I778" s="7" t="s">
        <v>252</v>
      </c>
      <c r="J778" s="145" t="s">
        <v>673</v>
      </c>
      <c r="K778" s="88">
        <v>0.3</v>
      </c>
      <c r="L778" s="28">
        <f>cement</f>
        <v>24049.69</v>
      </c>
      <c r="M778" s="28">
        <f>K778*L778</f>
        <v>7214.9069999999992</v>
      </c>
      <c r="N778" s="8" t="s">
        <v>553</v>
      </c>
      <c r="O778" s="145" t="s">
        <v>101</v>
      </c>
      <c r="P778" s="88">
        <v>0</v>
      </c>
      <c r="Q778" s="28">
        <f>agitator</f>
        <v>1622.4</v>
      </c>
      <c r="R778" s="28">
        <f t="shared" ref="R778:R785" si="42">P778*Q778</f>
        <v>0</v>
      </c>
    </row>
    <row r="779" spans="1:18">
      <c r="A779" s="2"/>
      <c r="B779" s="714"/>
      <c r="C779" s="6"/>
      <c r="D779" s="4" t="s">
        <v>96</v>
      </c>
      <c r="E779" s="66" t="s">
        <v>81</v>
      </c>
      <c r="F779" s="29">
        <v>0.75</v>
      </c>
      <c r="G779" s="26">
        <f>sr</f>
        <v>1100</v>
      </c>
      <c r="H779" s="26">
        <f>F779*G779</f>
        <v>825</v>
      </c>
      <c r="I779" s="7" t="s">
        <v>253</v>
      </c>
      <c r="J779" s="145" t="s">
        <v>674</v>
      </c>
      <c r="K779" s="88">
        <v>0.38700000000000001</v>
      </c>
      <c r="L779" s="28">
        <f>Agg_40*0.9</f>
        <v>2205</v>
      </c>
      <c r="M779" s="28">
        <f t="shared" ref="M779:M785" si="43">K779*L779</f>
        <v>853.33500000000004</v>
      </c>
      <c r="N779" s="8" t="s">
        <v>675</v>
      </c>
      <c r="O779" s="145" t="s">
        <v>101</v>
      </c>
      <c r="P779" s="88">
        <v>0.4</v>
      </c>
      <c r="Q779" s="28">
        <f>mixer</f>
        <v>216.32</v>
      </c>
      <c r="R779" s="28">
        <f t="shared" si="42"/>
        <v>86.528000000000006</v>
      </c>
    </row>
    <row r="780" spans="1:18">
      <c r="A780" s="2"/>
      <c r="B780" s="126"/>
      <c r="C780" s="6"/>
      <c r="D780" s="4" t="s">
        <v>97</v>
      </c>
      <c r="E780" s="66" t="s">
        <v>81</v>
      </c>
      <c r="F780" s="29">
        <v>1.5</v>
      </c>
      <c r="G780" s="26">
        <f>ur</f>
        <v>850</v>
      </c>
      <c r="H780" s="26">
        <f>F780*G780</f>
        <v>1275</v>
      </c>
      <c r="I780" s="7" t="s">
        <v>258</v>
      </c>
      <c r="J780" s="145" t="s">
        <v>674</v>
      </c>
      <c r="K780" s="88">
        <v>0.2</v>
      </c>
      <c r="L780" s="28">
        <f>Agg_20*0.9</f>
        <v>2430</v>
      </c>
      <c r="M780" s="28">
        <f t="shared" si="43"/>
        <v>486</v>
      </c>
      <c r="N780" s="8" t="s">
        <v>676</v>
      </c>
      <c r="O780" s="145" t="s">
        <v>101</v>
      </c>
      <c r="P780" s="88">
        <v>0.1</v>
      </c>
      <c r="Q780" s="28">
        <f>truck</f>
        <v>486.72</v>
      </c>
      <c r="R780" s="28">
        <f t="shared" si="42"/>
        <v>48.672000000000004</v>
      </c>
    </row>
    <row r="781" spans="1:18">
      <c r="A781" s="2"/>
      <c r="B781" s="126"/>
      <c r="C781" s="6"/>
      <c r="D781" s="4" t="s">
        <v>76</v>
      </c>
      <c r="E781" s="66" t="s">
        <v>81</v>
      </c>
      <c r="F781" s="29">
        <f>P780/8</f>
        <v>1.2500000000000001E-2</v>
      </c>
      <c r="G781" s="26">
        <f>drv</f>
        <v>1100</v>
      </c>
      <c r="H781" s="26">
        <f>F781*G781</f>
        <v>13.75</v>
      </c>
      <c r="I781" s="7" t="s">
        <v>259</v>
      </c>
      <c r="J781" s="145" t="s">
        <v>674</v>
      </c>
      <c r="K781" s="88">
        <v>0.08</v>
      </c>
      <c r="L781" s="28">
        <f>Agg_10*0.9</f>
        <v>2655</v>
      </c>
      <c r="M781" s="28">
        <f t="shared" si="43"/>
        <v>212.4</v>
      </c>
      <c r="N781" s="8" t="s">
        <v>677</v>
      </c>
      <c r="O781" s="145" t="s">
        <v>101</v>
      </c>
      <c r="P781" s="88">
        <v>0.4</v>
      </c>
      <c r="Q781" s="28">
        <f>concrete_pump</f>
        <v>1081.5999999999999</v>
      </c>
      <c r="R781" s="28">
        <f t="shared" si="42"/>
        <v>432.64</v>
      </c>
    </row>
    <row r="782" spans="1:18">
      <c r="A782" s="2"/>
      <c r="B782" s="126"/>
      <c r="C782" s="6"/>
      <c r="D782" s="4" t="s">
        <v>86</v>
      </c>
      <c r="E782" s="66" t="s">
        <v>81</v>
      </c>
      <c r="F782" s="29">
        <f>F781</f>
        <v>1.2500000000000001E-2</v>
      </c>
      <c r="G782" s="26">
        <f>hr</f>
        <v>750</v>
      </c>
      <c r="H782" s="26">
        <f>F782*G782</f>
        <v>9.375</v>
      </c>
      <c r="I782" s="7" t="s">
        <v>254</v>
      </c>
      <c r="J782" s="145" t="s">
        <v>674</v>
      </c>
      <c r="K782" s="88">
        <v>0.29299999999999998</v>
      </c>
      <c r="L782" s="28">
        <f>sand*0.9</f>
        <v>945</v>
      </c>
      <c r="M782" s="28">
        <f t="shared" si="43"/>
        <v>276.88499999999999</v>
      </c>
      <c r="N782" s="8" t="s">
        <v>678</v>
      </c>
      <c r="O782" s="145" t="s">
        <v>101</v>
      </c>
      <c r="P782" s="88">
        <v>0.4</v>
      </c>
      <c r="Q782" s="28">
        <f>vibrator_concrete</f>
        <v>108.16</v>
      </c>
      <c r="R782" s="28">
        <f t="shared" si="42"/>
        <v>43.264000000000003</v>
      </c>
    </row>
    <row r="783" spans="1:18">
      <c r="A783" s="2"/>
      <c r="B783" s="126"/>
      <c r="C783" s="6"/>
      <c r="D783" s="4"/>
      <c r="E783" s="66"/>
      <c r="F783" s="29"/>
      <c r="G783" s="26"/>
      <c r="H783" s="26"/>
      <c r="I783" s="7" t="s">
        <v>70</v>
      </c>
      <c r="J783" s="145" t="s">
        <v>250</v>
      </c>
      <c r="K783" s="88">
        <v>0.1</v>
      </c>
      <c r="L783" s="28">
        <f>petrol</f>
        <v>188.6</v>
      </c>
      <c r="M783" s="28">
        <f t="shared" si="43"/>
        <v>18.86</v>
      </c>
      <c r="N783" s="8" t="s">
        <v>398</v>
      </c>
      <c r="O783" s="145" t="s">
        <v>101</v>
      </c>
      <c r="P783" s="88">
        <v>0.4</v>
      </c>
      <c r="Q783" s="28">
        <f>compressor</f>
        <v>270.39999999999998</v>
      </c>
      <c r="R783" s="28">
        <f t="shared" si="42"/>
        <v>108.16</v>
      </c>
    </row>
    <row r="784" spans="1:18">
      <c r="A784" s="2"/>
      <c r="B784" s="126"/>
      <c r="C784" s="6"/>
      <c r="D784" s="4"/>
      <c r="E784" s="66"/>
      <c r="F784" s="29"/>
      <c r="G784" s="26"/>
      <c r="H784" s="26"/>
      <c r="I784" s="7" t="s">
        <v>67</v>
      </c>
      <c r="J784" s="145" t="s">
        <v>250</v>
      </c>
      <c r="K784" s="88">
        <v>3</v>
      </c>
      <c r="L784" s="28">
        <f>diesel</f>
        <v>177.6</v>
      </c>
      <c r="M784" s="28">
        <f t="shared" si="43"/>
        <v>532.79999999999995</v>
      </c>
      <c r="N784" s="8" t="s">
        <v>679</v>
      </c>
      <c r="O784" s="145" t="s">
        <v>101</v>
      </c>
      <c r="P784" s="88">
        <v>0.4</v>
      </c>
      <c r="Q784" s="28">
        <v>50</v>
      </c>
      <c r="R784" s="28">
        <f t="shared" si="42"/>
        <v>20</v>
      </c>
    </row>
    <row r="785" spans="1:18">
      <c r="A785" s="2"/>
      <c r="B785" s="126"/>
      <c r="C785" s="6"/>
      <c r="D785" s="4"/>
      <c r="E785" s="66"/>
      <c r="F785" s="29"/>
      <c r="G785" s="26"/>
      <c r="H785" s="26"/>
      <c r="I785" s="7" t="s">
        <v>683</v>
      </c>
      <c r="J785" s="145" t="s">
        <v>28</v>
      </c>
      <c r="K785" s="88">
        <v>6</v>
      </c>
      <c r="L785" s="28">
        <f>plasticizers</f>
        <v>139.63</v>
      </c>
      <c r="M785" s="28">
        <f t="shared" si="43"/>
        <v>837.78</v>
      </c>
      <c r="N785" s="8" t="s">
        <v>680</v>
      </c>
      <c r="O785" s="145" t="s">
        <v>101</v>
      </c>
      <c r="P785" s="88">
        <v>0.4</v>
      </c>
      <c r="Q785" s="28">
        <v>50</v>
      </c>
      <c r="R785" s="28">
        <f t="shared" si="42"/>
        <v>20</v>
      </c>
    </row>
    <row r="786" spans="1:18">
      <c r="A786" s="2"/>
      <c r="B786" s="126"/>
      <c r="C786" s="6"/>
      <c r="D786" s="4"/>
      <c r="E786" s="66"/>
      <c r="F786" s="29"/>
      <c r="G786" s="26"/>
      <c r="H786" s="26"/>
      <c r="I786" s="7"/>
      <c r="J786" s="145"/>
      <c r="K786" s="88"/>
      <c r="L786" s="28"/>
      <c r="M786" s="28"/>
      <c r="N786" s="8"/>
      <c r="O786" s="145"/>
      <c r="P786" s="88"/>
      <c r="Q786" s="28"/>
      <c r="R786" s="28"/>
    </row>
    <row r="787" spans="1:18">
      <c r="A787" s="2"/>
      <c r="B787" s="126"/>
      <c r="C787" s="6"/>
      <c r="D787" s="4"/>
      <c r="E787" s="66"/>
      <c r="F787" s="29"/>
      <c r="G787" s="26"/>
      <c r="H787" s="26"/>
      <c r="I787" s="7"/>
      <c r="J787" s="145"/>
      <c r="K787" s="88"/>
      <c r="L787" s="28"/>
      <c r="M787" s="28"/>
      <c r="N787" s="8"/>
      <c r="O787" s="145"/>
      <c r="P787" s="88"/>
      <c r="Q787" s="28"/>
      <c r="R787" s="28"/>
    </row>
    <row r="788" spans="1:18">
      <c r="A788" s="2"/>
      <c r="B788" s="5"/>
      <c r="C788" s="6"/>
      <c r="D788" s="4"/>
      <c r="E788" s="9"/>
      <c r="F788" s="30"/>
      <c r="G788" s="27"/>
      <c r="H788" s="27"/>
      <c r="I788" s="9"/>
      <c r="J788" s="10"/>
      <c r="K788" s="91"/>
      <c r="L788" s="28"/>
      <c r="M788" s="28"/>
      <c r="N788" s="8"/>
      <c r="O788" s="8"/>
      <c r="P788" s="91"/>
      <c r="Q788" s="28"/>
      <c r="R788" s="28"/>
    </row>
    <row r="789" spans="1:18">
      <c r="A789" s="2"/>
      <c r="B789" s="11"/>
      <c r="C789" s="6"/>
      <c r="D789" s="12"/>
      <c r="E789" s="59"/>
      <c r="F789" s="13"/>
      <c r="G789" s="13" t="s">
        <v>20</v>
      </c>
      <c r="H789" s="25">
        <f>SUM(H777:H788)</f>
        <v>2673.125</v>
      </c>
      <c r="I789" s="703"/>
      <c r="J789" s="703"/>
      <c r="K789" s="14"/>
      <c r="L789" s="13" t="s">
        <v>21</v>
      </c>
      <c r="M789" s="25">
        <f>SUM(M777:M788)</f>
        <v>10432.966999999999</v>
      </c>
      <c r="N789" s="3"/>
      <c r="O789" s="14"/>
      <c r="P789" s="14"/>
      <c r="Q789" s="13" t="s">
        <v>22</v>
      </c>
      <c r="R789" s="25">
        <f>SUM(R777:R788)</f>
        <v>759.26400000000001</v>
      </c>
    </row>
    <row r="790" spans="1:18">
      <c r="A790" s="2"/>
      <c r="B790" s="16" t="s">
        <v>13</v>
      </c>
      <c r="C790" s="14"/>
      <c r="D790" s="14"/>
      <c r="E790" s="14"/>
      <c r="F790" s="14"/>
      <c r="G790" s="13"/>
      <c r="H790" s="35">
        <f>M789+R789+H789</f>
        <v>13865.355999999998</v>
      </c>
      <c r="I790" s="17"/>
      <c r="J790" s="14"/>
      <c r="K790" s="14"/>
      <c r="L790" s="13"/>
      <c r="M790" s="15"/>
      <c r="N790" s="14"/>
      <c r="O790" s="14"/>
      <c r="P790" s="14"/>
      <c r="Q790" s="14"/>
      <c r="R790" s="17"/>
    </row>
    <row r="791" spans="1:18">
      <c r="A791" s="2"/>
      <c r="B791" s="11" t="s">
        <v>25</v>
      </c>
      <c r="C791" s="4" t="s">
        <v>647</v>
      </c>
      <c r="D791" s="4"/>
      <c r="E791" s="4"/>
      <c r="F791" s="4"/>
      <c r="G791" s="18"/>
      <c r="H791" s="36">
        <f>20%*(H789)</f>
        <v>534.625</v>
      </c>
      <c r="I791" s="20"/>
      <c r="J791" s="4" t="s">
        <v>26</v>
      </c>
      <c r="K791" s="4"/>
      <c r="L791" s="18"/>
      <c r="M791" s="19"/>
      <c r="N791" s="4"/>
      <c r="O791" s="4"/>
      <c r="P791" s="4"/>
      <c r="Q791" s="4"/>
      <c r="R791" s="20"/>
    </row>
    <row r="792" spans="1:18">
      <c r="A792" s="23"/>
      <c r="B792" s="11" t="s">
        <v>14</v>
      </c>
      <c r="C792" s="4"/>
      <c r="D792" s="4"/>
      <c r="E792" s="4"/>
      <c r="F792" s="4"/>
      <c r="G792" s="18"/>
      <c r="H792" s="36">
        <f>SUM(H790:H791)</f>
        <v>14399.980999999998</v>
      </c>
      <c r="I792" s="20"/>
      <c r="J792" s="750"/>
      <c r="K792" s="751"/>
      <c r="L792" s="751"/>
      <c r="M792" s="751"/>
      <c r="N792" s="751"/>
      <c r="O792" s="751"/>
      <c r="P792" s="751"/>
      <c r="Q792" s="751"/>
      <c r="R792" s="752"/>
    </row>
    <row r="793" spans="1:18">
      <c r="A793" s="23"/>
      <c r="B793" s="11" t="s">
        <v>24</v>
      </c>
      <c r="C793" s="4"/>
      <c r="D793" s="4"/>
      <c r="E793" s="4"/>
      <c r="F793" s="4"/>
      <c r="G793" s="18"/>
      <c r="H793" s="36">
        <f>H792*15%</f>
        <v>2159.9971499999997</v>
      </c>
      <c r="I793" s="20"/>
      <c r="J793" s="753"/>
      <c r="K793" s="754"/>
      <c r="L793" s="754"/>
      <c r="M793" s="754"/>
      <c r="N793" s="754"/>
      <c r="O793" s="754"/>
      <c r="P793" s="754"/>
      <c r="Q793" s="754"/>
      <c r="R793" s="755"/>
    </row>
    <row r="794" spans="1:18">
      <c r="A794" s="23"/>
      <c r="B794" s="11" t="s">
        <v>15</v>
      </c>
      <c r="C794" s="4"/>
      <c r="D794" s="4"/>
      <c r="E794" s="4"/>
      <c r="F794" s="4"/>
      <c r="G794" s="21" t="s">
        <v>16</v>
      </c>
      <c r="H794" s="37">
        <f>H793+H792</f>
        <v>16559.978149999999</v>
      </c>
      <c r="I794" s="38" t="str">
        <f>CONCATENATE("per ",C777, C778)</f>
        <v>per cum</v>
      </c>
      <c r="J794" s="753"/>
      <c r="K794" s="754"/>
      <c r="L794" s="754"/>
      <c r="M794" s="754"/>
      <c r="N794" s="754"/>
      <c r="O794" s="754"/>
      <c r="P794" s="754"/>
      <c r="Q794" s="754"/>
      <c r="R794" s="755"/>
    </row>
    <row r="795" spans="1:18">
      <c r="A795" s="23"/>
      <c r="B795" s="11" t="s">
        <v>18</v>
      </c>
      <c r="C795" s="4" t="s">
        <v>19</v>
      </c>
      <c r="D795" s="4"/>
      <c r="E795" s="4"/>
      <c r="F795" s="4"/>
      <c r="G795" s="21" t="s">
        <v>16</v>
      </c>
      <c r="H795" s="37">
        <f>CEILING(H794,0.5)</f>
        <v>16560</v>
      </c>
      <c r="I795" s="38" t="str">
        <f>CONCATENATE("per ",C777)</f>
        <v>per cum</v>
      </c>
      <c r="J795" s="753"/>
      <c r="K795" s="754"/>
      <c r="L795" s="754"/>
      <c r="M795" s="754"/>
      <c r="N795" s="754"/>
      <c r="O795" s="754"/>
      <c r="P795" s="754"/>
      <c r="Q795" s="754"/>
      <c r="R795" s="755"/>
    </row>
    <row r="796" spans="1:18">
      <c r="A796" s="23"/>
      <c r="B796" s="11"/>
      <c r="C796" s="4"/>
      <c r="D796" s="4"/>
      <c r="E796" s="4"/>
      <c r="F796" s="4"/>
      <c r="G796" s="24" t="s">
        <v>17</v>
      </c>
      <c r="H796" s="37">
        <f>H795/exr</f>
        <v>127.38461538461539</v>
      </c>
      <c r="I796" s="38" t="str">
        <f>CONCATENATE("per ",C777)</f>
        <v>per cum</v>
      </c>
      <c r="J796" s="756"/>
      <c r="K796" s="757"/>
      <c r="L796" s="757"/>
      <c r="M796" s="757"/>
      <c r="N796" s="757"/>
      <c r="O796" s="757"/>
      <c r="P796" s="757"/>
      <c r="Q796" s="757"/>
      <c r="R796" s="758"/>
    </row>
    <row r="797" spans="1:18">
      <c r="A797" s="39"/>
      <c r="B797" s="40"/>
      <c r="C797" s="41"/>
      <c r="D797" s="41"/>
      <c r="E797" s="41"/>
      <c r="F797" s="41"/>
      <c r="G797" s="149" t="s">
        <v>460</v>
      </c>
      <c r="H797" s="150">
        <f>CEILING(SUM(M789,R789)/H790,0.0025)</f>
        <v>0.8075</v>
      </c>
      <c r="I797" s="42"/>
      <c r="J797" s="43"/>
      <c r="K797" s="43"/>
      <c r="L797" s="43"/>
      <c r="M797" s="43"/>
      <c r="N797" s="43"/>
      <c r="O797" s="43"/>
      <c r="P797" s="43"/>
      <c r="Q797" s="43"/>
      <c r="R797" s="44"/>
    </row>
    <row r="799" spans="1:18">
      <c r="A799" s="693" t="s">
        <v>0</v>
      </c>
      <c r="B799" s="695" t="s">
        <v>1</v>
      </c>
      <c r="C799" s="695" t="s">
        <v>2</v>
      </c>
      <c r="D799" s="697" t="s">
        <v>3</v>
      </c>
      <c r="E799" s="698"/>
      <c r="F799" s="698"/>
      <c r="G799" s="698"/>
      <c r="H799" s="698"/>
      <c r="I799" s="699" t="s">
        <v>4</v>
      </c>
      <c r="J799" s="700"/>
      <c r="K799" s="700"/>
      <c r="L799" s="700"/>
      <c r="M799" s="700"/>
      <c r="N799" s="698" t="s">
        <v>5</v>
      </c>
      <c r="O799" s="698"/>
      <c r="P799" s="698"/>
      <c r="Q799" s="698"/>
      <c r="R799" s="698"/>
    </row>
    <row r="800" spans="1:18">
      <c r="A800" s="694"/>
      <c r="B800" s="759"/>
      <c r="C800" s="696"/>
      <c r="D800" s="45" t="s">
        <v>6</v>
      </c>
      <c r="E800" s="46" t="s">
        <v>2</v>
      </c>
      <c r="F800" s="46" t="s">
        <v>7</v>
      </c>
      <c r="G800" s="46" t="s">
        <v>8</v>
      </c>
      <c r="H800" s="46" t="s">
        <v>9</v>
      </c>
      <c r="I800" s="46" t="s">
        <v>10</v>
      </c>
      <c r="J800" s="46" t="s">
        <v>2</v>
      </c>
      <c r="K800" s="46" t="s">
        <v>7</v>
      </c>
      <c r="L800" s="46" t="s">
        <v>8</v>
      </c>
      <c r="M800" s="47" t="s">
        <v>9</v>
      </c>
      <c r="N800" s="46" t="s">
        <v>10</v>
      </c>
      <c r="O800" s="46" t="s">
        <v>2</v>
      </c>
      <c r="P800" s="46" t="s">
        <v>7</v>
      </c>
      <c r="Q800" s="46" t="s">
        <v>8</v>
      </c>
      <c r="R800" s="46" t="s">
        <v>9</v>
      </c>
    </row>
    <row r="801" spans="1:18">
      <c r="A801" s="33" t="s">
        <v>23</v>
      </c>
      <c r="B801" s="127"/>
      <c r="C801" s="31"/>
      <c r="D801" s="31"/>
      <c r="E801" s="31"/>
      <c r="F801" s="31"/>
      <c r="G801" s="31"/>
      <c r="H801" s="31"/>
      <c r="I801" s="31"/>
      <c r="J801" s="31"/>
      <c r="K801" s="31"/>
      <c r="L801" s="31"/>
      <c r="M801" s="31"/>
      <c r="N801" s="31"/>
      <c r="O801" s="31"/>
      <c r="P801" s="31"/>
      <c r="Q801" s="31"/>
      <c r="R801" s="32"/>
    </row>
    <row r="802" spans="1:18">
      <c r="A802" s="34">
        <f>A777+1</f>
        <v>31</v>
      </c>
      <c r="B802" s="713" t="s">
        <v>698</v>
      </c>
      <c r="C802" s="66" t="s">
        <v>11</v>
      </c>
      <c r="D802" s="4"/>
      <c r="E802" s="6"/>
      <c r="F802" s="29"/>
      <c r="G802" s="26"/>
      <c r="H802" s="26"/>
      <c r="I802" s="6"/>
      <c r="J802" s="8"/>
      <c r="K802" s="88"/>
      <c r="L802" s="28"/>
      <c r="M802" s="28"/>
      <c r="N802" s="8"/>
      <c r="O802" s="8"/>
      <c r="P802" s="88"/>
      <c r="Q802" s="28"/>
      <c r="R802" s="28"/>
    </row>
    <row r="803" spans="1:18">
      <c r="A803" s="2"/>
      <c r="B803" s="714"/>
      <c r="C803" s="124"/>
      <c r="D803" s="4" t="s">
        <v>75</v>
      </c>
      <c r="E803" s="66" t="s">
        <v>81</v>
      </c>
      <c r="F803" s="29">
        <v>0.5</v>
      </c>
      <c r="G803" s="26">
        <f>fr</f>
        <v>1100</v>
      </c>
      <c r="H803" s="26">
        <f>F803*G803</f>
        <v>550</v>
      </c>
      <c r="I803" s="7" t="s">
        <v>252</v>
      </c>
      <c r="J803" s="145" t="s">
        <v>673</v>
      </c>
      <c r="K803" s="88">
        <v>0.34</v>
      </c>
      <c r="L803" s="28">
        <f>cement</f>
        <v>24049.69</v>
      </c>
      <c r="M803" s="28">
        <f>K803*L803</f>
        <v>8176.8946000000005</v>
      </c>
      <c r="N803" s="8" t="s">
        <v>553</v>
      </c>
      <c r="O803" s="145" t="s">
        <v>101</v>
      </c>
      <c r="P803" s="88">
        <v>0</v>
      </c>
      <c r="Q803" s="28">
        <f>agitator</f>
        <v>1622.4</v>
      </c>
      <c r="R803" s="28">
        <f t="shared" ref="R803:R810" si="44">P803*Q803</f>
        <v>0</v>
      </c>
    </row>
    <row r="804" spans="1:18">
      <c r="A804" s="2"/>
      <c r="B804" s="714"/>
      <c r="C804" s="6"/>
      <c r="D804" s="4" t="s">
        <v>96</v>
      </c>
      <c r="E804" s="66" t="s">
        <v>81</v>
      </c>
      <c r="F804" s="156">
        <v>1</v>
      </c>
      <c r="G804" s="26">
        <f>sr</f>
        <v>1100</v>
      </c>
      <c r="H804" s="26">
        <f>F804*G804</f>
        <v>1100</v>
      </c>
      <c r="I804" s="7" t="s">
        <v>258</v>
      </c>
      <c r="J804" s="145" t="s">
        <v>674</v>
      </c>
      <c r="K804" s="88">
        <v>0.435</v>
      </c>
      <c r="L804" s="28">
        <f>Agg_20</f>
        <v>2700</v>
      </c>
      <c r="M804" s="28">
        <f t="shared" ref="M804:M809" si="45">K804*L804</f>
        <v>1174.5</v>
      </c>
      <c r="N804" s="8" t="s">
        <v>675</v>
      </c>
      <c r="O804" s="145" t="s">
        <v>101</v>
      </c>
      <c r="P804" s="88">
        <v>0.4</v>
      </c>
      <c r="Q804" s="28">
        <f>mixer</f>
        <v>216.32</v>
      </c>
      <c r="R804" s="28">
        <f t="shared" si="44"/>
        <v>86.528000000000006</v>
      </c>
    </row>
    <row r="805" spans="1:18">
      <c r="A805" s="2"/>
      <c r="B805" s="126"/>
      <c r="C805" s="6"/>
      <c r="D805" s="4" t="s">
        <v>97</v>
      </c>
      <c r="E805" s="66" t="s">
        <v>81</v>
      </c>
      <c r="F805" s="156">
        <v>2.5</v>
      </c>
      <c r="G805" s="26">
        <f>ur</f>
        <v>850</v>
      </c>
      <c r="H805" s="26">
        <f>F805*G805</f>
        <v>2125</v>
      </c>
      <c r="I805" s="7" t="s">
        <v>259</v>
      </c>
      <c r="J805" s="145" t="s">
        <v>674</v>
      </c>
      <c r="K805" s="88">
        <v>0.22500000000000001</v>
      </c>
      <c r="L805" s="28">
        <f>Agg_10</f>
        <v>2950</v>
      </c>
      <c r="M805" s="28">
        <f t="shared" si="45"/>
        <v>663.75</v>
      </c>
      <c r="N805" s="8" t="s">
        <v>676</v>
      </c>
      <c r="O805" s="145" t="s">
        <v>101</v>
      </c>
      <c r="P805" s="88">
        <v>0.1</v>
      </c>
      <c r="Q805" s="28">
        <f>truck</f>
        <v>486.72</v>
      </c>
      <c r="R805" s="28">
        <f t="shared" si="44"/>
        <v>48.672000000000004</v>
      </c>
    </row>
    <row r="806" spans="1:18">
      <c r="A806" s="2"/>
      <c r="B806" s="126"/>
      <c r="C806" s="6"/>
      <c r="D806" s="4" t="s">
        <v>76</v>
      </c>
      <c r="E806" s="66" t="s">
        <v>81</v>
      </c>
      <c r="F806" s="29">
        <f>P805/8</f>
        <v>1.2500000000000001E-2</v>
      </c>
      <c r="G806" s="26">
        <f>drv</f>
        <v>1100</v>
      </c>
      <c r="H806" s="26">
        <f>F806*G806</f>
        <v>13.75</v>
      </c>
      <c r="I806" s="7" t="s">
        <v>254</v>
      </c>
      <c r="J806" s="145" t="s">
        <v>674</v>
      </c>
      <c r="K806" s="88">
        <v>0.33800000000000002</v>
      </c>
      <c r="L806" s="28">
        <f>sand</f>
        <v>1050</v>
      </c>
      <c r="M806" s="28">
        <f t="shared" si="45"/>
        <v>354.90000000000003</v>
      </c>
      <c r="N806" s="8" t="s">
        <v>677</v>
      </c>
      <c r="O806" s="145" t="s">
        <v>101</v>
      </c>
      <c r="P806" s="88">
        <v>0.4</v>
      </c>
      <c r="Q806" s="28">
        <f>concrete_pump</f>
        <v>1081.5999999999999</v>
      </c>
      <c r="R806" s="28">
        <f t="shared" si="44"/>
        <v>432.64</v>
      </c>
    </row>
    <row r="807" spans="1:18">
      <c r="A807" s="2"/>
      <c r="B807" s="126"/>
      <c r="C807" s="6"/>
      <c r="D807" s="4" t="s">
        <v>86</v>
      </c>
      <c r="E807" s="66" t="s">
        <v>81</v>
      </c>
      <c r="F807" s="29">
        <f>F806</f>
        <v>1.2500000000000001E-2</v>
      </c>
      <c r="G807" s="26">
        <f>hr</f>
        <v>750</v>
      </c>
      <c r="H807" s="26">
        <f>F807*G807</f>
        <v>9.375</v>
      </c>
      <c r="I807" s="7" t="s">
        <v>70</v>
      </c>
      <c r="J807" s="145" t="s">
        <v>250</v>
      </c>
      <c r="K807" s="88">
        <v>0.1</v>
      </c>
      <c r="L807" s="28">
        <f>petrol</f>
        <v>188.6</v>
      </c>
      <c r="M807" s="28">
        <f t="shared" si="45"/>
        <v>18.86</v>
      </c>
      <c r="N807" s="8" t="s">
        <v>678</v>
      </c>
      <c r="O807" s="145" t="s">
        <v>101</v>
      </c>
      <c r="P807" s="88">
        <v>0.4</v>
      </c>
      <c r="Q807" s="28">
        <f>vibrator_concrete</f>
        <v>108.16</v>
      </c>
      <c r="R807" s="28">
        <f t="shared" si="44"/>
        <v>43.264000000000003</v>
      </c>
    </row>
    <row r="808" spans="1:18">
      <c r="A808" s="2"/>
      <c r="B808" s="126"/>
      <c r="C808" s="6"/>
      <c r="D808" s="4"/>
      <c r="E808" s="66"/>
      <c r="F808" s="29"/>
      <c r="G808" s="26"/>
      <c r="H808" s="26"/>
      <c r="I808" s="7" t="s">
        <v>67</v>
      </c>
      <c r="J808" s="145" t="s">
        <v>250</v>
      </c>
      <c r="K808" s="88">
        <v>3</v>
      </c>
      <c r="L808" s="28">
        <f>diesel</f>
        <v>177.6</v>
      </c>
      <c r="M808" s="28">
        <f t="shared" si="45"/>
        <v>532.79999999999995</v>
      </c>
      <c r="N808" s="8" t="s">
        <v>398</v>
      </c>
      <c r="O808" s="145" t="s">
        <v>101</v>
      </c>
      <c r="P808" s="88">
        <v>0.4</v>
      </c>
      <c r="Q808" s="28">
        <f>compressor</f>
        <v>270.39999999999998</v>
      </c>
      <c r="R808" s="28">
        <f t="shared" si="44"/>
        <v>108.16</v>
      </c>
    </row>
    <row r="809" spans="1:18">
      <c r="A809" s="2"/>
      <c r="B809" s="126"/>
      <c r="C809" s="6"/>
      <c r="D809" s="4"/>
      <c r="E809" s="66"/>
      <c r="F809" s="29"/>
      <c r="G809" s="26"/>
      <c r="H809" s="26"/>
      <c r="I809" s="7" t="s">
        <v>683</v>
      </c>
      <c r="J809" s="145" t="s">
        <v>28</v>
      </c>
      <c r="K809" s="88">
        <v>6</v>
      </c>
      <c r="L809" s="28">
        <f>plasticizers</f>
        <v>139.63</v>
      </c>
      <c r="M809" s="28">
        <f t="shared" si="45"/>
        <v>837.78</v>
      </c>
      <c r="N809" s="8" t="s">
        <v>679</v>
      </c>
      <c r="O809" s="145" t="s">
        <v>101</v>
      </c>
      <c r="P809" s="88">
        <v>0.4</v>
      </c>
      <c r="Q809" s="28">
        <v>50</v>
      </c>
      <c r="R809" s="28">
        <f t="shared" si="44"/>
        <v>20</v>
      </c>
    </row>
    <row r="810" spans="1:18">
      <c r="A810" s="2"/>
      <c r="B810" s="126"/>
      <c r="C810" s="6"/>
      <c r="D810" s="4"/>
      <c r="E810" s="66"/>
      <c r="F810" s="29"/>
      <c r="G810" s="26"/>
      <c r="H810" s="26"/>
      <c r="I810" s="7"/>
      <c r="J810" s="145"/>
      <c r="K810" s="88"/>
      <c r="L810" s="28"/>
      <c r="M810" s="28"/>
      <c r="N810" s="8" t="s">
        <v>680</v>
      </c>
      <c r="O810" s="145" t="s">
        <v>101</v>
      </c>
      <c r="P810" s="88">
        <v>0.4</v>
      </c>
      <c r="Q810" s="28">
        <v>50</v>
      </c>
      <c r="R810" s="28">
        <f t="shared" si="44"/>
        <v>20</v>
      </c>
    </row>
    <row r="811" spans="1:18">
      <c r="A811" s="2"/>
      <c r="B811" s="126"/>
      <c r="C811" s="6"/>
      <c r="D811" s="4"/>
      <c r="E811" s="66"/>
      <c r="F811" s="29"/>
      <c r="G811" s="26"/>
      <c r="H811" s="26"/>
      <c r="I811" s="7"/>
      <c r="J811" s="145"/>
      <c r="K811" s="88"/>
      <c r="L811" s="28"/>
      <c r="M811" s="28"/>
      <c r="N811" s="8"/>
      <c r="O811" s="145"/>
      <c r="P811" s="88"/>
      <c r="Q811" s="28"/>
      <c r="R811" s="28"/>
    </row>
    <row r="812" spans="1:18">
      <c r="A812" s="2"/>
      <c r="B812" s="126"/>
      <c r="C812" s="6"/>
      <c r="D812" s="4"/>
      <c r="E812" s="66"/>
      <c r="F812" s="29"/>
      <c r="G812" s="26"/>
      <c r="H812" s="26"/>
      <c r="I812" s="7"/>
      <c r="J812" s="145"/>
      <c r="K812" s="88"/>
      <c r="L812" s="28"/>
      <c r="M812" s="28"/>
      <c r="N812" s="8"/>
      <c r="O812" s="145"/>
      <c r="P812" s="88"/>
      <c r="Q812" s="28"/>
      <c r="R812" s="28"/>
    </row>
    <row r="813" spans="1:18">
      <c r="A813" s="2"/>
      <c r="B813" s="5"/>
      <c r="C813" s="6"/>
      <c r="D813" s="4"/>
      <c r="E813" s="9"/>
      <c r="F813" s="30"/>
      <c r="G813" s="27"/>
      <c r="H813" s="27"/>
      <c r="I813" s="9"/>
      <c r="J813" s="10"/>
      <c r="K813" s="91"/>
      <c r="L813" s="28"/>
      <c r="M813" s="28"/>
      <c r="N813" s="8"/>
      <c r="O813" s="8"/>
      <c r="P813" s="91"/>
      <c r="Q813" s="28"/>
      <c r="R813" s="28"/>
    </row>
    <row r="814" spans="1:18">
      <c r="A814" s="2"/>
      <c r="B814" s="11"/>
      <c r="C814" s="6"/>
      <c r="D814" s="12"/>
      <c r="E814" s="59"/>
      <c r="F814" s="13"/>
      <c r="G814" s="13" t="s">
        <v>20</v>
      </c>
      <c r="H814" s="25">
        <f>SUM(H802:H813)</f>
        <v>3798.125</v>
      </c>
      <c r="I814" s="703"/>
      <c r="J814" s="703"/>
      <c r="K814" s="14"/>
      <c r="L814" s="13" t="s">
        <v>21</v>
      </c>
      <c r="M814" s="25">
        <f>SUM(M802:M813)</f>
        <v>11759.4846</v>
      </c>
      <c r="N814" s="3"/>
      <c r="O814" s="14"/>
      <c r="P814" s="14"/>
      <c r="Q814" s="13" t="s">
        <v>22</v>
      </c>
      <c r="R814" s="25">
        <f>SUM(R802:R813)</f>
        <v>759.26400000000001</v>
      </c>
    </row>
    <row r="815" spans="1:18">
      <c r="A815" s="2"/>
      <c r="B815" s="16" t="s">
        <v>13</v>
      </c>
      <c r="C815" s="14"/>
      <c r="D815" s="14"/>
      <c r="E815" s="14"/>
      <c r="F815" s="14"/>
      <c r="G815" s="13"/>
      <c r="H815" s="35">
        <f>M814+R814+H814</f>
        <v>16316.873599999999</v>
      </c>
      <c r="I815" s="17"/>
      <c r="J815" s="14"/>
      <c r="K815" s="14"/>
      <c r="L815" s="13"/>
      <c r="M815" s="15"/>
      <c r="N815" s="14"/>
      <c r="O815" s="14"/>
      <c r="P815" s="14"/>
      <c r="Q815" s="14"/>
      <c r="R815" s="17"/>
    </row>
    <row r="816" spans="1:18">
      <c r="A816" s="2"/>
      <c r="B816" s="11" t="s">
        <v>25</v>
      </c>
      <c r="C816" s="4" t="s">
        <v>647</v>
      </c>
      <c r="D816" s="4"/>
      <c r="E816" s="4"/>
      <c r="F816" s="4"/>
      <c r="G816" s="18"/>
      <c r="H816" s="36">
        <f>20%*(H814)</f>
        <v>759.625</v>
      </c>
      <c r="I816" s="20"/>
      <c r="J816" s="4" t="s">
        <v>26</v>
      </c>
      <c r="K816" s="4"/>
      <c r="L816" s="18"/>
      <c r="M816" s="19"/>
      <c r="N816" s="4"/>
      <c r="O816" s="4"/>
      <c r="P816" s="4"/>
      <c r="Q816" s="4"/>
      <c r="R816" s="20"/>
    </row>
    <row r="817" spans="1:18">
      <c r="A817" s="23"/>
      <c r="B817" s="11" t="s">
        <v>14</v>
      </c>
      <c r="C817" s="4"/>
      <c r="D817" s="4"/>
      <c r="E817" s="4"/>
      <c r="F817" s="4"/>
      <c r="G817" s="18"/>
      <c r="H817" s="36">
        <f>SUM(H815:H816)</f>
        <v>17076.498599999999</v>
      </c>
      <c r="I817" s="20"/>
      <c r="J817" s="750"/>
      <c r="K817" s="751"/>
      <c r="L817" s="751"/>
      <c r="M817" s="751"/>
      <c r="N817" s="751"/>
      <c r="O817" s="751"/>
      <c r="P817" s="751"/>
      <c r="Q817" s="751"/>
      <c r="R817" s="752"/>
    </row>
    <row r="818" spans="1:18">
      <c r="A818" s="23"/>
      <c r="B818" s="11" t="s">
        <v>24</v>
      </c>
      <c r="C818" s="4"/>
      <c r="D818" s="4"/>
      <c r="E818" s="4"/>
      <c r="F818" s="4"/>
      <c r="G818" s="18"/>
      <c r="H818" s="36">
        <f>H817*15%</f>
        <v>2561.4747899999998</v>
      </c>
      <c r="I818" s="20"/>
      <c r="J818" s="753"/>
      <c r="K818" s="754"/>
      <c r="L818" s="754"/>
      <c r="M818" s="754"/>
      <c r="N818" s="754"/>
      <c r="O818" s="754"/>
      <c r="P818" s="754"/>
      <c r="Q818" s="754"/>
      <c r="R818" s="755"/>
    </row>
    <row r="819" spans="1:18">
      <c r="A819" s="23"/>
      <c r="B819" s="11" t="s">
        <v>15</v>
      </c>
      <c r="C819" s="4"/>
      <c r="D819" s="4"/>
      <c r="E819" s="4"/>
      <c r="F819" s="4"/>
      <c r="G819" s="21" t="s">
        <v>16</v>
      </c>
      <c r="H819" s="37">
        <f>H818+H817</f>
        <v>19637.973389999999</v>
      </c>
      <c r="I819" s="38" t="str">
        <f>CONCATENATE("per ",C802, C803)</f>
        <v>per cum</v>
      </c>
      <c r="J819" s="753"/>
      <c r="K819" s="754"/>
      <c r="L819" s="754"/>
      <c r="M819" s="754"/>
      <c r="N819" s="754"/>
      <c r="O819" s="754"/>
      <c r="P819" s="754"/>
      <c r="Q819" s="754"/>
      <c r="R819" s="755"/>
    </row>
    <row r="820" spans="1:18">
      <c r="A820" s="23"/>
      <c r="B820" s="11" t="s">
        <v>18</v>
      </c>
      <c r="C820" s="4" t="s">
        <v>19</v>
      </c>
      <c r="D820" s="4"/>
      <c r="E820" s="4"/>
      <c r="F820" s="4"/>
      <c r="G820" s="21" t="s">
        <v>16</v>
      </c>
      <c r="H820" s="37">
        <f>CEILING(H819,0.5)</f>
        <v>19638</v>
      </c>
      <c r="I820" s="38" t="str">
        <f>CONCATENATE("per ",C802)</f>
        <v>per cum</v>
      </c>
      <c r="J820" s="753"/>
      <c r="K820" s="754"/>
      <c r="L820" s="754"/>
      <c r="M820" s="754"/>
      <c r="N820" s="754"/>
      <c r="O820" s="754"/>
      <c r="P820" s="754"/>
      <c r="Q820" s="754"/>
      <c r="R820" s="755"/>
    </row>
    <row r="821" spans="1:18">
      <c r="A821" s="23"/>
      <c r="B821" s="11"/>
      <c r="C821" s="4"/>
      <c r="D821" s="4"/>
      <c r="E821" s="4"/>
      <c r="F821" s="4"/>
      <c r="G821" s="24" t="s">
        <v>17</v>
      </c>
      <c r="H821" s="37">
        <f>H820/exr</f>
        <v>151.06153846153848</v>
      </c>
      <c r="I821" s="38" t="str">
        <f>CONCATENATE("per ",C802)</f>
        <v>per cum</v>
      </c>
      <c r="J821" s="756"/>
      <c r="K821" s="757"/>
      <c r="L821" s="757"/>
      <c r="M821" s="757"/>
      <c r="N821" s="757"/>
      <c r="O821" s="757"/>
      <c r="P821" s="757"/>
      <c r="Q821" s="757"/>
      <c r="R821" s="758"/>
    </row>
    <row r="822" spans="1:18">
      <c r="A822" s="39"/>
      <c r="B822" s="40"/>
      <c r="C822" s="41"/>
      <c r="D822" s="41"/>
      <c r="E822" s="41"/>
      <c r="F822" s="41"/>
      <c r="G822" s="149" t="s">
        <v>460</v>
      </c>
      <c r="H822" s="150">
        <f>CEILING(SUM(M814,R814)/H815,0.0025)</f>
        <v>0.76750000000000007</v>
      </c>
      <c r="I822" s="42"/>
      <c r="J822" s="43"/>
      <c r="K822" s="43"/>
      <c r="L822" s="43"/>
      <c r="M822" s="43"/>
      <c r="N822" s="43"/>
      <c r="O822" s="43"/>
      <c r="P822" s="43"/>
      <c r="Q822" s="43"/>
      <c r="R822" s="44"/>
    </row>
    <row r="824" spans="1:18">
      <c r="A824" s="693" t="s">
        <v>0</v>
      </c>
      <c r="B824" s="695" t="s">
        <v>1</v>
      </c>
      <c r="C824" s="695" t="s">
        <v>2</v>
      </c>
      <c r="D824" s="697" t="s">
        <v>3</v>
      </c>
      <c r="E824" s="698"/>
      <c r="F824" s="698"/>
      <c r="G824" s="698"/>
      <c r="H824" s="698"/>
      <c r="I824" s="699" t="s">
        <v>4</v>
      </c>
      <c r="J824" s="700"/>
      <c r="K824" s="700"/>
      <c r="L824" s="700"/>
      <c r="M824" s="700"/>
      <c r="N824" s="698" t="s">
        <v>5</v>
      </c>
      <c r="O824" s="698"/>
      <c r="P824" s="698"/>
      <c r="Q824" s="698"/>
      <c r="R824" s="698"/>
    </row>
    <row r="825" spans="1:18">
      <c r="A825" s="694"/>
      <c r="B825" s="759"/>
      <c r="C825" s="696"/>
      <c r="D825" s="45" t="s">
        <v>6</v>
      </c>
      <c r="E825" s="46" t="s">
        <v>2</v>
      </c>
      <c r="F825" s="46" t="s">
        <v>7</v>
      </c>
      <c r="G825" s="46" t="s">
        <v>8</v>
      </c>
      <c r="H825" s="46" t="s">
        <v>9</v>
      </c>
      <c r="I825" s="46" t="s">
        <v>10</v>
      </c>
      <c r="J825" s="46" t="s">
        <v>2</v>
      </c>
      <c r="K825" s="46" t="s">
        <v>7</v>
      </c>
      <c r="L825" s="46" t="s">
        <v>8</v>
      </c>
      <c r="M825" s="47" t="s">
        <v>9</v>
      </c>
      <c r="N825" s="46" t="s">
        <v>10</v>
      </c>
      <c r="O825" s="46" t="s">
        <v>2</v>
      </c>
      <c r="P825" s="46" t="s">
        <v>7</v>
      </c>
      <c r="Q825" s="46" t="s">
        <v>8</v>
      </c>
      <c r="R825" s="46" t="s">
        <v>9</v>
      </c>
    </row>
    <row r="826" spans="1:18">
      <c r="A826" s="33" t="s">
        <v>23</v>
      </c>
      <c r="B826" s="127"/>
      <c r="C826" s="31"/>
      <c r="D826" s="31"/>
      <c r="E826" s="31"/>
      <c r="F826" s="31"/>
      <c r="G826" s="31"/>
      <c r="H826" s="31"/>
      <c r="I826" s="31"/>
      <c r="J826" s="31"/>
      <c r="K826" s="31"/>
      <c r="L826" s="31"/>
      <c r="M826" s="31"/>
      <c r="N826" s="31"/>
      <c r="O826" s="31"/>
      <c r="P826" s="31"/>
      <c r="Q826" s="31"/>
      <c r="R826" s="32"/>
    </row>
    <row r="827" spans="1:18">
      <c r="A827" s="34">
        <f>A802+1</f>
        <v>32</v>
      </c>
      <c r="B827" s="713" t="s">
        <v>699</v>
      </c>
      <c r="C827" s="66" t="s">
        <v>11</v>
      </c>
      <c r="D827" s="4"/>
      <c r="E827" s="6"/>
      <c r="F827" s="29"/>
      <c r="G827" s="26"/>
      <c r="H827" s="26"/>
      <c r="I827" s="6"/>
      <c r="J827" s="8"/>
      <c r="K827" s="88"/>
      <c r="L827" s="28"/>
      <c r="M827" s="28"/>
      <c r="N827" s="8"/>
      <c r="O827" s="8"/>
      <c r="P827" s="88"/>
      <c r="Q827" s="28"/>
      <c r="R827" s="28"/>
    </row>
    <row r="828" spans="1:18">
      <c r="A828" s="2"/>
      <c r="B828" s="714"/>
      <c r="C828" s="124"/>
      <c r="D828" s="4" t="s">
        <v>75</v>
      </c>
      <c r="E828" s="66" t="s">
        <v>81</v>
      </c>
      <c r="F828" s="29">
        <v>0.5</v>
      </c>
      <c r="G828" s="26">
        <f>fr</f>
        <v>1100</v>
      </c>
      <c r="H828" s="26">
        <f>F828*G828</f>
        <v>550</v>
      </c>
      <c r="I828" s="7" t="s">
        <v>252</v>
      </c>
      <c r="J828" s="145" t="s">
        <v>673</v>
      </c>
      <c r="K828" s="88">
        <v>0.45</v>
      </c>
      <c r="L828" s="28">
        <f>cement</f>
        <v>24049.69</v>
      </c>
      <c r="M828" s="28">
        <f>K828*L828</f>
        <v>10822.360499999999</v>
      </c>
      <c r="N828" s="8" t="s">
        <v>553</v>
      </c>
      <c r="O828" s="145" t="s">
        <v>101</v>
      </c>
      <c r="P828" s="88">
        <v>0.4</v>
      </c>
      <c r="Q828" s="28">
        <f>agitator</f>
        <v>1622.4</v>
      </c>
      <c r="R828" s="28">
        <f t="shared" ref="R828:R835" si="46">P828*Q828</f>
        <v>648.96</v>
      </c>
    </row>
    <row r="829" spans="1:18">
      <c r="A829" s="2"/>
      <c r="B829" s="714"/>
      <c r="C829" s="6"/>
      <c r="D829" s="4" t="s">
        <v>96</v>
      </c>
      <c r="E829" s="66" t="s">
        <v>81</v>
      </c>
      <c r="F829" s="156">
        <v>3</v>
      </c>
      <c r="G829" s="26">
        <f>sr</f>
        <v>1100</v>
      </c>
      <c r="H829" s="26">
        <f>F829*G829</f>
        <v>3300</v>
      </c>
      <c r="I829" s="7" t="s">
        <v>258</v>
      </c>
      <c r="J829" s="145" t="s">
        <v>674</v>
      </c>
      <c r="K829" s="29">
        <v>0.56999999999999995</v>
      </c>
      <c r="L829" s="28">
        <f>Agg_20</f>
        <v>2700</v>
      </c>
      <c r="M829" s="28">
        <f t="shared" ref="M829:M834" si="47">K829*L829</f>
        <v>1538.9999999999998</v>
      </c>
      <c r="N829" s="8" t="s">
        <v>675</v>
      </c>
      <c r="O829" s="145" t="s">
        <v>101</v>
      </c>
      <c r="P829" s="88">
        <v>0.4</v>
      </c>
      <c r="Q829" s="28">
        <f>mixer</f>
        <v>216.32</v>
      </c>
      <c r="R829" s="28">
        <f t="shared" si="46"/>
        <v>86.528000000000006</v>
      </c>
    </row>
    <row r="830" spans="1:18">
      <c r="A830" s="2"/>
      <c r="B830" s="126"/>
      <c r="C830" s="6"/>
      <c r="D830" s="4" t="s">
        <v>97</v>
      </c>
      <c r="E830" s="66" t="s">
        <v>81</v>
      </c>
      <c r="F830" s="156">
        <v>1.5</v>
      </c>
      <c r="G830" s="26">
        <f>ur</f>
        <v>850</v>
      </c>
      <c r="H830" s="26">
        <f>F830*G830</f>
        <v>1275</v>
      </c>
      <c r="I830" s="7" t="s">
        <v>259</v>
      </c>
      <c r="J830" s="145" t="s">
        <v>674</v>
      </c>
      <c r="K830" s="29">
        <v>0.33</v>
      </c>
      <c r="L830" s="28">
        <f>Agg_10</f>
        <v>2950</v>
      </c>
      <c r="M830" s="28">
        <f t="shared" si="47"/>
        <v>973.5</v>
      </c>
      <c r="N830" s="8" t="s">
        <v>676</v>
      </c>
      <c r="O830" s="145" t="s">
        <v>101</v>
      </c>
      <c r="P830" s="88">
        <v>0.1</v>
      </c>
      <c r="Q830" s="28">
        <f>truck</f>
        <v>486.72</v>
      </c>
      <c r="R830" s="28">
        <f t="shared" si="46"/>
        <v>48.672000000000004</v>
      </c>
    </row>
    <row r="831" spans="1:18">
      <c r="A831" s="2"/>
      <c r="B831" s="126"/>
      <c r="C831" s="6"/>
      <c r="D831" s="4" t="s">
        <v>76</v>
      </c>
      <c r="E831" s="66" t="s">
        <v>81</v>
      </c>
      <c r="F831" s="29">
        <f>P830/8</f>
        <v>1.2500000000000001E-2</v>
      </c>
      <c r="G831" s="26">
        <f>drv</f>
        <v>1100</v>
      </c>
      <c r="H831" s="26">
        <f>F831*G831</f>
        <v>13.75</v>
      </c>
      <c r="I831" s="7" t="s">
        <v>254</v>
      </c>
      <c r="J831" s="145" t="s">
        <v>674</v>
      </c>
      <c r="K831" s="29">
        <v>0.44</v>
      </c>
      <c r="L831" s="28">
        <f>sand</f>
        <v>1050</v>
      </c>
      <c r="M831" s="28">
        <f t="shared" si="47"/>
        <v>462</v>
      </c>
      <c r="N831" s="8" t="s">
        <v>677</v>
      </c>
      <c r="O831" s="145" t="s">
        <v>101</v>
      </c>
      <c r="P831" s="88">
        <v>0.4</v>
      </c>
      <c r="Q831" s="28">
        <f>concrete_pump</f>
        <v>1081.5999999999999</v>
      </c>
      <c r="R831" s="28">
        <f t="shared" si="46"/>
        <v>432.64</v>
      </c>
    </row>
    <row r="832" spans="1:18">
      <c r="A832" s="2"/>
      <c r="B832" s="126"/>
      <c r="C832" s="6"/>
      <c r="D832" s="4" t="s">
        <v>86</v>
      </c>
      <c r="E832" s="66" t="s">
        <v>81</v>
      </c>
      <c r="F832" s="29">
        <f>F831</f>
        <v>1.2500000000000001E-2</v>
      </c>
      <c r="G832" s="26">
        <f>hr</f>
        <v>750</v>
      </c>
      <c r="H832" s="26">
        <f>F832*G832</f>
        <v>9.375</v>
      </c>
      <c r="I832" s="7" t="s">
        <v>70</v>
      </c>
      <c r="J832" s="145" t="s">
        <v>250</v>
      </c>
      <c r="K832" s="29">
        <v>0.1</v>
      </c>
      <c r="L832" s="28">
        <f>petrol</f>
        <v>188.6</v>
      </c>
      <c r="M832" s="28">
        <f t="shared" si="47"/>
        <v>18.86</v>
      </c>
      <c r="N832" s="8" t="s">
        <v>678</v>
      </c>
      <c r="O832" s="145" t="s">
        <v>101</v>
      </c>
      <c r="P832" s="88">
        <v>0.4</v>
      </c>
      <c r="Q832" s="28">
        <f>vibrator_concrete</f>
        <v>108.16</v>
      </c>
      <c r="R832" s="28">
        <f t="shared" si="46"/>
        <v>43.264000000000003</v>
      </c>
    </row>
    <row r="833" spans="1:18">
      <c r="A833" s="2"/>
      <c r="B833" s="126"/>
      <c r="C833" s="6"/>
      <c r="D833" s="4"/>
      <c r="E833" s="66"/>
      <c r="F833" s="29"/>
      <c r="G833" s="26"/>
      <c r="H833" s="26"/>
      <c r="I833" s="7" t="s">
        <v>67</v>
      </c>
      <c r="J833" s="145" t="s">
        <v>250</v>
      </c>
      <c r="K833" s="29">
        <v>3</v>
      </c>
      <c r="L833" s="28">
        <f>diesel</f>
        <v>177.6</v>
      </c>
      <c r="M833" s="28">
        <f t="shared" si="47"/>
        <v>532.79999999999995</v>
      </c>
      <c r="N833" s="8" t="s">
        <v>398</v>
      </c>
      <c r="O833" s="145" t="s">
        <v>101</v>
      </c>
      <c r="P833" s="88">
        <v>0.4</v>
      </c>
      <c r="Q833" s="28">
        <f>compressor</f>
        <v>270.39999999999998</v>
      </c>
      <c r="R833" s="28">
        <f t="shared" si="46"/>
        <v>108.16</v>
      </c>
    </row>
    <row r="834" spans="1:18">
      <c r="A834" s="2"/>
      <c r="B834" s="126"/>
      <c r="C834" s="6"/>
      <c r="D834" s="4"/>
      <c r="E834" s="66"/>
      <c r="F834" s="29"/>
      <c r="G834" s="26"/>
      <c r="H834" s="26"/>
      <c r="I834" s="7" t="s">
        <v>683</v>
      </c>
      <c r="J834" s="145" t="s">
        <v>28</v>
      </c>
      <c r="K834" s="88">
        <v>6</v>
      </c>
      <c r="L834" s="28">
        <f>plasticizers</f>
        <v>139.63</v>
      </c>
      <c r="M834" s="28">
        <f t="shared" si="47"/>
        <v>837.78</v>
      </c>
      <c r="N834" s="8" t="s">
        <v>679</v>
      </c>
      <c r="O834" s="145" t="s">
        <v>101</v>
      </c>
      <c r="P834" s="88">
        <v>0.4</v>
      </c>
      <c r="Q834" s="28">
        <v>50</v>
      </c>
      <c r="R834" s="28">
        <f t="shared" si="46"/>
        <v>20</v>
      </c>
    </row>
    <row r="835" spans="1:18">
      <c r="A835" s="2"/>
      <c r="B835" s="126"/>
      <c r="C835" s="6"/>
      <c r="D835" s="4"/>
      <c r="E835" s="66"/>
      <c r="F835" s="29"/>
      <c r="G835" s="26"/>
      <c r="H835" s="26"/>
      <c r="I835" s="7"/>
      <c r="J835" s="145"/>
      <c r="K835" s="88"/>
      <c r="L835" s="28"/>
      <c r="M835" s="28"/>
      <c r="N835" s="8" t="s">
        <v>680</v>
      </c>
      <c r="O835" s="145" t="s">
        <v>101</v>
      </c>
      <c r="P835" s="88">
        <v>0.4</v>
      </c>
      <c r="Q835" s="28">
        <v>50</v>
      </c>
      <c r="R835" s="28">
        <f t="shared" si="46"/>
        <v>20</v>
      </c>
    </row>
    <row r="836" spans="1:18">
      <c r="A836" s="2"/>
      <c r="B836" s="126"/>
      <c r="C836" s="6"/>
      <c r="D836" s="4"/>
      <c r="E836" s="66"/>
      <c r="F836" s="29"/>
      <c r="G836" s="26"/>
      <c r="H836" s="26"/>
      <c r="I836" s="7"/>
      <c r="J836" s="145"/>
      <c r="K836" s="88"/>
      <c r="L836" s="28"/>
      <c r="M836" s="28"/>
      <c r="N836" s="8"/>
      <c r="O836" s="145"/>
      <c r="P836" s="88"/>
      <c r="Q836" s="28"/>
      <c r="R836" s="28"/>
    </row>
    <row r="837" spans="1:18">
      <c r="A837" s="2"/>
      <c r="B837" s="126"/>
      <c r="C837" s="6"/>
      <c r="D837" s="4"/>
      <c r="E837" s="66"/>
      <c r="F837" s="29"/>
      <c r="G837" s="26"/>
      <c r="H837" s="26"/>
      <c r="I837" s="7"/>
      <c r="J837" s="145"/>
      <c r="K837" s="88"/>
      <c r="L837" s="28"/>
      <c r="M837" s="28"/>
      <c r="N837" s="8"/>
      <c r="O837" s="145"/>
      <c r="P837" s="88"/>
      <c r="Q837" s="28"/>
      <c r="R837" s="28"/>
    </row>
    <row r="838" spans="1:18">
      <c r="A838" s="2"/>
      <c r="B838" s="5"/>
      <c r="C838" s="6"/>
      <c r="D838" s="4"/>
      <c r="E838" s="9"/>
      <c r="F838" s="30"/>
      <c r="G838" s="27"/>
      <c r="H838" s="27"/>
      <c r="I838" s="9"/>
      <c r="J838" s="10"/>
      <c r="K838" s="91"/>
      <c r="L838" s="28"/>
      <c r="M838" s="28"/>
      <c r="N838" s="8"/>
      <c r="O838" s="8"/>
      <c r="P838" s="91"/>
      <c r="Q838" s="28"/>
      <c r="R838" s="28"/>
    </row>
    <row r="839" spans="1:18">
      <c r="A839" s="2"/>
      <c r="B839" s="11"/>
      <c r="C839" s="6"/>
      <c r="D839" s="12"/>
      <c r="E839" s="59"/>
      <c r="F839" s="13"/>
      <c r="G839" s="13" t="s">
        <v>20</v>
      </c>
      <c r="H839" s="25">
        <f>SUM(H827:H838)</f>
        <v>5148.125</v>
      </c>
      <c r="I839" s="703"/>
      <c r="J839" s="703"/>
      <c r="K839" s="14"/>
      <c r="L839" s="13" t="s">
        <v>21</v>
      </c>
      <c r="M839" s="25">
        <f>SUM(M827:M838)</f>
        <v>15186.300499999999</v>
      </c>
      <c r="N839" s="3"/>
      <c r="O839" s="14"/>
      <c r="P839" s="14"/>
      <c r="Q839" s="13" t="s">
        <v>22</v>
      </c>
      <c r="R839" s="25">
        <f>SUM(R827:R838)</f>
        <v>1408.2240000000002</v>
      </c>
    </row>
    <row r="840" spans="1:18">
      <c r="A840" s="2"/>
      <c r="B840" s="16" t="s">
        <v>13</v>
      </c>
      <c r="C840" s="14"/>
      <c r="D840" s="14"/>
      <c r="E840" s="14"/>
      <c r="F840" s="14"/>
      <c r="G840" s="13"/>
      <c r="H840" s="35">
        <f>M839+R839+H839</f>
        <v>21742.6495</v>
      </c>
      <c r="I840" s="17"/>
      <c r="J840" s="14"/>
      <c r="K840" s="14"/>
      <c r="L840" s="13"/>
      <c r="M840" s="15"/>
      <c r="N840" s="14"/>
      <c r="O840" s="14"/>
      <c r="P840" s="14"/>
      <c r="Q840" s="14"/>
      <c r="R840" s="17"/>
    </row>
    <row r="841" spans="1:18">
      <c r="A841" s="2"/>
      <c r="B841" s="11" t="s">
        <v>25</v>
      </c>
      <c r="C841" s="4" t="s">
        <v>647</v>
      </c>
      <c r="D841" s="4"/>
      <c r="E841" s="4"/>
      <c r="F841" s="4"/>
      <c r="G841" s="18"/>
      <c r="H841" s="36">
        <f>20%*(H839)</f>
        <v>1029.625</v>
      </c>
      <c r="I841" s="20"/>
      <c r="J841" s="4" t="s">
        <v>26</v>
      </c>
      <c r="K841" s="4"/>
      <c r="L841" s="18"/>
      <c r="M841" s="19"/>
      <c r="N841" s="4"/>
      <c r="O841" s="4"/>
      <c r="P841" s="4"/>
      <c r="Q841" s="4"/>
      <c r="R841" s="20"/>
    </row>
    <row r="842" spans="1:18">
      <c r="A842" s="23"/>
      <c r="B842" s="11" t="s">
        <v>14</v>
      </c>
      <c r="C842" s="4"/>
      <c r="D842" s="4"/>
      <c r="E842" s="4"/>
      <c r="F842" s="4"/>
      <c r="G842" s="18"/>
      <c r="H842" s="36">
        <f>SUM(H840:H841)</f>
        <v>22772.2745</v>
      </c>
      <c r="I842" s="20"/>
      <c r="J842" s="750"/>
      <c r="K842" s="751"/>
      <c r="L842" s="751"/>
      <c r="M842" s="751"/>
      <c r="N842" s="751"/>
      <c r="O842" s="751"/>
      <c r="P842" s="751"/>
      <c r="Q842" s="751"/>
      <c r="R842" s="752"/>
    </row>
    <row r="843" spans="1:18">
      <c r="A843" s="23"/>
      <c r="B843" s="11" t="s">
        <v>24</v>
      </c>
      <c r="C843" s="4"/>
      <c r="D843" s="4"/>
      <c r="E843" s="4"/>
      <c r="F843" s="4"/>
      <c r="G843" s="18"/>
      <c r="H843" s="36">
        <f>H842*15%</f>
        <v>3415.841175</v>
      </c>
      <c r="I843" s="20"/>
      <c r="J843" s="753"/>
      <c r="K843" s="754"/>
      <c r="L843" s="754"/>
      <c r="M843" s="754"/>
      <c r="N843" s="754"/>
      <c r="O843" s="754"/>
      <c r="P843" s="754"/>
      <c r="Q843" s="754"/>
      <c r="R843" s="755"/>
    </row>
    <row r="844" spans="1:18">
      <c r="A844" s="23"/>
      <c r="B844" s="11" t="s">
        <v>15</v>
      </c>
      <c r="C844" s="4"/>
      <c r="D844" s="4"/>
      <c r="E844" s="4"/>
      <c r="F844" s="4"/>
      <c r="G844" s="21" t="s">
        <v>16</v>
      </c>
      <c r="H844" s="37">
        <f>H843+H842</f>
        <v>26188.115675000001</v>
      </c>
      <c r="I844" s="38" t="str">
        <f>CONCATENATE("per ",C827, C828)</f>
        <v>per cum</v>
      </c>
      <c r="J844" s="753"/>
      <c r="K844" s="754"/>
      <c r="L844" s="754"/>
      <c r="M844" s="754"/>
      <c r="N844" s="754"/>
      <c r="O844" s="754"/>
      <c r="P844" s="754"/>
      <c r="Q844" s="754"/>
      <c r="R844" s="755"/>
    </row>
    <row r="845" spans="1:18">
      <c r="A845" s="23"/>
      <c r="B845" s="11" t="s">
        <v>18</v>
      </c>
      <c r="C845" s="4" t="s">
        <v>19</v>
      </c>
      <c r="D845" s="4"/>
      <c r="E845" s="4"/>
      <c r="F845" s="4"/>
      <c r="G845" s="21" t="s">
        <v>16</v>
      </c>
      <c r="H845" s="37">
        <f>CEILING(H844,0.5)</f>
        <v>26188.5</v>
      </c>
      <c r="I845" s="38" t="str">
        <f>CONCATENATE("per ",C827)</f>
        <v>per cum</v>
      </c>
      <c r="J845" s="753"/>
      <c r="K845" s="754"/>
      <c r="L845" s="754"/>
      <c r="M845" s="754"/>
      <c r="N845" s="754"/>
      <c r="O845" s="754"/>
      <c r="P845" s="754"/>
      <c r="Q845" s="754"/>
      <c r="R845" s="755"/>
    </row>
    <row r="846" spans="1:18">
      <c r="A846" s="23"/>
      <c r="B846" s="11"/>
      <c r="C846" s="4"/>
      <c r="D846" s="4"/>
      <c r="E846" s="4"/>
      <c r="F846" s="4"/>
      <c r="G846" s="24" t="s">
        <v>17</v>
      </c>
      <c r="H846" s="37">
        <f>H845/exr</f>
        <v>201.45</v>
      </c>
      <c r="I846" s="38" t="str">
        <f>CONCATENATE("per ",C827)</f>
        <v>per cum</v>
      </c>
      <c r="J846" s="756"/>
      <c r="K846" s="757"/>
      <c r="L846" s="757"/>
      <c r="M846" s="757"/>
      <c r="N846" s="757"/>
      <c r="O846" s="757"/>
      <c r="P846" s="757"/>
      <c r="Q846" s="757"/>
      <c r="R846" s="758"/>
    </row>
    <row r="847" spans="1:18">
      <c r="A847" s="39"/>
      <c r="B847" s="40"/>
      <c r="C847" s="41"/>
      <c r="D847" s="41"/>
      <c r="E847" s="41"/>
      <c r="F847" s="41"/>
      <c r="G847" s="149" t="s">
        <v>460</v>
      </c>
      <c r="H847" s="150">
        <f>CEILING(SUM(M839,R839)/H840,0.0025)</f>
        <v>0.76500000000000001</v>
      </c>
      <c r="I847" s="42"/>
      <c r="J847" s="43"/>
      <c r="K847" s="43"/>
      <c r="L847" s="43"/>
      <c r="M847" s="43"/>
      <c r="N847" s="43"/>
      <c r="O847" s="43"/>
      <c r="P847" s="43"/>
      <c r="Q847" s="43"/>
      <c r="R847" s="44"/>
    </row>
    <row r="849" spans="1:18">
      <c r="A849" s="693" t="s">
        <v>0</v>
      </c>
      <c r="B849" s="695" t="s">
        <v>1</v>
      </c>
      <c r="C849" s="695" t="s">
        <v>2</v>
      </c>
      <c r="D849" s="697" t="s">
        <v>3</v>
      </c>
      <c r="E849" s="698"/>
      <c r="F849" s="698"/>
      <c r="G849" s="698"/>
      <c r="H849" s="698"/>
      <c r="I849" s="699" t="s">
        <v>4</v>
      </c>
      <c r="J849" s="700"/>
      <c r="K849" s="700"/>
      <c r="L849" s="700"/>
      <c r="M849" s="700"/>
      <c r="N849" s="698" t="s">
        <v>5</v>
      </c>
      <c r="O849" s="698"/>
      <c r="P849" s="698"/>
      <c r="Q849" s="698"/>
      <c r="R849" s="698"/>
    </row>
    <row r="850" spans="1:18">
      <c r="A850" s="694"/>
      <c r="B850" s="759"/>
      <c r="C850" s="696"/>
      <c r="D850" s="45" t="s">
        <v>6</v>
      </c>
      <c r="E850" s="46" t="s">
        <v>2</v>
      </c>
      <c r="F850" s="46" t="s">
        <v>7</v>
      </c>
      <c r="G850" s="46" t="s">
        <v>8</v>
      </c>
      <c r="H850" s="46" t="s">
        <v>9</v>
      </c>
      <c r="I850" s="46" t="s">
        <v>10</v>
      </c>
      <c r="J850" s="46" t="s">
        <v>2</v>
      </c>
      <c r="K850" s="46" t="s">
        <v>7</v>
      </c>
      <c r="L850" s="46" t="s">
        <v>8</v>
      </c>
      <c r="M850" s="47" t="s">
        <v>9</v>
      </c>
      <c r="N850" s="46" t="s">
        <v>10</v>
      </c>
      <c r="O850" s="46" t="s">
        <v>2</v>
      </c>
      <c r="P850" s="46" t="s">
        <v>7</v>
      </c>
      <c r="Q850" s="46" t="s">
        <v>8</v>
      </c>
      <c r="R850" s="46" t="s">
        <v>9</v>
      </c>
    </row>
    <row r="851" spans="1:18">
      <c r="A851" s="175" t="s">
        <v>23</v>
      </c>
      <c r="B851" s="176"/>
      <c r="C851" s="177"/>
      <c r="D851" s="177"/>
      <c r="E851" s="177"/>
      <c r="F851" s="177"/>
      <c r="G851" s="177"/>
      <c r="H851" s="177"/>
      <c r="I851" s="177"/>
      <c r="J851" s="177"/>
      <c r="K851" s="177"/>
      <c r="L851" s="177"/>
      <c r="M851" s="177"/>
      <c r="N851" s="177"/>
      <c r="O851" s="177"/>
      <c r="P851" s="177"/>
      <c r="Q851" s="177"/>
      <c r="R851" s="178"/>
    </row>
    <row r="852" spans="1:18">
      <c r="A852" s="179">
        <f>A827+1</f>
        <v>33</v>
      </c>
      <c r="B852" s="763" t="s">
        <v>672</v>
      </c>
      <c r="C852" s="180" t="s">
        <v>11</v>
      </c>
      <c r="D852" s="181"/>
      <c r="E852" s="182"/>
      <c r="F852" s="156"/>
      <c r="G852" s="154"/>
      <c r="H852" s="154"/>
      <c r="I852" s="182"/>
      <c r="J852" s="182"/>
      <c r="K852" s="156"/>
      <c r="L852" s="154"/>
      <c r="M852" s="154"/>
      <c r="N852" s="182"/>
      <c r="O852" s="182"/>
      <c r="P852" s="156"/>
      <c r="Q852" s="154"/>
      <c r="R852" s="154"/>
    </row>
    <row r="853" spans="1:18">
      <c r="A853" s="183"/>
      <c r="B853" s="764"/>
      <c r="C853" s="184"/>
      <c r="D853" s="181" t="s">
        <v>75</v>
      </c>
      <c r="E853" s="180" t="s">
        <v>81</v>
      </c>
      <c r="F853" s="156">
        <v>0.5</v>
      </c>
      <c r="G853" s="154">
        <f>fr</f>
        <v>1100</v>
      </c>
      <c r="H853" s="154">
        <f>F853*G853</f>
        <v>550</v>
      </c>
      <c r="I853" s="185" t="s">
        <v>252</v>
      </c>
      <c r="J853" s="180" t="s">
        <v>673</v>
      </c>
      <c r="K853" s="156">
        <v>0.26</v>
      </c>
      <c r="L853" s="154">
        <f>cement</f>
        <v>24049.69</v>
      </c>
      <c r="M853" s="154">
        <f>K853*L853</f>
        <v>6252.9193999999998</v>
      </c>
      <c r="N853" s="182" t="s">
        <v>553</v>
      </c>
      <c r="O853" s="180" t="s">
        <v>101</v>
      </c>
      <c r="P853" s="156">
        <v>0.4</v>
      </c>
      <c r="Q853" s="154">
        <f>agitator</f>
        <v>1622.4</v>
      </c>
      <c r="R853" s="154">
        <f t="shared" ref="R853:R860" si="48">P853*Q853</f>
        <v>648.96</v>
      </c>
    </row>
    <row r="854" spans="1:18">
      <c r="A854" s="183"/>
      <c r="B854" s="764"/>
      <c r="C854" s="182"/>
      <c r="D854" s="181" t="s">
        <v>96</v>
      </c>
      <c r="E854" s="180" t="s">
        <v>81</v>
      </c>
      <c r="F854" s="156">
        <v>2.5</v>
      </c>
      <c r="G854" s="154">
        <f>sr</f>
        <v>1100</v>
      </c>
      <c r="H854" s="154">
        <f>F854*G854</f>
        <v>2750</v>
      </c>
      <c r="I854" s="185" t="s">
        <v>253</v>
      </c>
      <c r="J854" s="180" t="s">
        <v>674</v>
      </c>
      <c r="K854" s="156">
        <v>0.53</v>
      </c>
      <c r="L854" s="154">
        <f>Agg_40</f>
        <v>2450</v>
      </c>
      <c r="M854" s="154">
        <f t="shared" ref="M854:M859" si="49">K854*L854</f>
        <v>1298.5</v>
      </c>
      <c r="N854" s="182" t="s">
        <v>675</v>
      </c>
      <c r="O854" s="180" t="s">
        <v>101</v>
      </c>
      <c r="P854" s="156">
        <v>0.4</v>
      </c>
      <c r="Q854" s="154">
        <f>mixer</f>
        <v>216.32</v>
      </c>
      <c r="R854" s="154">
        <f t="shared" si="48"/>
        <v>86.528000000000006</v>
      </c>
    </row>
    <row r="855" spans="1:18">
      <c r="A855" s="183"/>
      <c r="B855" s="186"/>
      <c r="C855" s="182"/>
      <c r="D855" s="181" t="s">
        <v>97</v>
      </c>
      <c r="E855" s="180" t="s">
        <v>81</v>
      </c>
      <c r="F855" s="156">
        <v>1</v>
      </c>
      <c r="G855" s="154">
        <f>ur</f>
        <v>850</v>
      </c>
      <c r="H855" s="154">
        <f>F855*G855</f>
        <v>850</v>
      </c>
      <c r="I855" s="185" t="s">
        <v>258</v>
      </c>
      <c r="J855" s="180" t="s">
        <v>674</v>
      </c>
      <c r="K855" s="156">
        <v>0.24</v>
      </c>
      <c r="L855" s="154">
        <f>Agg_20</f>
        <v>2700</v>
      </c>
      <c r="M855" s="154">
        <f t="shared" si="49"/>
        <v>648</v>
      </c>
      <c r="N855" s="182" t="s">
        <v>676</v>
      </c>
      <c r="O855" s="180" t="s">
        <v>101</v>
      </c>
      <c r="P855" s="156">
        <v>0.1</v>
      </c>
      <c r="Q855" s="154">
        <f>truck</f>
        <v>486.72</v>
      </c>
      <c r="R855" s="154">
        <f t="shared" si="48"/>
        <v>48.672000000000004</v>
      </c>
    </row>
    <row r="856" spans="1:18">
      <c r="A856" s="183"/>
      <c r="B856" s="186"/>
      <c r="C856" s="182"/>
      <c r="D856" s="181" t="s">
        <v>76</v>
      </c>
      <c r="E856" s="180" t="s">
        <v>81</v>
      </c>
      <c r="F856" s="156">
        <f>P855/8</f>
        <v>1.2500000000000001E-2</v>
      </c>
      <c r="G856" s="154">
        <f>drv</f>
        <v>1100</v>
      </c>
      <c r="H856" s="154">
        <f>F856*G856</f>
        <v>13.75</v>
      </c>
      <c r="I856" s="185" t="s">
        <v>259</v>
      </c>
      <c r="J856" s="180" t="s">
        <v>674</v>
      </c>
      <c r="K856" s="156">
        <v>0.11</v>
      </c>
      <c r="L856" s="154">
        <f>Agg_10</f>
        <v>2950</v>
      </c>
      <c r="M856" s="154">
        <f t="shared" si="49"/>
        <v>324.5</v>
      </c>
      <c r="N856" s="182" t="s">
        <v>677</v>
      </c>
      <c r="O856" s="180" t="s">
        <v>101</v>
      </c>
      <c r="P856" s="156">
        <v>0.4</v>
      </c>
      <c r="Q856" s="154">
        <f>concrete_pump</f>
        <v>1081.5999999999999</v>
      </c>
      <c r="R856" s="154">
        <f t="shared" si="48"/>
        <v>432.64</v>
      </c>
    </row>
    <row r="857" spans="1:18">
      <c r="A857" s="183"/>
      <c r="B857" s="186"/>
      <c r="C857" s="182"/>
      <c r="D857" s="181" t="s">
        <v>86</v>
      </c>
      <c r="E857" s="180" t="s">
        <v>81</v>
      </c>
      <c r="F857" s="156">
        <f>F856</f>
        <v>1.2500000000000001E-2</v>
      </c>
      <c r="G857" s="154">
        <f>hr</f>
        <v>750</v>
      </c>
      <c r="H857" s="154">
        <f>F857*G857</f>
        <v>9.375</v>
      </c>
      <c r="I857" s="185" t="s">
        <v>254</v>
      </c>
      <c r="J857" s="180" t="s">
        <v>674</v>
      </c>
      <c r="K857" s="156">
        <v>0.46</v>
      </c>
      <c r="L857" s="154">
        <f>sand</f>
        <v>1050</v>
      </c>
      <c r="M857" s="154">
        <f t="shared" si="49"/>
        <v>483</v>
      </c>
      <c r="N857" s="182" t="s">
        <v>678</v>
      </c>
      <c r="O857" s="180" t="s">
        <v>101</v>
      </c>
      <c r="P857" s="156">
        <v>0.4</v>
      </c>
      <c r="Q857" s="154">
        <f>vibrator_concrete</f>
        <v>108.16</v>
      </c>
      <c r="R857" s="154">
        <f t="shared" si="48"/>
        <v>43.264000000000003</v>
      </c>
    </row>
    <row r="858" spans="1:18">
      <c r="A858" s="183"/>
      <c r="B858" s="186"/>
      <c r="C858" s="182"/>
      <c r="D858" s="181"/>
      <c r="E858" s="180"/>
      <c r="F858" s="156"/>
      <c r="G858" s="154"/>
      <c r="H858" s="154"/>
      <c r="I858" s="185" t="s">
        <v>70</v>
      </c>
      <c r="J858" s="180" t="s">
        <v>250</v>
      </c>
      <c r="K858" s="156">
        <v>0.1</v>
      </c>
      <c r="L858" s="154">
        <f>petrol</f>
        <v>188.6</v>
      </c>
      <c r="M858" s="154">
        <f t="shared" si="49"/>
        <v>18.86</v>
      </c>
      <c r="N858" s="182" t="s">
        <v>398</v>
      </c>
      <c r="O858" s="180" t="s">
        <v>101</v>
      </c>
      <c r="P858" s="156">
        <v>0.4</v>
      </c>
      <c r="Q858" s="154">
        <f>compressor</f>
        <v>270.39999999999998</v>
      </c>
      <c r="R858" s="154">
        <f t="shared" si="48"/>
        <v>108.16</v>
      </c>
    </row>
    <row r="859" spans="1:18">
      <c r="A859" s="183"/>
      <c r="B859" s="186"/>
      <c r="C859" s="182"/>
      <c r="D859" s="181"/>
      <c r="E859" s="180"/>
      <c r="F859" s="156"/>
      <c r="G859" s="154"/>
      <c r="H859" s="154"/>
      <c r="I859" s="185" t="s">
        <v>67</v>
      </c>
      <c r="J859" s="180" t="s">
        <v>250</v>
      </c>
      <c r="K859" s="156">
        <v>3</v>
      </c>
      <c r="L859" s="154">
        <f>diesel</f>
        <v>177.6</v>
      </c>
      <c r="M859" s="154">
        <f t="shared" si="49"/>
        <v>532.79999999999995</v>
      </c>
      <c r="N859" s="182" t="s">
        <v>679</v>
      </c>
      <c r="O859" s="180" t="s">
        <v>101</v>
      </c>
      <c r="P859" s="156">
        <v>0.4</v>
      </c>
      <c r="Q859" s="154">
        <v>50</v>
      </c>
      <c r="R859" s="154">
        <f t="shared" si="48"/>
        <v>20</v>
      </c>
    </row>
    <row r="860" spans="1:18">
      <c r="A860" s="183"/>
      <c r="B860" s="186"/>
      <c r="C860" s="182"/>
      <c r="D860" s="181"/>
      <c r="E860" s="180"/>
      <c r="F860" s="156"/>
      <c r="G860" s="154"/>
      <c r="H860" s="154"/>
      <c r="I860" s="185"/>
      <c r="J860" s="180"/>
      <c r="K860" s="156"/>
      <c r="L860" s="154"/>
      <c r="M860" s="154"/>
      <c r="N860" s="182" t="s">
        <v>680</v>
      </c>
      <c r="O860" s="180" t="s">
        <v>101</v>
      </c>
      <c r="P860" s="156">
        <v>0.4</v>
      </c>
      <c r="Q860" s="154">
        <v>50</v>
      </c>
      <c r="R860" s="154">
        <f t="shared" si="48"/>
        <v>20</v>
      </c>
    </row>
    <row r="861" spans="1:18">
      <c r="A861" s="183"/>
      <c r="B861" s="186"/>
      <c r="C861" s="182"/>
      <c r="D861" s="181"/>
      <c r="E861" s="180"/>
      <c r="F861" s="156"/>
      <c r="G861" s="154"/>
      <c r="H861" s="154"/>
      <c r="I861" s="185"/>
      <c r="J861" s="180"/>
      <c r="K861" s="156"/>
      <c r="L861" s="154"/>
      <c r="M861" s="154"/>
      <c r="N861" s="182"/>
      <c r="O861" s="180"/>
      <c r="P861" s="156"/>
      <c r="Q861" s="154"/>
      <c r="R861" s="154"/>
    </row>
    <row r="862" spans="1:18">
      <c r="A862" s="183"/>
      <c r="B862" s="186"/>
      <c r="C862" s="182"/>
      <c r="D862" s="181"/>
      <c r="E862" s="180"/>
      <c r="F862" s="156"/>
      <c r="G862" s="154"/>
      <c r="H862" s="154"/>
      <c r="I862" s="185"/>
      <c r="J862" s="180"/>
      <c r="K862" s="156"/>
      <c r="L862" s="154"/>
      <c r="M862" s="154"/>
      <c r="N862" s="182"/>
      <c r="O862" s="180"/>
      <c r="P862" s="156"/>
      <c r="Q862" s="154"/>
      <c r="R862" s="154"/>
    </row>
    <row r="863" spans="1:18">
      <c r="A863" s="183"/>
      <c r="B863" s="187"/>
      <c r="C863" s="182"/>
      <c r="D863" s="181"/>
      <c r="E863" s="188"/>
      <c r="F863" s="189"/>
      <c r="G863" s="190"/>
      <c r="H863" s="190"/>
      <c r="I863" s="188"/>
      <c r="J863" s="188"/>
      <c r="K863" s="189"/>
      <c r="L863" s="154"/>
      <c r="M863" s="154"/>
      <c r="N863" s="182"/>
      <c r="O863" s="182"/>
      <c r="P863" s="189"/>
      <c r="Q863" s="154"/>
      <c r="R863" s="154"/>
    </row>
    <row r="864" spans="1:18">
      <c r="A864" s="183"/>
      <c r="B864" s="183"/>
      <c r="C864" s="182"/>
      <c r="D864" s="191"/>
      <c r="E864" s="192"/>
      <c r="F864" s="193"/>
      <c r="G864" s="193" t="s">
        <v>20</v>
      </c>
      <c r="H864" s="194">
        <f>SUM(H852:H863)</f>
        <v>4173.125</v>
      </c>
      <c r="I864" s="774"/>
      <c r="J864" s="774"/>
      <c r="K864" s="195"/>
      <c r="L864" s="193" t="s">
        <v>21</v>
      </c>
      <c r="M864" s="194">
        <f>SUM(M852:M863)</f>
        <v>9558.5793999999987</v>
      </c>
      <c r="N864" s="196"/>
      <c r="O864" s="195"/>
      <c r="P864" s="195"/>
      <c r="Q864" s="193" t="s">
        <v>22</v>
      </c>
      <c r="R864" s="194">
        <f>SUM(R852:R863)</f>
        <v>1408.2240000000002</v>
      </c>
    </row>
    <row r="865" spans="1:18">
      <c r="A865" s="183"/>
      <c r="B865" s="197" t="s">
        <v>13</v>
      </c>
      <c r="C865" s="195"/>
      <c r="D865" s="195"/>
      <c r="E865" s="195"/>
      <c r="F865" s="195"/>
      <c r="G865" s="193"/>
      <c r="H865" s="198">
        <f>M864+R864+H864</f>
        <v>15139.928399999999</v>
      </c>
      <c r="I865" s="199"/>
      <c r="J865" s="195"/>
      <c r="K865" s="195"/>
      <c r="L865" s="193"/>
      <c r="M865" s="200"/>
      <c r="N865" s="195"/>
      <c r="O865" s="195"/>
      <c r="P865" s="195"/>
      <c r="Q865" s="195"/>
      <c r="R865" s="199"/>
    </row>
    <row r="866" spans="1:18">
      <c r="A866" s="183"/>
      <c r="B866" s="183" t="s">
        <v>25</v>
      </c>
      <c r="C866" s="181" t="s">
        <v>647</v>
      </c>
      <c r="D866" s="181"/>
      <c r="E866" s="181"/>
      <c r="F866" s="181"/>
      <c r="G866" s="201"/>
      <c r="H866" s="202">
        <f>20%*(H864)</f>
        <v>834.625</v>
      </c>
      <c r="I866" s="203"/>
      <c r="J866" s="181" t="s">
        <v>26</v>
      </c>
      <c r="K866" s="181"/>
      <c r="L866" s="201"/>
      <c r="M866" s="204"/>
      <c r="N866" s="181"/>
      <c r="O866" s="181"/>
      <c r="P866" s="181"/>
      <c r="Q866" s="181"/>
      <c r="R866" s="203"/>
    </row>
    <row r="867" spans="1:18">
      <c r="A867" s="205"/>
      <c r="B867" s="183" t="s">
        <v>14</v>
      </c>
      <c r="C867" s="181"/>
      <c r="D867" s="181"/>
      <c r="E867" s="181"/>
      <c r="F867" s="181"/>
      <c r="G867" s="201"/>
      <c r="H867" s="202">
        <f>SUM(H865:H866)</f>
        <v>15974.553399999999</v>
      </c>
      <c r="I867" s="203"/>
      <c r="J867" s="775"/>
      <c r="K867" s="776"/>
      <c r="L867" s="776"/>
      <c r="M867" s="776"/>
      <c r="N867" s="776"/>
      <c r="O867" s="776"/>
      <c r="P867" s="776"/>
      <c r="Q867" s="776"/>
      <c r="R867" s="777"/>
    </row>
    <row r="868" spans="1:18">
      <c r="A868" s="205"/>
      <c r="B868" s="183" t="s">
        <v>24</v>
      </c>
      <c r="C868" s="181"/>
      <c r="D868" s="181"/>
      <c r="E868" s="181"/>
      <c r="F868" s="181"/>
      <c r="G868" s="201"/>
      <c r="H868" s="202">
        <f>H867*15%</f>
        <v>2396.1830099999997</v>
      </c>
      <c r="I868" s="203"/>
      <c r="J868" s="778"/>
      <c r="K868" s="779"/>
      <c r="L868" s="779"/>
      <c r="M868" s="779"/>
      <c r="N868" s="779"/>
      <c r="O868" s="779"/>
      <c r="P868" s="779"/>
      <c r="Q868" s="779"/>
      <c r="R868" s="780"/>
    </row>
    <row r="869" spans="1:18">
      <c r="A869" s="205"/>
      <c r="B869" s="183" t="s">
        <v>15</v>
      </c>
      <c r="C869" s="181"/>
      <c r="D869" s="181"/>
      <c r="E869" s="181"/>
      <c r="F869" s="181"/>
      <c r="G869" s="206" t="s">
        <v>16</v>
      </c>
      <c r="H869" s="207">
        <f>H868+H867</f>
        <v>18370.736409999998</v>
      </c>
      <c r="I869" s="208" t="str">
        <f>CONCATENATE("per ",C852, C853)</f>
        <v>per cum</v>
      </c>
      <c r="J869" s="778"/>
      <c r="K869" s="779"/>
      <c r="L869" s="779"/>
      <c r="M869" s="779"/>
      <c r="N869" s="779"/>
      <c r="O869" s="779"/>
      <c r="P869" s="779"/>
      <c r="Q869" s="779"/>
      <c r="R869" s="780"/>
    </row>
    <row r="870" spans="1:18">
      <c r="A870" s="205"/>
      <c r="B870" s="183" t="s">
        <v>18</v>
      </c>
      <c r="C870" s="181" t="s">
        <v>19</v>
      </c>
      <c r="D870" s="181"/>
      <c r="E870" s="181"/>
      <c r="F870" s="181"/>
      <c r="G870" s="206" t="s">
        <v>16</v>
      </c>
      <c r="H870" s="207">
        <f>CEILING(H869,0.5)</f>
        <v>18371</v>
      </c>
      <c r="I870" s="208" t="str">
        <f>CONCATENATE("per ",C852)</f>
        <v>per cum</v>
      </c>
      <c r="J870" s="778"/>
      <c r="K870" s="779"/>
      <c r="L870" s="779"/>
      <c r="M870" s="779"/>
      <c r="N870" s="779"/>
      <c r="O870" s="779"/>
      <c r="P870" s="779"/>
      <c r="Q870" s="779"/>
      <c r="R870" s="780"/>
    </row>
    <row r="871" spans="1:18">
      <c r="A871" s="205"/>
      <c r="B871" s="183"/>
      <c r="C871" s="181"/>
      <c r="D871" s="181"/>
      <c r="E871" s="181"/>
      <c r="F871" s="181"/>
      <c r="G871" s="209" t="s">
        <v>17</v>
      </c>
      <c r="H871" s="207">
        <f>H870/exr</f>
        <v>141.3153846153846</v>
      </c>
      <c r="I871" s="208" t="str">
        <f>CONCATENATE("per ",C852)</f>
        <v>per cum</v>
      </c>
      <c r="J871" s="781"/>
      <c r="K871" s="782"/>
      <c r="L871" s="782"/>
      <c r="M871" s="782"/>
      <c r="N871" s="782"/>
      <c r="O871" s="782"/>
      <c r="P871" s="782"/>
      <c r="Q871" s="782"/>
      <c r="R871" s="783"/>
    </row>
    <row r="872" spans="1:18">
      <c r="A872" s="39"/>
      <c r="B872" s="40"/>
      <c r="C872" s="41"/>
      <c r="D872" s="41"/>
      <c r="E872" s="41"/>
      <c r="F872" s="41"/>
      <c r="G872" s="149" t="s">
        <v>460</v>
      </c>
      <c r="H872" s="150">
        <f>CEILING(SUM(M864,R864)/H865,0.0025)</f>
        <v>0.72499999999999998</v>
      </c>
      <c r="I872" s="42"/>
      <c r="J872" s="43"/>
      <c r="K872" s="43"/>
      <c r="L872" s="43"/>
      <c r="M872" s="43"/>
      <c r="N872" s="43"/>
      <c r="O872" s="43"/>
      <c r="P872" s="43"/>
      <c r="Q872" s="43"/>
      <c r="R872" s="44"/>
    </row>
    <row r="874" spans="1:18">
      <c r="A874" s="693" t="s">
        <v>0</v>
      </c>
      <c r="B874" s="695" t="s">
        <v>1</v>
      </c>
      <c r="C874" s="695" t="s">
        <v>2</v>
      </c>
      <c r="D874" s="697" t="s">
        <v>3</v>
      </c>
      <c r="E874" s="698"/>
      <c r="F874" s="698"/>
      <c r="G874" s="698"/>
      <c r="H874" s="698"/>
      <c r="I874" s="699" t="s">
        <v>4</v>
      </c>
      <c r="J874" s="700"/>
      <c r="K874" s="700"/>
      <c r="L874" s="700"/>
      <c r="M874" s="700"/>
      <c r="N874" s="698" t="s">
        <v>5</v>
      </c>
      <c r="O874" s="698"/>
      <c r="P874" s="698"/>
      <c r="Q874" s="698"/>
      <c r="R874" s="698"/>
    </row>
    <row r="875" spans="1:18">
      <c r="A875" s="694"/>
      <c r="B875" s="759"/>
      <c r="C875" s="696"/>
      <c r="D875" s="45" t="s">
        <v>6</v>
      </c>
      <c r="E875" s="46" t="s">
        <v>2</v>
      </c>
      <c r="F875" s="46" t="s">
        <v>7</v>
      </c>
      <c r="G875" s="46" t="s">
        <v>8</v>
      </c>
      <c r="H875" s="46" t="s">
        <v>9</v>
      </c>
      <c r="I875" s="46" t="s">
        <v>10</v>
      </c>
      <c r="J875" s="46" t="s">
        <v>2</v>
      </c>
      <c r="K875" s="46" t="s">
        <v>7</v>
      </c>
      <c r="L875" s="46" t="s">
        <v>8</v>
      </c>
      <c r="M875" s="47" t="s">
        <v>9</v>
      </c>
      <c r="N875" s="46" t="s">
        <v>10</v>
      </c>
      <c r="O875" s="46" t="s">
        <v>2</v>
      </c>
      <c r="P875" s="46" t="s">
        <v>7</v>
      </c>
      <c r="Q875" s="46" t="s">
        <v>8</v>
      </c>
      <c r="R875" s="46" t="s">
        <v>9</v>
      </c>
    </row>
    <row r="876" spans="1:18">
      <c r="A876" s="175" t="s">
        <v>23</v>
      </c>
      <c r="B876" s="176"/>
      <c r="C876" s="177"/>
      <c r="D876" s="177"/>
      <c r="E876" s="177"/>
      <c r="F876" s="177"/>
      <c r="G876" s="177"/>
      <c r="H876" s="177"/>
      <c r="I876" s="177"/>
      <c r="J876" s="177"/>
      <c r="K876" s="177"/>
      <c r="L876" s="177"/>
      <c r="M876" s="177"/>
      <c r="N876" s="177"/>
      <c r="O876" s="177"/>
      <c r="P876" s="177"/>
      <c r="Q876" s="177"/>
      <c r="R876" s="178"/>
    </row>
    <row r="877" spans="1:18">
      <c r="A877" s="179">
        <f>A852+1</f>
        <v>34</v>
      </c>
      <c r="B877" s="763" t="s">
        <v>682</v>
      </c>
      <c r="C877" s="180" t="s">
        <v>11</v>
      </c>
      <c r="D877" s="181"/>
      <c r="E877" s="182"/>
      <c r="F877" s="156"/>
      <c r="G877" s="154"/>
      <c r="H877" s="154"/>
      <c r="I877" s="182"/>
      <c r="J877" s="182"/>
      <c r="K877" s="156"/>
      <c r="L877" s="154"/>
      <c r="M877" s="154"/>
      <c r="N877" s="182"/>
      <c r="O877" s="182"/>
      <c r="P877" s="156"/>
      <c r="Q877" s="154"/>
      <c r="R877" s="154"/>
    </row>
    <row r="878" spans="1:18">
      <c r="A878" s="183"/>
      <c r="B878" s="764"/>
      <c r="C878" s="184"/>
      <c r="D878" s="181" t="s">
        <v>75</v>
      </c>
      <c r="E878" s="180" t="s">
        <v>81</v>
      </c>
      <c r="F878" s="156">
        <v>0.5</v>
      </c>
      <c r="G878" s="154">
        <f>fr</f>
        <v>1100</v>
      </c>
      <c r="H878" s="154">
        <f>F878*G878</f>
        <v>550</v>
      </c>
      <c r="I878" s="185" t="s">
        <v>252</v>
      </c>
      <c r="J878" s="180" t="s">
        <v>673</v>
      </c>
      <c r="K878" s="156">
        <v>0.32</v>
      </c>
      <c r="L878" s="154">
        <f>cement</f>
        <v>24049.69</v>
      </c>
      <c r="M878" s="154">
        <f>K878*L878</f>
        <v>7695.9007999999994</v>
      </c>
      <c r="N878" s="182" t="s">
        <v>553</v>
      </c>
      <c r="O878" s="180" t="s">
        <v>101</v>
      </c>
      <c r="P878" s="156">
        <v>0.4</v>
      </c>
      <c r="Q878" s="154">
        <f>agitator</f>
        <v>1622.4</v>
      </c>
      <c r="R878" s="154">
        <f t="shared" ref="R878:R885" si="50">P878*Q878</f>
        <v>648.96</v>
      </c>
    </row>
    <row r="879" spans="1:18">
      <c r="A879" s="183"/>
      <c r="B879" s="764"/>
      <c r="C879" s="182"/>
      <c r="D879" s="181" t="s">
        <v>96</v>
      </c>
      <c r="E879" s="180" t="s">
        <v>81</v>
      </c>
      <c r="F879" s="156">
        <v>2.5</v>
      </c>
      <c r="G879" s="154">
        <f>sr</f>
        <v>1100</v>
      </c>
      <c r="H879" s="154">
        <f>F879*G879</f>
        <v>2750</v>
      </c>
      <c r="I879" s="185" t="s">
        <v>253</v>
      </c>
      <c r="J879" s="180" t="s">
        <v>674</v>
      </c>
      <c r="K879" s="156">
        <v>0.52</v>
      </c>
      <c r="L879" s="154">
        <f>Agg_40</f>
        <v>2450</v>
      </c>
      <c r="M879" s="154">
        <f t="shared" ref="M879:M885" si="51">K879*L879</f>
        <v>1274</v>
      </c>
      <c r="N879" s="182" t="s">
        <v>675</v>
      </c>
      <c r="O879" s="180" t="s">
        <v>101</v>
      </c>
      <c r="P879" s="156">
        <v>0.4</v>
      </c>
      <c r="Q879" s="154">
        <f>mixer</f>
        <v>216.32</v>
      </c>
      <c r="R879" s="154">
        <f t="shared" si="50"/>
        <v>86.528000000000006</v>
      </c>
    </row>
    <row r="880" spans="1:18">
      <c r="A880" s="183"/>
      <c r="B880" s="186"/>
      <c r="C880" s="182"/>
      <c r="D880" s="181" t="s">
        <v>97</v>
      </c>
      <c r="E880" s="180" t="s">
        <v>81</v>
      </c>
      <c r="F880" s="156">
        <v>1</v>
      </c>
      <c r="G880" s="154">
        <f>ur</f>
        <v>850</v>
      </c>
      <c r="H880" s="154">
        <f>F880*G880</f>
        <v>850</v>
      </c>
      <c r="I880" s="185" t="s">
        <v>258</v>
      </c>
      <c r="J880" s="180" t="s">
        <v>674</v>
      </c>
      <c r="K880" s="156">
        <v>0.22</v>
      </c>
      <c r="L880" s="154">
        <f>Agg_20</f>
        <v>2700</v>
      </c>
      <c r="M880" s="154">
        <f t="shared" si="51"/>
        <v>594</v>
      </c>
      <c r="N880" s="182" t="s">
        <v>676</v>
      </c>
      <c r="O880" s="180" t="s">
        <v>101</v>
      </c>
      <c r="P880" s="156">
        <v>0.1</v>
      </c>
      <c r="Q880" s="154">
        <f>truck</f>
        <v>486.72</v>
      </c>
      <c r="R880" s="154">
        <f t="shared" si="50"/>
        <v>48.672000000000004</v>
      </c>
    </row>
    <row r="881" spans="1:18">
      <c r="A881" s="183"/>
      <c r="B881" s="186"/>
      <c r="C881" s="182"/>
      <c r="D881" s="181" t="s">
        <v>76</v>
      </c>
      <c r="E881" s="180" t="s">
        <v>81</v>
      </c>
      <c r="F881" s="156">
        <f>P880/8</f>
        <v>1.2500000000000001E-2</v>
      </c>
      <c r="G881" s="154">
        <f>drv</f>
        <v>1100</v>
      </c>
      <c r="H881" s="154">
        <f>F881*G881</f>
        <v>13.75</v>
      </c>
      <c r="I881" s="185" t="s">
        <v>259</v>
      </c>
      <c r="J881" s="180" t="s">
        <v>674</v>
      </c>
      <c r="K881" s="156">
        <v>0.12</v>
      </c>
      <c r="L881" s="154">
        <f>Agg_10</f>
        <v>2950</v>
      </c>
      <c r="M881" s="154">
        <f t="shared" si="51"/>
        <v>354</v>
      </c>
      <c r="N881" s="182" t="s">
        <v>677</v>
      </c>
      <c r="O881" s="180" t="s">
        <v>101</v>
      </c>
      <c r="P881" s="156">
        <v>0.4</v>
      </c>
      <c r="Q881" s="154">
        <f>concrete_pump</f>
        <v>1081.5999999999999</v>
      </c>
      <c r="R881" s="154">
        <f t="shared" si="50"/>
        <v>432.64</v>
      </c>
    </row>
    <row r="882" spans="1:18">
      <c r="A882" s="183"/>
      <c r="B882" s="186"/>
      <c r="C882" s="182"/>
      <c r="D882" s="181" t="s">
        <v>86</v>
      </c>
      <c r="E882" s="180" t="s">
        <v>81</v>
      </c>
      <c r="F882" s="156">
        <f>F881</f>
        <v>1.2500000000000001E-2</v>
      </c>
      <c r="G882" s="154">
        <f>hr</f>
        <v>750</v>
      </c>
      <c r="H882" s="154">
        <f>F882*G882</f>
        <v>9.375</v>
      </c>
      <c r="I882" s="185" t="s">
        <v>254</v>
      </c>
      <c r="J882" s="180" t="s">
        <v>674</v>
      </c>
      <c r="K882" s="156">
        <v>0.45</v>
      </c>
      <c r="L882" s="154">
        <f>sand</f>
        <v>1050</v>
      </c>
      <c r="M882" s="154">
        <f t="shared" si="51"/>
        <v>472.5</v>
      </c>
      <c r="N882" s="182" t="s">
        <v>678</v>
      </c>
      <c r="O882" s="180" t="s">
        <v>101</v>
      </c>
      <c r="P882" s="156">
        <v>0.4</v>
      </c>
      <c r="Q882" s="154">
        <f>vibrator_concrete</f>
        <v>108.16</v>
      </c>
      <c r="R882" s="154">
        <f t="shared" si="50"/>
        <v>43.264000000000003</v>
      </c>
    </row>
    <row r="883" spans="1:18">
      <c r="A883" s="183"/>
      <c r="B883" s="186"/>
      <c r="C883" s="182"/>
      <c r="D883" s="181"/>
      <c r="E883" s="180"/>
      <c r="F883" s="156"/>
      <c r="G883" s="154"/>
      <c r="H883" s="154"/>
      <c r="I883" s="185" t="s">
        <v>70</v>
      </c>
      <c r="J883" s="180" t="s">
        <v>250</v>
      </c>
      <c r="K883" s="156">
        <v>0.1</v>
      </c>
      <c r="L883" s="154">
        <f>petrol</f>
        <v>188.6</v>
      </c>
      <c r="M883" s="154">
        <f t="shared" si="51"/>
        <v>18.86</v>
      </c>
      <c r="N883" s="182" t="s">
        <v>398</v>
      </c>
      <c r="O883" s="180" t="s">
        <v>101</v>
      </c>
      <c r="P883" s="156">
        <v>0.4</v>
      </c>
      <c r="Q883" s="154">
        <f>compressor</f>
        <v>270.39999999999998</v>
      </c>
      <c r="R883" s="154">
        <f t="shared" si="50"/>
        <v>108.16</v>
      </c>
    </row>
    <row r="884" spans="1:18">
      <c r="A884" s="183"/>
      <c r="B884" s="186"/>
      <c r="C884" s="182"/>
      <c r="D884" s="181"/>
      <c r="E884" s="180"/>
      <c r="F884" s="156"/>
      <c r="G884" s="154"/>
      <c r="H884" s="154"/>
      <c r="I884" s="185" t="s">
        <v>67</v>
      </c>
      <c r="J884" s="180" t="s">
        <v>250</v>
      </c>
      <c r="K884" s="156">
        <v>3</v>
      </c>
      <c r="L884" s="154">
        <f>diesel</f>
        <v>177.6</v>
      </c>
      <c r="M884" s="154">
        <f t="shared" si="51"/>
        <v>532.79999999999995</v>
      </c>
      <c r="N884" s="182" t="s">
        <v>679</v>
      </c>
      <c r="O884" s="180" t="s">
        <v>101</v>
      </c>
      <c r="P884" s="156">
        <v>0.4</v>
      </c>
      <c r="Q884" s="154">
        <v>50</v>
      </c>
      <c r="R884" s="154">
        <f t="shared" si="50"/>
        <v>20</v>
      </c>
    </row>
    <row r="885" spans="1:18">
      <c r="A885" s="183"/>
      <c r="B885" s="186"/>
      <c r="C885" s="182"/>
      <c r="D885" s="181"/>
      <c r="E885" s="180"/>
      <c r="F885" s="156"/>
      <c r="G885" s="154"/>
      <c r="H885" s="154"/>
      <c r="I885" s="185" t="s">
        <v>683</v>
      </c>
      <c r="J885" s="180" t="s">
        <v>28</v>
      </c>
      <c r="K885" s="156">
        <v>6</v>
      </c>
      <c r="L885" s="154">
        <f>plasticizers</f>
        <v>139.63</v>
      </c>
      <c r="M885" s="154">
        <f t="shared" si="51"/>
        <v>837.78</v>
      </c>
      <c r="N885" s="182" t="s">
        <v>680</v>
      </c>
      <c r="O885" s="180" t="s">
        <v>101</v>
      </c>
      <c r="P885" s="156">
        <v>0.4</v>
      </c>
      <c r="Q885" s="154">
        <v>50</v>
      </c>
      <c r="R885" s="154">
        <f t="shared" si="50"/>
        <v>20</v>
      </c>
    </row>
    <row r="886" spans="1:18">
      <c r="A886" s="183"/>
      <c r="B886" s="186"/>
      <c r="C886" s="182"/>
      <c r="D886" s="181"/>
      <c r="E886" s="180"/>
      <c r="F886" s="156"/>
      <c r="G886" s="154"/>
      <c r="H886" s="154"/>
      <c r="I886" s="185"/>
      <c r="J886" s="180"/>
      <c r="K886" s="156"/>
      <c r="L886" s="154"/>
      <c r="M886" s="154"/>
      <c r="N886" s="182"/>
      <c r="O886" s="180"/>
      <c r="P886" s="156"/>
      <c r="Q886" s="154"/>
      <c r="R886" s="154"/>
    </row>
    <row r="887" spans="1:18">
      <c r="A887" s="183"/>
      <c r="B887" s="186"/>
      <c r="C887" s="182"/>
      <c r="D887" s="181"/>
      <c r="E887" s="180"/>
      <c r="F887" s="156"/>
      <c r="G887" s="154"/>
      <c r="H887" s="154"/>
      <c r="I887" s="185"/>
      <c r="J887" s="180"/>
      <c r="K887" s="156"/>
      <c r="L887" s="154"/>
      <c r="M887" s="154"/>
      <c r="N887" s="182"/>
      <c r="O887" s="180"/>
      <c r="P887" s="156"/>
      <c r="Q887" s="154"/>
      <c r="R887" s="154"/>
    </row>
    <row r="888" spans="1:18">
      <c r="A888" s="183"/>
      <c r="B888" s="187"/>
      <c r="C888" s="182"/>
      <c r="D888" s="181"/>
      <c r="E888" s="188"/>
      <c r="F888" s="189"/>
      <c r="G888" s="190"/>
      <c r="H888" s="190"/>
      <c r="I888" s="188"/>
      <c r="J888" s="188"/>
      <c r="K888" s="189"/>
      <c r="L888" s="154"/>
      <c r="M888" s="154"/>
      <c r="N888" s="182"/>
      <c r="O888" s="182"/>
      <c r="P888" s="189"/>
      <c r="Q888" s="154"/>
      <c r="R888" s="154"/>
    </row>
    <row r="889" spans="1:18">
      <c r="A889" s="183"/>
      <c r="B889" s="183"/>
      <c r="C889" s="182"/>
      <c r="D889" s="191"/>
      <c r="E889" s="192"/>
      <c r="F889" s="193"/>
      <c r="G889" s="193" t="s">
        <v>20</v>
      </c>
      <c r="H889" s="194">
        <f>SUM(H877:H888)</f>
        <v>4173.125</v>
      </c>
      <c r="I889" s="774"/>
      <c r="J889" s="774"/>
      <c r="K889" s="195"/>
      <c r="L889" s="193" t="s">
        <v>21</v>
      </c>
      <c r="M889" s="194">
        <f>SUM(M877:M888)</f>
        <v>11779.8408</v>
      </c>
      <c r="N889" s="196"/>
      <c r="O889" s="195"/>
      <c r="P889" s="195"/>
      <c r="Q889" s="193" t="s">
        <v>22</v>
      </c>
      <c r="R889" s="194">
        <f>SUM(R877:R888)</f>
        <v>1408.2240000000002</v>
      </c>
    </row>
    <row r="890" spans="1:18">
      <c r="A890" s="183"/>
      <c r="B890" s="197" t="s">
        <v>13</v>
      </c>
      <c r="C890" s="195"/>
      <c r="D890" s="195"/>
      <c r="E890" s="195"/>
      <c r="F890" s="195"/>
      <c r="G890" s="193"/>
      <c r="H890" s="198">
        <f>M889+R889+H889</f>
        <v>17361.1898</v>
      </c>
      <c r="I890" s="199"/>
      <c r="J890" s="195"/>
      <c r="K890" s="195"/>
      <c r="L890" s="193"/>
      <c r="M890" s="200"/>
      <c r="N890" s="195"/>
      <c r="O890" s="195"/>
      <c r="P890" s="195"/>
      <c r="Q890" s="195"/>
      <c r="R890" s="199"/>
    </row>
    <row r="891" spans="1:18">
      <c r="A891" s="183"/>
      <c r="B891" s="183" t="s">
        <v>25</v>
      </c>
      <c r="C891" s="181" t="s">
        <v>647</v>
      </c>
      <c r="D891" s="181"/>
      <c r="E891" s="181"/>
      <c r="F891" s="181"/>
      <c r="G891" s="201"/>
      <c r="H891" s="202">
        <f>20%*(H889)</f>
        <v>834.625</v>
      </c>
      <c r="I891" s="203"/>
      <c r="J891" s="181" t="s">
        <v>26</v>
      </c>
      <c r="K891" s="181"/>
      <c r="L891" s="201"/>
      <c r="M891" s="204"/>
      <c r="N891" s="181"/>
      <c r="O891" s="181"/>
      <c r="P891" s="181"/>
      <c r="Q891" s="181"/>
      <c r="R891" s="203"/>
    </row>
    <row r="892" spans="1:18">
      <c r="A892" s="205"/>
      <c r="B892" s="183" t="s">
        <v>14</v>
      </c>
      <c r="C892" s="181"/>
      <c r="D892" s="181"/>
      <c r="E892" s="181"/>
      <c r="F892" s="181"/>
      <c r="G892" s="201"/>
      <c r="H892" s="202">
        <f>SUM(H890:H891)</f>
        <v>18195.8148</v>
      </c>
      <c r="I892" s="203"/>
      <c r="J892" s="775"/>
      <c r="K892" s="776"/>
      <c r="L892" s="776"/>
      <c r="M892" s="776"/>
      <c r="N892" s="776"/>
      <c r="O892" s="776"/>
      <c r="P892" s="776"/>
      <c r="Q892" s="776"/>
      <c r="R892" s="777"/>
    </row>
    <row r="893" spans="1:18">
      <c r="A893" s="205"/>
      <c r="B893" s="183" t="s">
        <v>24</v>
      </c>
      <c r="C893" s="181"/>
      <c r="D893" s="181"/>
      <c r="E893" s="181"/>
      <c r="F893" s="181"/>
      <c r="G893" s="201"/>
      <c r="H893" s="202">
        <f>H892*15%</f>
        <v>2729.3722199999997</v>
      </c>
      <c r="I893" s="203"/>
      <c r="J893" s="778"/>
      <c r="K893" s="779"/>
      <c r="L893" s="779"/>
      <c r="M893" s="779"/>
      <c r="N893" s="779"/>
      <c r="O893" s="779"/>
      <c r="P893" s="779"/>
      <c r="Q893" s="779"/>
      <c r="R893" s="780"/>
    </row>
    <row r="894" spans="1:18">
      <c r="A894" s="205"/>
      <c r="B894" s="183" t="s">
        <v>15</v>
      </c>
      <c r="C894" s="181"/>
      <c r="D894" s="181"/>
      <c r="E894" s="181"/>
      <c r="F894" s="181"/>
      <c r="G894" s="206" t="s">
        <v>16</v>
      </c>
      <c r="H894" s="207">
        <f>H893+H892</f>
        <v>20925.187020000001</v>
      </c>
      <c r="I894" s="208" t="str">
        <f>CONCATENATE("per ",C877, C878)</f>
        <v>per cum</v>
      </c>
      <c r="J894" s="778"/>
      <c r="K894" s="779"/>
      <c r="L894" s="779"/>
      <c r="M894" s="779"/>
      <c r="N894" s="779"/>
      <c r="O894" s="779"/>
      <c r="P894" s="779"/>
      <c r="Q894" s="779"/>
      <c r="R894" s="780"/>
    </row>
    <row r="895" spans="1:18">
      <c r="A895" s="205"/>
      <c r="B895" s="183" t="s">
        <v>18</v>
      </c>
      <c r="C895" s="181" t="s">
        <v>19</v>
      </c>
      <c r="D895" s="181"/>
      <c r="E895" s="181"/>
      <c r="F895" s="181"/>
      <c r="G895" s="206" t="s">
        <v>16</v>
      </c>
      <c r="H895" s="207">
        <f>CEILING(H894,0.5)</f>
        <v>20925.5</v>
      </c>
      <c r="I895" s="208" t="str">
        <f>CONCATENATE("per ",C877)</f>
        <v>per cum</v>
      </c>
      <c r="J895" s="778"/>
      <c r="K895" s="779"/>
      <c r="L895" s="779"/>
      <c r="M895" s="779"/>
      <c r="N895" s="779"/>
      <c r="O895" s="779"/>
      <c r="P895" s="779"/>
      <c r="Q895" s="779"/>
      <c r="R895" s="780"/>
    </row>
    <row r="896" spans="1:18">
      <c r="A896" s="205"/>
      <c r="B896" s="183"/>
      <c r="C896" s="181"/>
      <c r="D896" s="181"/>
      <c r="E896" s="181"/>
      <c r="F896" s="181"/>
      <c r="G896" s="209" t="s">
        <v>17</v>
      </c>
      <c r="H896" s="207">
        <f>H895/exr</f>
        <v>160.96538461538461</v>
      </c>
      <c r="I896" s="208" t="str">
        <f>CONCATENATE("per ",C877)</f>
        <v>per cum</v>
      </c>
      <c r="J896" s="781"/>
      <c r="K896" s="782"/>
      <c r="L896" s="782"/>
      <c r="M896" s="782"/>
      <c r="N896" s="782"/>
      <c r="O896" s="782"/>
      <c r="P896" s="782"/>
      <c r="Q896" s="782"/>
      <c r="R896" s="783"/>
    </row>
    <row r="897" spans="1:18">
      <c r="A897" s="39"/>
      <c r="B897" s="40"/>
      <c r="C897" s="41"/>
      <c r="D897" s="41"/>
      <c r="E897" s="41"/>
      <c r="F897" s="41"/>
      <c r="G897" s="149" t="s">
        <v>460</v>
      </c>
      <c r="H897" s="150">
        <f>CEILING(SUM(M889,R889)/H890,0.0025)</f>
        <v>0.76</v>
      </c>
      <c r="I897" s="42"/>
      <c r="J897" s="43"/>
      <c r="K897" s="43"/>
      <c r="L897" s="43"/>
      <c r="M897" s="43"/>
      <c r="N897" s="43"/>
      <c r="O897" s="43"/>
      <c r="P897" s="43"/>
      <c r="Q897" s="43"/>
      <c r="R897" s="44"/>
    </row>
    <row r="899" spans="1:18">
      <c r="A899" s="693" t="s">
        <v>0</v>
      </c>
      <c r="B899" s="695" t="s">
        <v>1</v>
      </c>
      <c r="C899" s="695" t="s">
        <v>2</v>
      </c>
      <c r="D899" s="697" t="s">
        <v>3</v>
      </c>
      <c r="E899" s="698"/>
      <c r="F899" s="698"/>
      <c r="G899" s="698"/>
      <c r="H899" s="698"/>
      <c r="I899" s="699" t="s">
        <v>4</v>
      </c>
      <c r="J899" s="700"/>
      <c r="K899" s="700"/>
      <c r="L899" s="700"/>
      <c r="M899" s="700"/>
      <c r="N899" s="698" t="s">
        <v>5</v>
      </c>
      <c r="O899" s="698"/>
      <c r="P899" s="698"/>
      <c r="Q899" s="698"/>
      <c r="R899" s="698"/>
    </row>
    <row r="900" spans="1:18">
      <c r="A900" s="694"/>
      <c r="B900" s="759"/>
      <c r="C900" s="696"/>
      <c r="D900" s="45" t="s">
        <v>6</v>
      </c>
      <c r="E900" s="46" t="s">
        <v>2</v>
      </c>
      <c r="F900" s="46" t="s">
        <v>7</v>
      </c>
      <c r="G900" s="46" t="s">
        <v>8</v>
      </c>
      <c r="H900" s="46" t="s">
        <v>9</v>
      </c>
      <c r="I900" s="46" t="s">
        <v>10</v>
      </c>
      <c r="J900" s="46" t="s">
        <v>2</v>
      </c>
      <c r="K900" s="46" t="s">
        <v>7</v>
      </c>
      <c r="L900" s="46" t="s">
        <v>8</v>
      </c>
      <c r="M900" s="47" t="s">
        <v>9</v>
      </c>
      <c r="N900" s="46" t="s">
        <v>10</v>
      </c>
      <c r="O900" s="46" t="s">
        <v>2</v>
      </c>
      <c r="P900" s="46" t="s">
        <v>7</v>
      </c>
      <c r="Q900" s="46" t="s">
        <v>8</v>
      </c>
      <c r="R900" s="46" t="s">
        <v>9</v>
      </c>
    </row>
    <row r="901" spans="1:18">
      <c r="A901" s="175" t="s">
        <v>23</v>
      </c>
      <c r="B901" s="176"/>
      <c r="C901" s="177"/>
      <c r="D901" s="177"/>
      <c r="E901" s="177"/>
      <c r="F901" s="177"/>
      <c r="G901" s="177"/>
      <c r="H901" s="177"/>
      <c r="I901" s="177"/>
      <c r="J901" s="177"/>
      <c r="K901" s="177"/>
      <c r="L901" s="177"/>
      <c r="M901" s="177"/>
      <c r="N901" s="177"/>
      <c r="O901" s="177"/>
      <c r="P901" s="177"/>
      <c r="Q901" s="177"/>
      <c r="R901" s="178"/>
    </row>
    <row r="902" spans="1:18">
      <c r="A902" s="179">
        <f>A877+1</f>
        <v>35</v>
      </c>
      <c r="B902" s="763" t="s">
        <v>685</v>
      </c>
      <c r="C902" s="180" t="s">
        <v>11</v>
      </c>
      <c r="D902" s="181"/>
      <c r="E902" s="182"/>
      <c r="F902" s="156"/>
      <c r="G902" s="154"/>
      <c r="H902" s="154"/>
      <c r="I902" s="182"/>
      <c r="J902" s="182"/>
      <c r="K902" s="156"/>
      <c r="L902" s="154"/>
      <c r="M902" s="154"/>
      <c r="N902" s="182"/>
      <c r="O902" s="182"/>
      <c r="P902" s="156"/>
      <c r="Q902" s="154"/>
      <c r="R902" s="154"/>
    </row>
    <row r="903" spans="1:18">
      <c r="A903" s="183"/>
      <c r="B903" s="764"/>
      <c r="C903" s="184"/>
      <c r="D903" s="181" t="s">
        <v>75</v>
      </c>
      <c r="E903" s="180" t="s">
        <v>81</v>
      </c>
      <c r="F903" s="156">
        <v>0.5</v>
      </c>
      <c r="G903" s="154">
        <f>fr</f>
        <v>1100</v>
      </c>
      <c r="H903" s="154">
        <f>F903*G903</f>
        <v>550</v>
      </c>
      <c r="I903" s="185" t="s">
        <v>252</v>
      </c>
      <c r="J903" s="180" t="s">
        <v>673</v>
      </c>
      <c r="K903" s="156">
        <v>0.38</v>
      </c>
      <c r="L903" s="154">
        <f>cement</f>
        <v>24049.69</v>
      </c>
      <c r="M903" s="154">
        <f>K903*L903</f>
        <v>9138.8822</v>
      </c>
      <c r="N903" s="182" t="s">
        <v>553</v>
      </c>
      <c r="O903" s="180" t="s">
        <v>101</v>
      </c>
      <c r="P903" s="156">
        <v>0.4</v>
      </c>
      <c r="Q903" s="154">
        <f>agitator</f>
        <v>1622.4</v>
      </c>
      <c r="R903" s="154">
        <f t="shared" ref="R903:R910" si="52">P903*Q903</f>
        <v>648.96</v>
      </c>
    </row>
    <row r="904" spans="1:18">
      <c r="A904" s="183"/>
      <c r="B904" s="764"/>
      <c r="C904" s="182"/>
      <c r="D904" s="181" t="s">
        <v>96</v>
      </c>
      <c r="E904" s="180" t="s">
        <v>81</v>
      </c>
      <c r="F904" s="156">
        <v>2.5</v>
      </c>
      <c r="G904" s="154">
        <f>sr</f>
        <v>1100</v>
      </c>
      <c r="H904" s="154">
        <f>F904*G904</f>
        <v>2750</v>
      </c>
      <c r="I904" s="185" t="s">
        <v>258</v>
      </c>
      <c r="J904" s="180" t="s">
        <v>674</v>
      </c>
      <c r="K904" s="156">
        <v>0.57999999999999996</v>
      </c>
      <c r="L904" s="154">
        <f>Agg_20</f>
        <v>2700</v>
      </c>
      <c r="M904" s="154">
        <f t="shared" ref="M904:M909" si="53">K904*L904</f>
        <v>1566</v>
      </c>
      <c r="N904" s="182" t="s">
        <v>675</v>
      </c>
      <c r="O904" s="180" t="s">
        <v>101</v>
      </c>
      <c r="P904" s="156">
        <v>0.4</v>
      </c>
      <c r="Q904" s="154">
        <f>mixer</f>
        <v>216.32</v>
      </c>
      <c r="R904" s="154">
        <f t="shared" si="52"/>
        <v>86.528000000000006</v>
      </c>
    </row>
    <row r="905" spans="1:18">
      <c r="A905" s="183"/>
      <c r="B905" s="186"/>
      <c r="C905" s="182"/>
      <c r="D905" s="181" t="s">
        <v>97</v>
      </c>
      <c r="E905" s="180" t="s">
        <v>81</v>
      </c>
      <c r="F905" s="156">
        <v>1</v>
      </c>
      <c r="G905" s="154">
        <f>ur</f>
        <v>850</v>
      </c>
      <c r="H905" s="154">
        <f>F905*G905</f>
        <v>850</v>
      </c>
      <c r="I905" s="185" t="s">
        <v>259</v>
      </c>
      <c r="J905" s="180" t="s">
        <v>674</v>
      </c>
      <c r="K905" s="156">
        <v>0.3</v>
      </c>
      <c r="L905" s="154">
        <f>Agg_10</f>
        <v>2950</v>
      </c>
      <c r="M905" s="154">
        <f t="shared" si="53"/>
        <v>885</v>
      </c>
      <c r="N905" s="182" t="s">
        <v>676</v>
      </c>
      <c r="O905" s="180" t="s">
        <v>101</v>
      </c>
      <c r="P905" s="156">
        <v>0.1</v>
      </c>
      <c r="Q905" s="154">
        <f>truck</f>
        <v>486.72</v>
      </c>
      <c r="R905" s="154">
        <f t="shared" si="52"/>
        <v>48.672000000000004</v>
      </c>
    </row>
    <row r="906" spans="1:18">
      <c r="A906" s="183"/>
      <c r="B906" s="186"/>
      <c r="C906" s="182"/>
      <c r="D906" s="181" t="s">
        <v>76</v>
      </c>
      <c r="E906" s="180" t="s">
        <v>81</v>
      </c>
      <c r="F906" s="156">
        <f>P905/8</f>
        <v>1.2500000000000001E-2</v>
      </c>
      <c r="G906" s="154">
        <f>drv</f>
        <v>1100</v>
      </c>
      <c r="H906" s="154">
        <f>F906*G906</f>
        <v>13.75</v>
      </c>
      <c r="I906" s="185" t="s">
        <v>254</v>
      </c>
      <c r="J906" s="180" t="s">
        <v>674</v>
      </c>
      <c r="K906" s="156">
        <v>0.45</v>
      </c>
      <c r="L906" s="154">
        <f>sand</f>
        <v>1050</v>
      </c>
      <c r="M906" s="154">
        <f t="shared" si="53"/>
        <v>472.5</v>
      </c>
      <c r="N906" s="182" t="s">
        <v>677</v>
      </c>
      <c r="O906" s="180" t="s">
        <v>101</v>
      </c>
      <c r="P906" s="156">
        <v>0.4</v>
      </c>
      <c r="Q906" s="154">
        <f>concrete_pump</f>
        <v>1081.5999999999999</v>
      </c>
      <c r="R906" s="154">
        <f t="shared" si="52"/>
        <v>432.64</v>
      </c>
    </row>
    <row r="907" spans="1:18">
      <c r="A907" s="183"/>
      <c r="B907" s="186"/>
      <c r="C907" s="182"/>
      <c r="D907" s="181" t="s">
        <v>86</v>
      </c>
      <c r="E907" s="180" t="s">
        <v>81</v>
      </c>
      <c r="F907" s="156">
        <f>F906</f>
        <v>1.2500000000000001E-2</v>
      </c>
      <c r="G907" s="154">
        <f>hr</f>
        <v>750</v>
      </c>
      <c r="H907" s="154">
        <f>F907*G907</f>
        <v>9.375</v>
      </c>
      <c r="I907" s="185" t="s">
        <v>70</v>
      </c>
      <c r="J907" s="180" t="s">
        <v>250</v>
      </c>
      <c r="K907" s="156">
        <v>0.1</v>
      </c>
      <c r="L907" s="154">
        <f>petrol</f>
        <v>188.6</v>
      </c>
      <c r="M907" s="154">
        <f t="shared" si="53"/>
        <v>18.86</v>
      </c>
      <c r="N907" s="182" t="s">
        <v>678</v>
      </c>
      <c r="O907" s="180" t="s">
        <v>101</v>
      </c>
      <c r="P907" s="156">
        <v>0.4</v>
      </c>
      <c r="Q907" s="154">
        <f>vibrator_concrete</f>
        <v>108.16</v>
      </c>
      <c r="R907" s="154">
        <f t="shared" si="52"/>
        <v>43.264000000000003</v>
      </c>
    </row>
    <row r="908" spans="1:18">
      <c r="A908" s="183"/>
      <c r="B908" s="186"/>
      <c r="C908" s="182"/>
      <c r="D908" s="181"/>
      <c r="E908" s="180"/>
      <c r="F908" s="156"/>
      <c r="G908" s="154"/>
      <c r="H908" s="154"/>
      <c r="I908" s="185" t="s">
        <v>67</v>
      </c>
      <c r="J908" s="180" t="s">
        <v>250</v>
      </c>
      <c r="K908" s="156">
        <v>3</v>
      </c>
      <c r="L908" s="154">
        <f>diesel</f>
        <v>177.6</v>
      </c>
      <c r="M908" s="154">
        <f t="shared" si="53"/>
        <v>532.79999999999995</v>
      </c>
      <c r="N908" s="182" t="s">
        <v>398</v>
      </c>
      <c r="O908" s="180" t="s">
        <v>101</v>
      </c>
      <c r="P908" s="156">
        <v>0.4</v>
      </c>
      <c r="Q908" s="154">
        <f>compressor</f>
        <v>270.39999999999998</v>
      </c>
      <c r="R908" s="154">
        <f t="shared" si="52"/>
        <v>108.16</v>
      </c>
    </row>
    <row r="909" spans="1:18">
      <c r="A909" s="183"/>
      <c r="B909" s="186"/>
      <c r="C909" s="182"/>
      <c r="D909" s="181"/>
      <c r="E909" s="180"/>
      <c r="F909" s="156"/>
      <c r="G909" s="154"/>
      <c r="H909" s="154"/>
      <c r="I909" s="185" t="s">
        <v>683</v>
      </c>
      <c r="J909" s="180" t="s">
        <v>28</v>
      </c>
      <c r="K909" s="156">
        <v>6</v>
      </c>
      <c r="L909" s="154">
        <f>plasticizers</f>
        <v>139.63</v>
      </c>
      <c r="M909" s="154">
        <f t="shared" si="53"/>
        <v>837.78</v>
      </c>
      <c r="N909" s="182" t="s">
        <v>679</v>
      </c>
      <c r="O909" s="180" t="s">
        <v>101</v>
      </c>
      <c r="P909" s="156">
        <v>0.4</v>
      </c>
      <c r="Q909" s="154">
        <v>50</v>
      </c>
      <c r="R909" s="154">
        <f t="shared" si="52"/>
        <v>20</v>
      </c>
    </row>
    <row r="910" spans="1:18">
      <c r="A910" s="183"/>
      <c r="B910" s="186"/>
      <c r="C910" s="182"/>
      <c r="D910" s="181"/>
      <c r="E910" s="180"/>
      <c r="F910" s="156"/>
      <c r="G910" s="154"/>
      <c r="H910" s="154"/>
      <c r="I910" s="185"/>
      <c r="J910" s="180"/>
      <c r="K910" s="156"/>
      <c r="L910" s="154"/>
      <c r="M910" s="154"/>
      <c r="N910" s="182" t="s">
        <v>680</v>
      </c>
      <c r="O910" s="180" t="s">
        <v>101</v>
      </c>
      <c r="P910" s="156">
        <v>0.4</v>
      </c>
      <c r="Q910" s="154">
        <v>50</v>
      </c>
      <c r="R910" s="154">
        <f t="shared" si="52"/>
        <v>20</v>
      </c>
    </row>
    <row r="911" spans="1:18">
      <c r="A911" s="183"/>
      <c r="B911" s="186"/>
      <c r="C911" s="182"/>
      <c r="D911" s="181"/>
      <c r="E911" s="180"/>
      <c r="F911" s="156"/>
      <c r="G911" s="154"/>
      <c r="H911" s="154"/>
      <c r="I911" s="185"/>
      <c r="J911" s="180"/>
      <c r="K911" s="156"/>
      <c r="L911" s="154"/>
      <c r="M911" s="154"/>
      <c r="N911" s="182"/>
      <c r="O911" s="180"/>
      <c r="P911" s="156"/>
      <c r="Q911" s="154"/>
      <c r="R911" s="154"/>
    </row>
    <row r="912" spans="1:18">
      <c r="A912" s="183"/>
      <c r="B912" s="186"/>
      <c r="C912" s="182"/>
      <c r="D912" s="181"/>
      <c r="E912" s="180"/>
      <c r="F912" s="156"/>
      <c r="G912" s="154"/>
      <c r="H912" s="154"/>
      <c r="I912" s="185"/>
      <c r="J912" s="180"/>
      <c r="K912" s="156"/>
      <c r="L912" s="154"/>
      <c r="M912" s="154"/>
      <c r="N912" s="182"/>
      <c r="O912" s="180"/>
      <c r="P912" s="156"/>
      <c r="Q912" s="154"/>
      <c r="R912" s="154"/>
    </row>
    <row r="913" spans="1:18">
      <c r="A913" s="183"/>
      <c r="B913" s="187"/>
      <c r="C913" s="182"/>
      <c r="D913" s="181"/>
      <c r="E913" s="188"/>
      <c r="F913" s="189"/>
      <c r="G913" s="190"/>
      <c r="H913" s="190"/>
      <c r="I913" s="188"/>
      <c r="J913" s="188"/>
      <c r="K913" s="189"/>
      <c r="L913" s="154"/>
      <c r="M913" s="154"/>
      <c r="N913" s="182"/>
      <c r="O913" s="182"/>
      <c r="P913" s="189"/>
      <c r="Q913" s="154"/>
      <c r="R913" s="154"/>
    </row>
    <row r="914" spans="1:18">
      <c r="A914" s="183"/>
      <c r="B914" s="183"/>
      <c r="C914" s="182"/>
      <c r="D914" s="191"/>
      <c r="E914" s="192"/>
      <c r="F914" s="193"/>
      <c r="G914" s="193" t="s">
        <v>20</v>
      </c>
      <c r="H914" s="194">
        <f>SUM(H902:H913)</f>
        <v>4173.125</v>
      </c>
      <c r="I914" s="774"/>
      <c r="J914" s="774"/>
      <c r="K914" s="195"/>
      <c r="L914" s="193" t="s">
        <v>21</v>
      </c>
      <c r="M914" s="194">
        <f>SUM(M902:M913)</f>
        <v>13451.822200000001</v>
      </c>
      <c r="N914" s="196"/>
      <c r="O914" s="195"/>
      <c r="P914" s="195"/>
      <c r="Q914" s="193" t="s">
        <v>22</v>
      </c>
      <c r="R914" s="194">
        <f>SUM(R902:R913)</f>
        <v>1408.2240000000002</v>
      </c>
    </row>
    <row r="915" spans="1:18">
      <c r="A915" s="183"/>
      <c r="B915" s="197" t="s">
        <v>13</v>
      </c>
      <c r="C915" s="195"/>
      <c r="D915" s="195"/>
      <c r="E915" s="195"/>
      <c r="F915" s="195"/>
      <c r="G915" s="193"/>
      <c r="H915" s="198">
        <f>M914+R914+H914</f>
        <v>19033.171200000001</v>
      </c>
      <c r="I915" s="199"/>
      <c r="J915" s="195"/>
      <c r="K915" s="195"/>
      <c r="L915" s="193"/>
      <c r="M915" s="200"/>
      <c r="N915" s="195"/>
      <c r="O915" s="195"/>
      <c r="P915" s="195"/>
      <c r="Q915" s="195"/>
      <c r="R915" s="199"/>
    </row>
    <row r="916" spans="1:18">
      <c r="A916" s="183"/>
      <c r="B916" s="183" t="s">
        <v>25</v>
      </c>
      <c r="C916" s="181" t="s">
        <v>647</v>
      </c>
      <c r="D916" s="181"/>
      <c r="E916" s="181"/>
      <c r="F916" s="181"/>
      <c r="G916" s="201"/>
      <c r="H916" s="202">
        <f>20%*(H914)</f>
        <v>834.625</v>
      </c>
      <c r="I916" s="203"/>
      <c r="J916" s="181" t="s">
        <v>26</v>
      </c>
      <c r="K916" s="181"/>
      <c r="L916" s="201"/>
      <c r="M916" s="204"/>
      <c r="N916" s="181"/>
      <c r="O916" s="181"/>
      <c r="P916" s="181"/>
      <c r="Q916" s="181"/>
      <c r="R916" s="203"/>
    </row>
    <row r="917" spans="1:18">
      <c r="A917" s="205"/>
      <c r="B917" s="183" t="s">
        <v>14</v>
      </c>
      <c r="C917" s="181"/>
      <c r="D917" s="181"/>
      <c r="E917" s="181"/>
      <c r="F917" s="181"/>
      <c r="G917" s="201"/>
      <c r="H917" s="202">
        <f>SUM(H915:H916)</f>
        <v>19867.796200000001</v>
      </c>
      <c r="I917" s="203"/>
      <c r="J917" s="775"/>
      <c r="K917" s="776"/>
      <c r="L917" s="776"/>
      <c r="M917" s="776"/>
      <c r="N917" s="776"/>
      <c r="O917" s="776"/>
      <c r="P917" s="776"/>
      <c r="Q917" s="776"/>
      <c r="R917" s="777"/>
    </row>
    <row r="918" spans="1:18">
      <c r="A918" s="205"/>
      <c r="B918" s="183" t="s">
        <v>24</v>
      </c>
      <c r="C918" s="181"/>
      <c r="D918" s="181"/>
      <c r="E918" s="181"/>
      <c r="F918" s="181"/>
      <c r="G918" s="201"/>
      <c r="H918" s="202">
        <f>H917*15%</f>
        <v>2980.1694299999999</v>
      </c>
      <c r="I918" s="203"/>
      <c r="J918" s="778"/>
      <c r="K918" s="779"/>
      <c r="L918" s="779"/>
      <c r="M918" s="779"/>
      <c r="N918" s="779"/>
      <c r="O918" s="779"/>
      <c r="P918" s="779"/>
      <c r="Q918" s="779"/>
      <c r="R918" s="780"/>
    </row>
    <row r="919" spans="1:18">
      <c r="A919" s="205"/>
      <c r="B919" s="183" t="s">
        <v>15</v>
      </c>
      <c r="C919" s="181"/>
      <c r="D919" s="181"/>
      <c r="E919" s="181"/>
      <c r="F919" s="181"/>
      <c r="G919" s="206" t="s">
        <v>16</v>
      </c>
      <c r="H919" s="207">
        <f>H918+H917</f>
        <v>22847.965629999999</v>
      </c>
      <c r="I919" s="208" t="str">
        <f>CONCATENATE("per ",C902, C903)</f>
        <v>per cum</v>
      </c>
      <c r="J919" s="778"/>
      <c r="K919" s="779"/>
      <c r="L919" s="779"/>
      <c r="M919" s="779"/>
      <c r="N919" s="779"/>
      <c r="O919" s="779"/>
      <c r="P919" s="779"/>
      <c r="Q919" s="779"/>
      <c r="R919" s="780"/>
    </row>
    <row r="920" spans="1:18">
      <c r="A920" s="205"/>
      <c r="B920" s="183" t="s">
        <v>18</v>
      </c>
      <c r="C920" s="181" t="s">
        <v>19</v>
      </c>
      <c r="D920" s="181"/>
      <c r="E920" s="181"/>
      <c r="F920" s="181"/>
      <c r="G920" s="206" t="s">
        <v>16</v>
      </c>
      <c r="H920" s="207">
        <f>CEILING(H919,0.5)</f>
        <v>22848</v>
      </c>
      <c r="I920" s="208" t="str">
        <f>CONCATENATE("per ",C902)</f>
        <v>per cum</v>
      </c>
      <c r="J920" s="778"/>
      <c r="K920" s="779"/>
      <c r="L920" s="779"/>
      <c r="M920" s="779"/>
      <c r="N920" s="779"/>
      <c r="O920" s="779"/>
      <c r="P920" s="779"/>
      <c r="Q920" s="779"/>
      <c r="R920" s="780"/>
    </row>
    <row r="921" spans="1:18">
      <c r="A921" s="205"/>
      <c r="B921" s="183"/>
      <c r="C921" s="181"/>
      <c r="D921" s="181"/>
      <c r="E921" s="181"/>
      <c r="F921" s="181"/>
      <c r="G921" s="209" t="s">
        <v>17</v>
      </c>
      <c r="H921" s="207">
        <f>H920/exr</f>
        <v>175.75384615384615</v>
      </c>
      <c r="I921" s="208" t="str">
        <f>CONCATENATE("per ",C902)</f>
        <v>per cum</v>
      </c>
      <c r="J921" s="781"/>
      <c r="K921" s="782"/>
      <c r="L921" s="782"/>
      <c r="M921" s="782"/>
      <c r="N921" s="782"/>
      <c r="O921" s="782"/>
      <c r="P921" s="782"/>
      <c r="Q921" s="782"/>
      <c r="R921" s="783"/>
    </row>
    <row r="922" spans="1:18">
      <c r="A922" s="39"/>
      <c r="B922" s="40"/>
      <c r="C922" s="41"/>
      <c r="D922" s="41"/>
      <c r="E922" s="41"/>
      <c r="F922" s="41"/>
      <c r="G922" s="149" t="s">
        <v>460</v>
      </c>
      <c r="H922" s="150">
        <f>CEILING(SUM(M914,R914)/H915,0.0025)</f>
        <v>0.78249999999999997</v>
      </c>
      <c r="I922" s="42"/>
      <c r="J922" s="43"/>
      <c r="K922" s="43"/>
      <c r="L922" s="43"/>
      <c r="M922" s="43"/>
      <c r="N922" s="43"/>
      <c r="O922" s="43"/>
      <c r="P922" s="43"/>
      <c r="Q922" s="43"/>
      <c r="R922" s="44"/>
    </row>
    <row r="924" spans="1:18">
      <c r="A924" s="693" t="s">
        <v>0</v>
      </c>
      <c r="B924" s="695" t="s">
        <v>1</v>
      </c>
      <c r="C924" s="695" t="s">
        <v>2</v>
      </c>
      <c r="D924" s="697" t="s">
        <v>3</v>
      </c>
      <c r="E924" s="698"/>
      <c r="F924" s="698"/>
      <c r="G924" s="698"/>
      <c r="H924" s="698"/>
      <c r="I924" s="699" t="s">
        <v>4</v>
      </c>
      <c r="J924" s="700"/>
      <c r="K924" s="700"/>
      <c r="L924" s="700"/>
      <c r="M924" s="700"/>
      <c r="N924" s="698" t="s">
        <v>5</v>
      </c>
      <c r="O924" s="698"/>
      <c r="P924" s="698"/>
      <c r="Q924" s="698"/>
      <c r="R924" s="698"/>
    </row>
    <row r="925" spans="1:18">
      <c r="A925" s="694"/>
      <c r="B925" s="759"/>
      <c r="C925" s="696"/>
      <c r="D925" s="45" t="s">
        <v>6</v>
      </c>
      <c r="E925" s="46" t="s">
        <v>2</v>
      </c>
      <c r="F925" s="46" t="s">
        <v>7</v>
      </c>
      <c r="G925" s="46" t="s">
        <v>8</v>
      </c>
      <c r="H925" s="46" t="s">
        <v>9</v>
      </c>
      <c r="I925" s="46" t="s">
        <v>10</v>
      </c>
      <c r="J925" s="46" t="s">
        <v>2</v>
      </c>
      <c r="K925" s="46" t="s">
        <v>7</v>
      </c>
      <c r="L925" s="46" t="s">
        <v>8</v>
      </c>
      <c r="M925" s="47" t="s">
        <v>9</v>
      </c>
      <c r="N925" s="46" t="s">
        <v>10</v>
      </c>
      <c r="O925" s="46" t="s">
        <v>2</v>
      </c>
      <c r="P925" s="46" t="s">
        <v>7</v>
      </c>
      <c r="Q925" s="46" t="s">
        <v>8</v>
      </c>
      <c r="R925" s="46" t="s">
        <v>9</v>
      </c>
    </row>
    <row r="926" spans="1:18">
      <c r="A926" s="175" t="s">
        <v>23</v>
      </c>
      <c r="B926" s="176"/>
      <c r="C926" s="177"/>
      <c r="D926" s="177"/>
      <c r="E926" s="177"/>
      <c r="F926" s="177"/>
      <c r="G926" s="177"/>
      <c r="H926" s="177"/>
      <c r="I926" s="177"/>
      <c r="J926" s="177"/>
      <c r="K926" s="177"/>
      <c r="L926" s="177"/>
      <c r="M926" s="177"/>
      <c r="N926" s="177"/>
      <c r="O926" s="177"/>
      <c r="P926" s="177"/>
      <c r="Q926" s="177"/>
      <c r="R926" s="178"/>
    </row>
    <row r="927" spans="1:18">
      <c r="A927" s="179">
        <f>A902+1</f>
        <v>36</v>
      </c>
      <c r="B927" s="763" t="s">
        <v>686</v>
      </c>
      <c r="C927" s="180" t="s">
        <v>11</v>
      </c>
      <c r="D927" s="181"/>
      <c r="E927" s="182"/>
      <c r="F927" s="156"/>
      <c r="G927" s="154"/>
      <c r="H927" s="154"/>
      <c r="I927" s="182"/>
      <c r="J927" s="182"/>
      <c r="K927" s="156"/>
      <c r="L927" s="154"/>
      <c r="M927" s="154"/>
      <c r="N927" s="182"/>
      <c r="O927" s="182"/>
      <c r="P927" s="156"/>
      <c r="Q927" s="154"/>
      <c r="R927" s="154"/>
    </row>
    <row r="928" spans="1:18">
      <c r="A928" s="183"/>
      <c r="B928" s="764"/>
      <c r="C928" s="184"/>
      <c r="D928" s="181" t="s">
        <v>75</v>
      </c>
      <c r="E928" s="180" t="s">
        <v>81</v>
      </c>
      <c r="F928" s="156">
        <v>0.5</v>
      </c>
      <c r="G928" s="154">
        <f>fr</f>
        <v>1100</v>
      </c>
      <c r="H928" s="154">
        <f>F928*G928</f>
        <v>550</v>
      </c>
      <c r="I928" s="185" t="s">
        <v>252</v>
      </c>
      <c r="J928" s="180" t="s">
        <v>673</v>
      </c>
      <c r="K928" s="156">
        <v>0.45</v>
      </c>
      <c r="L928" s="154">
        <f>cement</f>
        <v>24049.69</v>
      </c>
      <c r="M928" s="154">
        <f>K928*L928</f>
        <v>10822.360499999999</v>
      </c>
      <c r="N928" s="182" t="s">
        <v>553</v>
      </c>
      <c r="O928" s="180" t="s">
        <v>101</v>
      </c>
      <c r="P928" s="156">
        <v>0.4</v>
      </c>
      <c r="Q928" s="154">
        <f>agitator</f>
        <v>1622.4</v>
      </c>
      <c r="R928" s="154">
        <f t="shared" ref="R928:R935" si="54">P928*Q928</f>
        <v>648.96</v>
      </c>
    </row>
    <row r="929" spans="1:18">
      <c r="A929" s="183"/>
      <c r="B929" s="764"/>
      <c r="C929" s="182"/>
      <c r="D929" s="181" t="s">
        <v>96</v>
      </c>
      <c r="E929" s="180" t="s">
        <v>81</v>
      </c>
      <c r="F929" s="156">
        <v>2.5</v>
      </c>
      <c r="G929" s="154">
        <f>sr</f>
        <v>1100</v>
      </c>
      <c r="H929" s="154">
        <f>F929*G929</f>
        <v>2750</v>
      </c>
      <c r="I929" s="185" t="s">
        <v>258</v>
      </c>
      <c r="J929" s="180" t="s">
        <v>674</v>
      </c>
      <c r="K929" s="156">
        <v>0.56999999999999995</v>
      </c>
      <c r="L929" s="154">
        <f>Agg_20</f>
        <v>2700</v>
      </c>
      <c r="M929" s="154">
        <f t="shared" ref="M929:M934" si="55">K929*L929</f>
        <v>1538.9999999999998</v>
      </c>
      <c r="N929" s="182" t="s">
        <v>675</v>
      </c>
      <c r="O929" s="180" t="s">
        <v>101</v>
      </c>
      <c r="P929" s="156">
        <v>0.4</v>
      </c>
      <c r="Q929" s="154">
        <f>mixer</f>
        <v>216.32</v>
      </c>
      <c r="R929" s="154">
        <f t="shared" si="54"/>
        <v>86.528000000000006</v>
      </c>
    </row>
    <row r="930" spans="1:18">
      <c r="A930" s="183"/>
      <c r="B930" s="186"/>
      <c r="C930" s="182"/>
      <c r="D930" s="181" t="s">
        <v>97</v>
      </c>
      <c r="E930" s="180" t="s">
        <v>81</v>
      </c>
      <c r="F930" s="156">
        <v>1</v>
      </c>
      <c r="G930" s="154">
        <f>ur</f>
        <v>850</v>
      </c>
      <c r="H930" s="154">
        <f>F930*G930</f>
        <v>850</v>
      </c>
      <c r="I930" s="185" t="s">
        <v>259</v>
      </c>
      <c r="J930" s="180" t="s">
        <v>674</v>
      </c>
      <c r="K930" s="156">
        <v>0.33</v>
      </c>
      <c r="L930" s="154">
        <f>Agg_10</f>
        <v>2950</v>
      </c>
      <c r="M930" s="154">
        <f t="shared" si="55"/>
        <v>973.5</v>
      </c>
      <c r="N930" s="182" t="s">
        <v>676</v>
      </c>
      <c r="O930" s="180" t="s">
        <v>101</v>
      </c>
      <c r="P930" s="156">
        <v>0.1</v>
      </c>
      <c r="Q930" s="154">
        <f>truck</f>
        <v>486.72</v>
      </c>
      <c r="R930" s="154">
        <f t="shared" si="54"/>
        <v>48.672000000000004</v>
      </c>
    </row>
    <row r="931" spans="1:18">
      <c r="A931" s="183"/>
      <c r="B931" s="186"/>
      <c r="C931" s="182"/>
      <c r="D931" s="181" t="s">
        <v>76</v>
      </c>
      <c r="E931" s="180" t="s">
        <v>81</v>
      </c>
      <c r="F931" s="156">
        <f>P930/8</f>
        <v>1.2500000000000001E-2</v>
      </c>
      <c r="G931" s="154">
        <f>drv</f>
        <v>1100</v>
      </c>
      <c r="H931" s="154">
        <f>F931*G931</f>
        <v>13.75</v>
      </c>
      <c r="I931" s="185" t="s">
        <v>254</v>
      </c>
      <c r="J931" s="180" t="s">
        <v>674</v>
      </c>
      <c r="K931" s="156">
        <v>0.44</v>
      </c>
      <c r="L931" s="154">
        <f>sand</f>
        <v>1050</v>
      </c>
      <c r="M931" s="154">
        <f t="shared" si="55"/>
        <v>462</v>
      </c>
      <c r="N931" s="182" t="s">
        <v>677</v>
      </c>
      <c r="O931" s="180" t="s">
        <v>101</v>
      </c>
      <c r="P931" s="156">
        <v>0.4</v>
      </c>
      <c r="Q931" s="154">
        <f>concrete_pump</f>
        <v>1081.5999999999999</v>
      </c>
      <c r="R931" s="154">
        <f t="shared" si="54"/>
        <v>432.64</v>
      </c>
    </row>
    <row r="932" spans="1:18">
      <c r="A932" s="183"/>
      <c r="B932" s="186"/>
      <c r="C932" s="182"/>
      <c r="D932" s="181" t="s">
        <v>86</v>
      </c>
      <c r="E932" s="180" t="s">
        <v>81</v>
      </c>
      <c r="F932" s="156">
        <f>F931</f>
        <v>1.2500000000000001E-2</v>
      </c>
      <c r="G932" s="154">
        <f>hr</f>
        <v>750</v>
      </c>
      <c r="H932" s="154">
        <f>F932*G932</f>
        <v>9.375</v>
      </c>
      <c r="I932" s="185" t="s">
        <v>70</v>
      </c>
      <c r="J932" s="180" t="s">
        <v>250</v>
      </c>
      <c r="K932" s="156">
        <v>0.1</v>
      </c>
      <c r="L932" s="154">
        <f>petrol</f>
        <v>188.6</v>
      </c>
      <c r="M932" s="154">
        <f t="shared" si="55"/>
        <v>18.86</v>
      </c>
      <c r="N932" s="182" t="s">
        <v>678</v>
      </c>
      <c r="O932" s="180" t="s">
        <v>101</v>
      </c>
      <c r="P932" s="156">
        <v>0.4</v>
      </c>
      <c r="Q932" s="154">
        <f>vibrator_concrete</f>
        <v>108.16</v>
      </c>
      <c r="R932" s="154">
        <f t="shared" si="54"/>
        <v>43.264000000000003</v>
      </c>
    </row>
    <row r="933" spans="1:18">
      <c r="A933" s="183"/>
      <c r="B933" s="186"/>
      <c r="C933" s="182"/>
      <c r="D933" s="181"/>
      <c r="E933" s="180"/>
      <c r="F933" s="156"/>
      <c r="G933" s="154"/>
      <c r="H933" s="154"/>
      <c r="I933" s="185" t="s">
        <v>67</v>
      </c>
      <c r="J933" s="180" t="s">
        <v>250</v>
      </c>
      <c r="K933" s="156">
        <v>3</v>
      </c>
      <c r="L933" s="154">
        <f>diesel</f>
        <v>177.6</v>
      </c>
      <c r="M933" s="154">
        <f t="shared" si="55"/>
        <v>532.79999999999995</v>
      </c>
      <c r="N933" s="182" t="s">
        <v>398</v>
      </c>
      <c r="O933" s="180" t="s">
        <v>101</v>
      </c>
      <c r="P933" s="156">
        <v>0.4</v>
      </c>
      <c r="Q933" s="154">
        <f>compressor</f>
        <v>270.39999999999998</v>
      </c>
      <c r="R933" s="154">
        <f t="shared" si="54"/>
        <v>108.16</v>
      </c>
    </row>
    <row r="934" spans="1:18">
      <c r="A934" s="183"/>
      <c r="B934" s="186"/>
      <c r="C934" s="182"/>
      <c r="D934" s="181"/>
      <c r="E934" s="180"/>
      <c r="F934" s="156"/>
      <c r="G934" s="154"/>
      <c r="H934" s="154"/>
      <c r="I934" s="185" t="s">
        <v>683</v>
      </c>
      <c r="J934" s="180" t="s">
        <v>28</v>
      </c>
      <c r="K934" s="156">
        <v>6</v>
      </c>
      <c r="L934" s="154">
        <f>plasticizers</f>
        <v>139.63</v>
      </c>
      <c r="M934" s="154">
        <f t="shared" si="55"/>
        <v>837.78</v>
      </c>
      <c r="N934" s="182" t="s">
        <v>679</v>
      </c>
      <c r="O934" s="180" t="s">
        <v>101</v>
      </c>
      <c r="P934" s="156">
        <v>0.4</v>
      </c>
      <c r="Q934" s="154">
        <v>50</v>
      </c>
      <c r="R934" s="154">
        <f t="shared" si="54"/>
        <v>20</v>
      </c>
    </row>
    <row r="935" spans="1:18">
      <c r="A935" s="183"/>
      <c r="B935" s="186"/>
      <c r="C935" s="182"/>
      <c r="D935" s="181"/>
      <c r="E935" s="180"/>
      <c r="F935" s="156"/>
      <c r="G935" s="154"/>
      <c r="H935" s="154"/>
      <c r="I935" s="185"/>
      <c r="J935" s="180"/>
      <c r="K935" s="156"/>
      <c r="L935" s="154"/>
      <c r="M935" s="154"/>
      <c r="N935" s="182" t="s">
        <v>680</v>
      </c>
      <c r="O935" s="180" t="s">
        <v>101</v>
      </c>
      <c r="P935" s="156">
        <v>0.4</v>
      </c>
      <c r="Q935" s="154">
        <v>50</v>
      </c>
      <c r="R935" s="154">
        <f t="shared" si="54"/>
        <v>20</v>
      </c>
    </row>
    <row r="936" spans="1:18">
      <c r="A936" s="183"/>
      <c r="B936" s="186"/>
      <c r="C936" s="182"/>
      <c r="D936" s="181"/>
      <c r="E936" s="180"/>
      <c r="F936" s="156"/>
      <c r="G936" s="154"/>
      <c r="H936" s="154"/>
      <c r="I936" s="185"/>
      <c r="J936" s="180"/>
      <c r="K936" s="156"/>
      <c r="L936" s="154"/>
      <c r="M936" s="154"/>
      <c r="N936" s="182"/>
      <c r="O936" s="180"/>
      <c r="P936" s="156"/>
      <c r="Q936" s="154"/>
      <c r="R936" s="154"/>
    </row>
    <row r="937" spans="1:18">
      <c r="A937" s="183"/>
      <c r="B937" s="186"/>
      <c r="C937" s="182"/>
      <c r="D937" s="181"/>
      <c r="E937" s="180"/>
      <c r="F937" s="156"/>
      <c r="G937" s="154"/>
      <c r="H937" s="154"/>
      <c r="I937" s="185"/>
      <c r="J937" s="180"/>
      <c r="K937" s="156"/>
      <c r="L937" s="154"/>
      <c r="M937" s="154"/>
      <c r="N937" s="182"/>
      <c r="O937" s="180"/>
      <c r="P937" s="156"/>
      <c r="Q937" s="154"/>
      <c r="R937" s="154"/>
    </row>
    <row r="938" spans="1:18">
      <c r="A938" s="183"/>
      <c r="B938" s="187"/>
      <c r="C938" s="182"/>
      <c r="D938" s="181"/>
      <c r="E938" s="188"/>
      <c r="F938" s="189"/>
      <c r="G938" s="190"/>
      <c r="H938" s="190"/>
      <c r="I938" s="188"/>
      <c r="J938" s="188"/>
      <c r="K938" s="189"/>
      <c r="L938" s="154"/>
      <c r="M938" s="154"/>
      <c r="N938" s="182"/>
      <c r="O938" s="182"/>
      <c r="P938" s="189"/>
      <c r="Q938" s="154"/>
      <c r="R938" s="154"/>
    </row>
    <row r="939" spans="1:18">
      <c r="A939" s="183"/>
      <c r="B939" s="183"/>
      <c r="C939" s="182"/>
      <c r="D939" s="191"/>
      <c r="E939" s="192"/>
      <c r="F939" s="193"/>
      <c r="G939" s="193" t="s">
        <v>20</v>
      </c>
      <c r="H939" s="194">
        <f>SUM(H927:H938)</f>
        <v>4173.125</v>
      </c>
      <c r="I939" s="774"/>
      <c r="J939" s="774"/>
      <c r="K939" s="195"/>
      <c r="L939" s="193" t="s">
        <v>21</v>
      </c>
      <c r="M939" s="194">
        <f>SUM(M927:M938)</f>
        <v>15186.300499999999</v>
      </c>
      <c r="N939" s="196"/>
      <c r="O939" s="195"/>
      <c r="P939" s="195"/>
      <c r="Q939" s="193" t="s">
        <v>22</v>
      </c>
      <c r="R939" s="194">
        <f>SUM(R927:R938)</f>
        <v>1408.2240000000002</v>
      </c>
    </row>
    <row r="940" spans="1:18">
      <c r="A940" s="183"/>
      <c r="B940" s="197" t="s">
        <v>13</v>
      </c>
      <c r="C940" s="195"/>
      <c r="D940" s="195"/>
      <c r="E940" s="195"/>
      <c r="F940" s="195"/>
      <c r="G940" s="193"/>
      <c r="H940" s="198">
        <f>M939+R939+H939</f>
        <v>20767.6495</v>
      </c>
      <c r="I940" s="199"/>
      <c r="J940" s="195"/>
      <c r="K940" s="195"/>
      <c r="L940" s="193"/>
      <c r="M940" s="200"/>
      <c r="N940" s="195"/>
      <c r="O940" s="195"/>
      <c r="P940" s="195"/>
      <c r="Q940" s="195"/>
      <c r="R940" s="199"/>
    </row>
    <row r="941" spans="1:18">
      <c r="A941" s="183"/>
      <c r="B941" s="183" t="s">
        <v>25</v>
      </c>
      <c r="C941" s="181" t="s">
        <v>647</v>
      </c>
      <c r="D941" s="181"/>
      <c r="E941" s="181"/>
      <c r="F941" s="181"/>
      <c r="G941" s="201"/>
      <c r="H941" s="202">
        <f>20%*(H939)</f>
        <v>834.625</v>
      </c>
      <c r="I941" s="203"/>
      <c r="J941" s="181" t="s">
        <v>26</v>
      </c>
      <c r="K941" s="181"/>
      <c r="L941" s="201"/>
      <c r="M941" s="204"/>
      <c r="N941" s="181"/>
      <c r="O941" s="181"/>
      <c r="P941" s="181"/>
      <c r="Q941" s="181"/>
      <c r="R941" s="203"/>
    </row>
    <row r="942" spans="1:18">
      <c r="A942" s="205"/>
      <c r="B942" s="183" t="s">
        <v>14</v>
      </c>
      <c r="C942" s="181"/>
      <c r="D942" s="181"/>
      <c r="E942" s="181"/>
      <c r="F942" s="181"/>
      <c r="G942" s="201"/>
      <c r="H942" s="202">
        <f>SUM(H940:H941)</f>
        <v>21602.2745</v>
      </c>
      <c r="I942" s="203"/>
      <c r="J942" s="775"/>
      <c r="K942" s="776"/>
      <c r="L942" s="776"/>
      <c r="M942" s="776"/>
      <c r="N942" s="776"/>
      <c r="O942" s="776"/>
      <c r="P942" s="776"/>
      <c r="Q942" s="776"/>
      <c r="R942" s="777"/>
    </row>
    <row r="943" spans="1:18">
      <c r="A943" s="205"/>
      <c r="B943" s="183" t="s">
        <v>24</v>
      </c>
      <c r="C943" s="181"/>
      <c r="D943" s="181"/>
      <c r="E943" s="181"/>
      <c r="F943" s="181"/>
      <c r="G943" s="201"/>
      <c r="H943" s="202">
        <f>H942*15%</f>
        <v>3240.341175</v>
      </c>
      <c r="I943" s="203"/>
      <c r="J943" s="778"/>
      <c r="K943" s="779"/>
      <c r="L943" s="779"/>
      <c r="M943" s="779"/>
      <c r="N943" s="779"/>
      <c r="O943" s="779"/>
      <c r="P943" s="779"/>
      <c r="Q943" s="779"/>
      <c r="R943" s="780"/>
    </row>
    <row r="944" spans="1:18">
      <c r="A944" s="205"/>
      <c r="B944" s="183" t="s">
        <v>15</v>
      </c>
      <c r="C944" s="181"/>
      <c r="D944" s="181"/>
      <c r="E944" s="181"/>
      <c r="F944" s="181"/>
      <c r="G944" s="206" t="s">
        <v>16</v>
      </c>
      <c r="H944" s="207">
        <f>H943+H942</f>
        <v>24842.615675000001</v>
      </c>
      <c r="I944" s="208" t="str">
        <f>CONCATENATE("per ",C927, C928)</f>
        <v>per cum</v>
      </c>
      <c r="J944" s="778"/>
      <c r="K944" s="779"/>
      <c r="L944" s="779"/>
      <c r="M944" s="779"/>
      <c r="N944" s="779"/>
      <c r="O944" s="779"/>
      <c r="P944" s="779"/>
      <c r="Q944" s="779"/>
      <c r="R944" s="780"/>
    </row>
    <row r="945" spans="1:18">
      <c r="A945" s="205"/>
      <c r="B945" s="183" t="s">
        <v>18</v>
      </c>
      <c r="C945" s="181" t="s">
        <v>19</v>
      </c>
      <c r="D945" s="181"/>
      <c r="E945" s="181"/>
      <c r="F945" s="181"/>
      <c r="G945" s="206" t="s">
        <v>16</v>
      </c>
      <c r="H945" s="207">
        <f>CEILING(H944,0.5)</f>
        <v>24843</v>
      </c>
      <c r="I945" s="208" t="str">
        <f>CONCATENATE("per ",C927)</f>
        <v>per cum</v>
      </c>
      <c r="J945" s="778"/>
      <c r="K945" s="779"/>
      <c r="L945" s="779"/>
      <c r="M945" s="779"/>
      <c r="N945" s="779"/>
      <c r="O945" s="779"/>
      <c r="P945" s="779"/>
      <c r="Q945" s="779"/>
      <c r="R945" s="780"/>
    </row>
    <row r="946" spans="1:18">
      <c r="A946" s="205"/>
      <c r="B946" s="183"/>
      <c r="C946" s="181"/>
      <c r="D946" s="181"/>
      <c r="E946" s="181"/>
      <c r="F946" s="181"/>
      <c r="G946" s="209" t="s">
        <v>17</v>
      </c>
      <c r="H946" s="207">
        <f>H945/exr</f>
        <v>191.1</v>
      </c>
      <c r="I946" s="208" t="str">
        <f>CONCATENATE("per ",C927)</f>
        <v>per cum</v>
      </c>
      <c r="J946" s="781"/>
      <c r="K946" s="782"/>
      <c r="L946" s="782"/>
      <c r="M946" s="782"/>
      <c r="N946" s="782"/>
      <c r="O946" s="782"/>
      <c r="P946" s="782"/>
      <c r="Q946" s="782"/>
      <c r="R946" s="783"/>
    </row>
    <row r="947" spans="1:18">
      <c r="A947" s="39"/>
      <c r="B947" s="40"/>
      <c r="C947" s="41"/>
      <c r="D947" s="41"/>
      <c r="E947" s="41"/>
      <c r="F947" s="41"/>
      <c r="G947" s="149" t="s">
        <v>460</v>
      </c>
      <c r="H947" s="150">
        <f>CEILING(SUM(M939,R939)/H940,0.0025)</f>
        <v>0.8</v>
      </c>
      <c r="I947" s="42"/>
      <c r="J947" s="43"/>
      <c r="K947" s="43"/>
      <c r="L947" s="43"/>
      <c r="M947" s="43"/>
      <c r="N947" s="43"/>
      <c r="O947" s="43"/>
      <c r="P947" s="43"/>
      <c r="Q947" s="43"/>
      <c r="R947" s="44"/>
    </row>
  </sheetData>
  <mergeCells count="324">
    <mergeCell ref="A1:A2"/>
    <mergeCell ref="B1:B2"/>
    <mergeCell ref="C1:C2"/>
    <mergeCell ref="D1:H1"/>
    <mergeCell ref="I1:M1"/>
    <mergeCell ref="N1:R1"/>
    <mergeCell ref="B4:B6"/>
    <mergeCell ref="I20:J20"/>
    <mergeCell ref="B64:B66"/>
    <mergeCell ref="A31:A32"/>
    <mergeCell ref="B31:B32"/>
    <mergeCell ref="C31:C32"/>
    <mergeCell ref="D31:H31"/>
    <mergeCell ref="I31:M31"/>
    <mergeCell ref="N31:R31"/>
    <mergeCell ref="J23:R28"/>
    <mergeCell ref="I50:J50"/>
    <mergeCell ref="J53:R58"/>
    <mergeCell ref="N123:R123"/>
    <mergeCell ref="A61:A62"/>
    <mergeCell ref="B61:B62"/>
    <mergeCell ref="C61:C62"/>
    <mergeCell ref="D61:H61"/>
    <mergeCell ref="I61:M61"/>
    <mergeCell ref="N61:R61"/>
    <mergeCell ref="B34:B36"/>
    <mergeCell ref="A123:A124"/>
    <mergeCell ref="B123:B124"/>
    <mergeCell ref="C123:C124"/>
    <mergeCell ref="D123:H123"/>
    <mergeCell ref="I123:M123"/>
    <mergeCell ref="I81:J81"/>
    <mergeCell ref="J84:R89"/>
    <mergeCell ref="A92:A93"/>
    <mergeCell ref="B92:B93"/>
    <mergeCell ref="C92:C93"/>
    <mergeCell ref="D92:H92"/>
    <mergeCell ref="I92:M92"/>
    <mergeCell ref="N92:R92"/>
    <mergeCell ref="B95:B97"/>
    <mergeCell ref="I112:J112"/>
    <mergeCell ref="J115:R120"/>
    <mergeCell ref="B126:B128"/>
    <mergeCell ref="I140:J140"/>
    <mergeCell ref="J143:R150"/>
    <mergeCell ref="A155:A156"/>
    <mergeCell ref="B155:B156"/>
    <mergeCell ref="C155:C156"/>
    <mergeCell ref="D155:H155"/>
    <mergeCell ref="I155:M155"/>
    <mergeCell ref="N155:R155"/>
    <mergeCell ref="B158:B160"/>
    <mergeCell ref="I172:J172"/>
    <mergeCell ref="J175:R184"/>
    <mergeCell ref="A190:A191"/>
    <mergeCell ref="B190:B191"/>
    <mergeCell ref="C190:C191"/>
    <mergeCell ref="D190:H190"/>
    <mergeCell ref="I190:M190"/>
    <mergeCell ref="N190:R190"/>
    <mergeCell ref="B193:B195"/>
    <mergeCell ref="I208:J208"/>
    <mergeCell ref="J211:R217"/>
    <mergeCell ref="A220:A221"/>
    <mergeCell ref="B220:B221"/>
    <mergeCell ref="C220:C221"/>
    <mergeCell ref="D220:H220"/>
    <mergeCell ref="I220:M220"/>
    <mergeCell ref="N220:R220"/>
    <mergeCell ref="B223:B225"/>
    <mergeCell ref="I238:J238"/>
    <mergeCell ref="J241:R247"/>
    <mergeCell ref="B253:B255"/>
    <mergeCell ref="I263:J263"/>
    <mergeCell ref="J266:R271"/>
    <mergeCell ref="I289:J289"/>
    <mergeCell ref="A250:A251"/>
    <mergeCell ref="B250:B251"/>
    <mergeCell ref="C250:C251"/>
    <mergeCell ref="D250:H250"/>
    <mergeCell ref="I250:M250"/>
    <mergeCell ref="N250:R250"/>
    <mergeCell ref="A274:A275"/>
    <mergeCell ref="B274:B275"/>
    <mergeCell ref="C274:C275"/>
    <mergeCell ref="D274:H274"/>
    <mergeCell ref="I274:M274"/>
    <mergeCell ref="N274:R274"/>
    <mergeCell ref="B277:B279"/>
    <mergeCell ref="I464:J464"/>
    <mergeCell ref="B452:B454"/>
    <mergeCell ref="B427:B429"/>
    <mergeCell ref="B402:B404"/>
    <mergeCell ref="B377:B379"/>
    <mergeCell ref="B352:B354"/>
    <mergeCell ref="I414:J414"/>
    <mergeCell ref="J417:R421"/>
    <mergeCell ref="J467:R471"/>
    <mergeCell ref="I389:J389"/>
    <mergeCell ref="J392:R396"/>
    <mergeCell ref="I439:J439"/>
    <mergeCell ref="J442:R446"/>
    <mergeCell ref="B299:B300"/>
    <mergeCell ref="A399:A400"/>
    <mergeCell ref="B399:B400"/>
    <mergeCell ref="C399:C400"/>
    <mergeCell ref="D399:H399"/>
    <mergeCell ref="I399:M399"/>
    <mergeCell ref="N399:R399"/>
    <mergeCell ref="I364:J364"/>
    <mergeCell ref="J367:R371"/>
    <mergeCell ref="A374:A375"/>
    <mergeCell ref="B374:B375"/>
    <mergeCell ref="C374:C375"/>
    <mergeCell ref="D374:H374"/>
    <mergeCell ref="I374:M374"/>
    <mergeCell ref="N374:R374"/>
    <mergeCell ref="J292:R296"/>
    <mergeCell ref="I339:J339"/>
    <mergeCell ref="I314:J314"/>
    <mergeCell ref="J317:R321"/>
    <mergeCell ref="J342:R346"/>
    <mergeCell ref="A349:A350"/>
    <mergeCell ref="B349:B350"/>
    <mergeCell ref="C349:C350"/>
    <mergeCell ref="D349:H349"/>
    <mergeCell ref="I349:M349"/>
    <mergeCell ref="B302:B304"/>
    <mergeCell ref="A324:A325"/>
    <mergeCell ref="B324:B325"/>
    <mergeCell ref="C324:C325"/>
    <mergeCell ref="D324:H324"/>
    <mergeCell ref="I324:M324"/>
    <mergeCell ref="N324:R324"/>
    <mergeCell ref="N349:R349"/>
    <mergeCell ref="B327:B329"/>
    <mergeCell ref="C299:C300"/>
    <mergeCell ref="D299:H299"/>
    <mergeCell ref="I299:M299"/>
    <mergeCell ref="N299:R299"/>
    <mergeCell ref="A299:A300"/>
    <mergeCell ref="A449:A450"/>
    <mergeCell ref="B449:B450"/>
    <mergeCell ref="C449:C450"/>
    <mergeCell ref="D449:H449"/>
    <mergeCell ref="I449:M449"/>
    <mergeCell ref="N449:R449"/>
    <mergeCell ref="A424:A425"/>
    <mergeCell ref="B424:B425"/>
    <mergeCell ref="C424:C425"/>
    <mergeCell ref="D424:H424"/>
    <mergeCell ref="I424:M424"/>
    <mergeCell ref="N424:R424"/>
    <mergeCell ref="B499:B500"/>
    <mergeCell ref="C499:C500"/>
    <mergeCell ref="D499:H499"/>
    <mergeCell ref="I499:M499"/>
    <mergeCell ref="N499:R499"/>
    <mergeCell ref="J517:R521"/>
    <mergeCell ref="I514:J514"/>
    <mergeCell ref="B502:B504"/>
    <mergeCell ref="A474:A475"/>
    <mergeCell ref="B474:B475"/>
    <mergeCell ref="C474:C475"/>
    <mergeCell ref="D474:H474"/>
    <mergeCell ref="I474:M474"/>
    <mergeCell ref="I489:J489"/>
    <mergeCell ref="J492:R496"/>
    <mergeCell ref="A499:A500"/>
    <mergeCell ref="N474:R474"/>
    <mergeCell ref="B477:B479"/>
    <mergeCell ref="B552:B554"/>
    <mergeCell ref="I564:J564"/>
    <mergeCell ref="J567:R571"/>
    <mergeCell ref="A574:A575"/>
    <mergeCell ref="A524:A525"/>
    <mergeCell ref="B524:B525"/>
    <mergeCell ref="C524:C525"/>
    <mergeCell ref="D524:H524"/>
    <mergeCell ref="I524:M524"/>
    <mergeCell ref="N524:R524"/>
    <mergeCell ref="I764:J764"/>
    <mergeCell ref="J767:R771"/>
    <mergeCell ref="A774:A775"/>
    <mergeCell ref="B774:B775"/>
    <mergeCell ref="C774:C775"/>
    <mergeCell ref="D774:H774"/>
    <mergeCell ref="I774:M774"/>
    <mergeCell ref="N774:R774"/>
    <mergeCell ref="B527:B529"/>
    <mergeCell ref="I539:J539"/>
    <mergeCell ref="J542:R546"/>
    <mergeCell ref="A749:A750"/>
    <mergeCell ref="B749:B750"/>
    <mergeCell ref="C749:C750"/>
    <mergeCell ref="D749:H749"/>
    <mergeCell ref="I749:M749"/>
    <mergeCell ref="N749:R749"/>
    <mergeCell ref="N549:R549"/>
    <mergeCell ref="B752:B754"/>
    <mergeCell ref="A549:A550"/>
    <mergeCell ref="B549:B550"/>
    <mergeCell ref="C549:C550"/>
    <mergeCell ref="D549:H549"/>
    <mergeCell ref="I549:M549"/>
    <mergeCell ref="B777:B779"/>
    <mergeCell ref="I789:J789"/>
    <mergeCell ref="J792:R796"/>
    <mergeCell ref="A799:A800"/>
    <mergeCell ref="B799:B800"/>
    <mergeCell ref="C799:C800"/>
    <mergeCell ref="D799:H799"/>
    <mergeCell ref="I799:M799"/>
    <mergeCell ref="N799:R799"/>
    <mergeCell ref="B827:B829"/>
    <mergeCell ref="I839:J839"/>
    <mergeCell ref="J842:R846"/>
    <mergeCell ref="B802:B804"/>
    <mergeCell ref="I814:J814"/>
    <mergeCell ref="J817:R821"/>
    <mergeCell ref="A824:A825"/>
    <mergeCell ref="B824:B825"/>
    <mergeCell ref="C824:C825"/>
    <mergeCell ref="D824:H824"/>
    <mergeCell ref="I824:M824"/>
    <mergeCell ref="N824:R824"/>
    <mergeCell ref="A849:A850"/>
    <mergeCell ref="B849:B850"/>
    <mergeCell ref="C849:C850"/>
    <mergeCell ref="D849:H849"/>
    <mergeCell ref="I849:M849"/>
    <mergeCell ref="N849:R849"/>
    <mergeCell ref="B852:B854"/>
    <mergeCell ref="I864:J864"/>
    <mergeCell ref="J867:R871"/>
    <mergeCell ref="A874:A875"/>
    <mergeCell ref="B874:B875"/>
    <mergeCell ref="C874:C875"/>
    <mergeCell ref="D874:H874"/>
    <mergeCell ref="I874:M874"/>
    <mergeCell ref="N874:R874"/>
    <mergeCell ref="B877:B879"/>
    <mergeCell ref="I889:J889"/>
    <mergeCell ref="J892:R896"/>
    <mergeCell ref="A899:A900"/>
    <mergeCell ref="B899:B900"/>
    <mergeCell ref="C899:C900"/>
    <mergeCell ref="D899:H899"/>
    <mergeCell ref="I899:M899"/>
    <mergeCell ref="N899:R899"/>
    <mergeCell ref="B902:B904"/>
    <mergeCell ref="I914:J914"/>
    <mergeCell ref="J917:R921"/>
    <mergeCell ref="A924:A925"/>
    <mergeCell ref="B924:B925"/>
    <mergeCell ref="C924:C925"/>
    <mergeCell ref="D924:H924"/>
    <mergeCell ref="I924:M924"/>
    <mergeCell ref="N924:R924"/>
    <mergeCell ref="B927:B929"/>
    <mergeCell ref="I939:J939"/>
    <mergeCell ref="J942:R946"/>
    <mergeCell ref="I589:J589"/>
    <mergeCell ref="J592:R596"/>
    <mergeCell ref="A599:A600"/>
    <mergeCell ref="B599:B600"/>
    <mergeCell ref="C599:C600"/>
    <mergeCell ref="D599:H599"/>
    <mergeCell ref="I599:M599"/>
    <mergeCell ref="N599:R599"/>
    <mergeCell ref="B574:B575"/>
    <mergeCell ref="C574:C575"/>
    <mergeCell ref="D574:H574"/>
    <mergeCell ref="I574:M574"/>
    <mergeCell ref="N574:R574"/>
    <mergeCell ref="B577:B579"/>
    <mergeCell ref="B602:B604"/>
    <mergeCell ref="I614:J614"/>
    <mergeCell ref="J617:R621"/>
    <mergeCell ref="A624:A625"/>
    <mergeCell ref="B624:B625"/>
    <mergeCell ref="C624:C625"/>
    <mergeCell ref="D624:H624"/>
    <mergeCell ref="I624:M624"/>
    <mergeCell ref="N624:R624"/>
    <mergeCell ref="B627:B629"/>
    <mergeCell ref="I639:J639"/>
    <mergeCell ref="J642:R646"/>
    <mergeCell ref="A649:A650"/>
    <mergeCell ref="B649:B650"/>
    <mergeCell ref="C649:C650"/>
    <mergeCell ref="D649:H649"/>
    <mergeCell ref="I649:M649"/>
    <mergeCell ref="N649:R649"/>
    <mergeCell ref="B652:B654"/>
    <mergeCell ref="I664:J664"/>
    <mergeCell ref="J667:R671"/>
    <mergeCell ref="A674:A675"/>
    <mergeCell ref="B674:B675"/>
    <mergeCell ref="C674:C675"/>
    <mergeCell ref="D674:H674"/>
    <mergeCell ref="I674:M674"/>
    <mergeCell ref="N674:R674"/>
    <mergeCell ref="B677:B679"/>
    <mergeCell ref="I689:J689"/>
    <mergeCell ref="J692:R696"/>
    <mergeCell ref="A699:A700"/>
    <mergeCell ref="B699:B700"/>
    <mergeCell ref="C699:C700"/>
    <mergeCell ref="D699:H699"/>
    <mergeCell ref="I699:M699"/>
    <mergeCell ref="N699:R699"/>
    <mergeCell ref="B727:B729"/>
    <mergeCell ref="I739:J739"/>
    <mergeCell ref="J742:R746"/>
    <mergeCell ref="B702:B704"/>
    <mergeCell ref="I714:J714"/>
    <mergeCell ref="J717:R721"/>
    <mergeCell ref="A724:A725"/>
    <mergeCell ref="B724:B725"/>
    <mergeCell ref="C724:C725"/>
    <mergeCell ref="D724:H724"/>
    <mergeCell ref="I724:M724"/>
    <mergeCell ref="N724:R724"/>
  </mergeCells>
  <printOptions horizontalCentered="1"/>
  <pageMargins left="0.36" right="0.7" top="0.75" bottom="0.75" header="0.3" footer="0.3"/>
  <pageSetup paperSize="9" scale="55" fitToHeight="17" orientation="landscape" r:id="rId1"/>
  <headerFooter>
    <oddHeader>&amp;L&amp;"Gill Sans MT,Italic"&amp;9Hydro Consult
Nyadi Hydropower Project&amp;C&amp;"Gill Sans MT,Regular"RATE ANALYSIS&amp;R&amp;"Gill Sans MT,Italic"&amp;9&amp;A</oddHeader>
    <oddFooter>&amp;R&amp;"Gill Sans MT,Italic"&amp;9Page &amp;P of &amp;N</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E18"/>
  <sheetViews>
    <sheetView workbookViewId="0">
      <selection sqref="A1:A2"/>
    </sheetView>
  </sheetViews>
  <sheetFormatPr defaultRowHeight="15"/>
  <cols>
    <col min="14" max="14" width="11.7109375" bestFit="1" customWidth="1"/>
  </cols>
  <sheetData>
    <row r="1" spans="1:31" s="585" customFormat="1" ht="14.25">
      <c r="A1" s="791" t="s">
        <v>0</v>
      </c>
      <c r="B1" s="793" t="s">
        <v>1</v>
      </c>
      <c r="C1" s="793" t="s">
        <v>2</v>
      </c>
      <c r="D1" s="796" t="s">
        <v>3</v>
      </c>
      <c r="E1" s="784"/>
      <c r="F1" s="784"/>
      <c r="G1" s="784"/>
      <c r="H1" s="784"/>
      <c r="I1" s="797" t="s">
        <v>4</v>
      </c>
      <c r="J1" s="798"/>
      <c r="K1" s="798"/>
      <c r="L1" s="798"/>
      <c r="M1" s="798"/>
      <c r="N1" s="784" t="s">
        <v>5</v>
      </c>
      <c r="O1" s="784"/>
      <c r="P1" s="784"/>
      <c r="Q1" s="784"/>
      <c r="R1" s="784"/>
    </row>
    <row r="2" spans="1:31" s="585" customFormat="1" ht="14.25">
      <c r="A2" s="792"/>
      <c r="B2" s="794"/>
      <c r="C2" s="795"/>
      <c r="D2" s="586" t="s">
        <v>6</v>
      </c>
      <c r="E2" s="587" t="s">
        <v>2</v>
      </c>
      <c r="F2" s="588" t="s">
        <v>7</v>
      </c>
      <c r="G2" s="588" t="s">
        <v>8</v>
      </c>
      <c r="H2" s="588" t="s">
        <v>9</v>
      </c>
      <c r="I2" s="589" t="s">
        <v>10</v>
      </c>
      <c r="J2" s="589" t="s">
        <v>2</v>
      </c>
      <c r="K2" s="589" t="s">
        <v>7</v>
      </c>
      <c r="L2" s="590" t="s">
        <v>8</v>
      </c>
      <c r="M2" s="591" t="s">
        <v>9</v>
      </c>
      <c r="N2" s="589" t="s">
        <v>10</v>
      </c>
      <c r="O2" s="589" t="s">
        <v>2</v>
      </c>
      <c r="P2" s="589" t="s">
        <v>7</v>
      </c>
      <c r="Q2" s="589" t="s">
        <v>8</v>
      </c>
      <c r="R2" s="589" t="s">
        <v>9</v>
      </c>
    </row>
    <row r="3" spans="1:31" s="585" customFormat="1" ht="14.25" customHeight="1">
      <c r="A3" s="592">
        <v>6</v>
      </c>
      <c r="B3" s="785" t="s">
        <v>1021</v>
      </c>
      <c r="C3" s="787" t="s">
        <v>1022</v>
      </c>
      <c r="D3" s="593"/>
      <c r="E3" s="587"/>
      <c r="F3" s="594"/>
      <c r="G3" s="588"/>
      <c r="H3" s="588"/>
      <c r="I3" s="587"/>
      <c r="J3" s="587"/>
      <c r="K3" s="587"/>
      <c r="L3" s="588"/>
      <c r="M3" s="588"/>
      <c r="N3" s="587"/>
      <c r="O3" s="587"/>
      <c r="P3" s="587"/>
      <c r="Q3" s="587"/>
      <c r="R3" s="587"/>
    </row>
    <row r="4" spans="1:31" s="585" customFormat="1" ht="14.25">
      <c r="A4" s="595"/>
      <c r="B4" s="786"/>
      <c r="C4" s="788"/>
      <c r="D4" s="593" t="s">
        <v>75</v>
      </c>
      <c r="E4" s="596" t="s">
        <v>766</v>
      </c>
      <c r="F4" s="597">
        <v>0.5</v>
      </c>
      <c r="G4" s="598">
        <v>1100</v>
      </c>
      <c r="H4" s="598">
        <f>G4*F4</f>
        <v>550</v>
      </c>
      <c r="I4" s="599" t="s">
        <v>67</v>
      </c>
      <c r="J4" s="600" t="s">
        <v>250</v>
      </c>
      <c r="K4" s="601">
        <f>2*B7</f>
        <v>12</v>
      </c>
      <c r="L4" s="598">
        <v>96.75</v>
      </c>
      <c r="M4" s="602">
        <f>K4*L4</f>
        <v>1161</v>
      </c>
      <c r="N4" s="596" t="s">
        <v>655</v>
      </c>
      <c r="O4" s="603" t="s">
        <v>101</v>
      </c>
      <c r="P4" s="604">
        <v>0.75</v>
      </c>
      <c r="Q4" s="605">
        <f>+'[5]Basic Rates'!I163</f>
        <v>270.39999999999998</v>
      </c>
      <c r="R4" s="606">
        <f>P4*Q4</f>
        <v>202.79999999999998</v>
      </c>
    </row>
    <row r="5" spans="1:31" s="585" customFormat="1" ht="27">
      <c r="A5" s="595"/>
      <c r="B5" s="786"/>
      <c r="C5" s="596"/>
      <c r="D5" s="593" t="s">
        <v>747</v>
      </c>
      <c r="E5" s="596" t="s">
        <v>766</v>
      </c>
      <c r="F5" s="597">
        <v>1</v>
      </c>
      <c r="G5" s="598">
        <v>1100</v>
      </c>
      <c r="H5" s="598">
        <f>G5*F5</f>
        <v>1100</v>
      </c>
      <c r="I5" s="599" t="s">
        <v>649</v>
      </c>
      <c r="J5" s="600" t="s">
        <v>771</v>
      </c>
      <c r="K5" s="596"/>
      <c r="L5" s="598"/>
      <c r="M5" s="602">
        <v>300</v>
      </c>
      <c r="N5" s="606" t="s">
        <v>1023</v>
      </c>
      <c r="O5" s="598" t="s">
        <v>101</v>
      </c>
      <c r="P5" s="606">
        <v>0.6</v>
      </c>
      <c r="Q5" s="605">
        <f>+'[5]Basic Rates'!I157</f>
        <v>324.48</v>
      </c>
      <c r="R5" s="606">
        <f>P5*Q5</f>
        <v>194.68800000000002</v>
      </c>
    </row>
    <row r="6" spans="1:31" s="585" customFormat="1" ht="27">
      <c r="A6" s="595"/>
      <c r="B6" s="786"/>
      <c r="C6" s="600"/>
      <c r="D6" s="593" t="s">
        <v>768</v>
      </c>
      <c r="E6" s="596" t="s">
        <v>766</v>
      </c>
      <c r="F6" s="597">
        <f>1.4</f>
        <v>1.4</v>
      </c>
      <c r="G6" s="598">
        <v>850</v>
      </c>
      <c r="H6" s="598">
        <f>G6*F6</f>
        <v>1190</v>
      </c>
      <c r="I6" s="596" t="s">
        <v>494</v>
      </c>
      <c r="J6" s="600" t="s">
        <v>285</v>
      </c>
      <c r="K6" s="596">
        <v>0.6</v>
      </c>
      <c r="L6" s="598">
        <v>3868.34</v>
      </c>
      <c r="M6" s="602">
        <f t="shared" ref="M6:M12" si="0">K6*L6</f>
        <v>2321.0039999999999</v>
      </c>
      <c r="N6" s="599" t="s">
        <v>657</v>
      </c>
      <c r="O6" s="607" t="s">
        <v>771</v>
      </c>
      <c r="P6" s="608"/>
      <c r="Q6" s="596"/>
      <c r="R6" s="606">
        <v>500</v>
      </c>
    </row>
    <row r="7" spans="1:31" s="585" customFormat="1" ht="27">
      <c r="A7" s="595"/>
      <c r="B7" s="609">
        <v>6</v>
      </c>
      <c r="C7" s="596"/>
      <c r="D7" s="593"/>
      <c r="E7" s="596"/>
      <c r="F7" s="597"/>
      <c r="G7" s="598"/>
      <c r="H7" s="598"/>
      <c r="I7" s="599" t="s">
        <v>1024</v>
      </c>
      <c r="J7" s="596" t="s">
        <v>28</v>
      </c>
      <c r="K7" s="606">
        <f>3.85*B7</f>
        <v>23.1</v>
      </c>
      <c r="L7" s="598">
        <v>91.076700000000002</v>
      </c>
      <c r="M7" s="602">
        <f t="shared" si="0"/>
        <v>2103.8717700000002</v>
      </c>
      <c r="N7" s="608" t="s">
        <v>658</v>
      </c>
      <c r="O7" s="607" t="s">
        <v>771</v>
      </c>
      <c r="P7" s="608"/>
      <c r="Q7" s="596"/>
      <c r="R7" s="606">
        <v>100</v>
      </c>
    </row>
    <row r="8" spans="1:31" s="585" customFormat="1" ht="40.5">
      <c r="A8" s="595"/>
      <c r="B8" s="599"/>
      <c r="C8" s="596"/>
      <c r="D8" s="593"/>
      <c r="E8" s="596"/>
      <c r="F8" s="597"/>
      <c r="G8" s="598"/>
      <c r="H8" s="598"/>
      <c r="I8" s="599" t="s">
        <v>650</v>
      </c>
      <c r="J8" s="596" t="s">
        <v>285</v>
      </c>
      <c r="K8" s="610">
        <v>0</v>
      </c>
      <c r="L8" s="598">
        <v>100</v>
      </c>
      <c r="M8" s="602">
        <f t="shared" si="0"/>
        <v>0</v>
      </c>
      <c r="N8" s="599" t="s">
        <v>659</v>
      </c>
      <c r="O8" s="611" t="s">
        <v>101</v>
      </c>
      <c r="P8" s="612">
        <v>0.9</v>
      </c>
      <c r="Q8" s="613">
        <f>+'[5]Basic Rates'!I167</f>
        <v>540.79999999999995</v>
      </c>
      <c r="R8" s="612">
        <f>P8*Q8</f>
        <v>486.71999999999997</v>
      </c>
    </row>
    <row r="9" spans="1:31" s="585" customFormat="1" ht="54">
      <c r="A9" s="595"/>
      <c r="B9" s="599"/>
      <c r="C9" s="596"/>
      <c r="D9" s="593"/>
      <c r="E9" s="596"/>
      <c r="F9" s="597"/>
      <c r="G9" s="598"/>
      <c r="H9" s="598"/>
      <c r="I9" s="599" t="s">
        <v>651</v>
      </c>
      <c r="J9" s="596" t="s">
        <v>285</v>
      </c>
      <c r="K9" s="610">
        <v>0</v>
      </c>
      <c r="L9" s="598">
        <v>1426.54</v>
      </c>
      <c r="M9" s="602">
        <f t="shared" si="0"/>
        <v>0</v>
      </c>
      <c r="N9" s="608" t="s">
        <v>660</v>
      </c>
      <c r="O9" s="607" t="s">
        <v>101</v>
      </c>
      <c r="P9" s="608">
        <v>0.6</v>
      </c>
      <c r="Q9" s="614">
        <f>+'[5]Basic Rates'!I164</f>
        <v>260.67</v>
      </c>
      <c r="R9" s="608">
        <f>P9*Q9</f>
        <v>156.40200000000002</v>
      </c>
    </row>
    <row r="10" spans="1:31" s="585" customFormat="1" ht="14.25">
      <c r="A10" s="595"/>
      <c r="B10" s="599"/>
      <c r="C10" s="596"/>
      <c r="D10" s="593"/>
      <c r="E10" s="596"/>
      <c r="F10" s="598"/>
      <c r="G10" s="598"/>
      <c r="H10" s="597"/>
      <c r="I10" s="596" t="s">
        <v>31</v>
      </c>
      <c r="J10" s="596" t="s">
        <v>28</v>
      </c>
      <c r="K10" s="610">
        <f>1.5*B7</f>
        <v>9</v>
      </c>
      <c r="L10" s="598">
        <v>20.80743</v>
      </c>
      <c r="M10" s="602">
        <f t="shared" si="0"/>
        <v>187.26687000000001</v>
      </c>
      <c r="N10" s="608" t="s">
        <v>661</v>
      </c>
      <c r="O10" s="607" t="s">
        <v>771</v>
      </c>
      <c r="P10" s="615"/>
      <c r="Q10" s="596"/>
      <c r="R10" s="606">
        <v>15</v>
      </c>
    </row>
    <row r="11" spans="1:31" s="585" customFormat="1" ht="14.25">
      <c r="A11" s="595"/>
      <c r="B11" s="599"/>
      <c r="C11" s="596"/>
      <c r="E11" s="616"/>
      <c r="F11" s="616"/>
      <c r="G11" s="616"/>
      <c r="I11" s="596" t="s">
        <v>652</v>
      </c>
      <c r="J11" s="596"/>
      <c r="K11" s="610">
        <f>0.005%*K10</f>
        <v>4.5000000000000004E-4</v>
      </c>
      <c r="L11" s="598">
        <v>136.35</v>
      </c>
      <c r="M11" s="602">
        <f t="shared" si="0"/>
        <v>6.1357500000000002E-2</v>
      </c>
      <c r="N11" s="608"/>
      <c r="O11" s="608"/>
      <c r="P11" s="615"/>
      <c r="Q11" s="596"/>
      <c r="R11" s="606"/>
    </row>
    <row r="12" spans="1:31" s="585" customFormat="1" ht="15.75">
      <c r="A12" s="595"/>
      <c r="B12" s="599"/>
      <c r="C12" s="596"/>
      <c r="E12" s="616"/>
      <c r="F12" s="616"/>
      <c r="G12" s="616"/>
      <c r="I12" s="596" t="s">
        <v>653</v>
      </c>
      <c r="J12" s="596" t="s">
        <v>11</v>
      </c>
      <c r="K12" s="610">
        <f>K10/1500</f>
        <v>6.0000000000000001E-3</v>
      </c>
      <c r="L12" s="598">
        <v>1050</v>
      </c>
      <c r="M12" s="602">
        <f t="shared" si="0"/>
        <v>6.3</v>
      </c>
      <c r="N12" s="608"/>
      <c r="O12" s="608"/>
      <c r="P12" s="615"/>
      <c r="Q12" s="596"/>
      <c r="R12" s="606"/>
      <c r="T12" s="617" t="s">
        <v>772</v>
      </c>
      <c r="U12" s="618"/>
      <c r="V12" s="617" t="s">
        <v>773</v>
      </c>
      <c r="W12" s="618"/>
      <c r="X12" s="617" t="s">
        <v>774</v>
      </c>
      <c r="Y12" s="618"/>
      <c r="Z12" s="617" t="s">
        <v>14</v>
      </c>
      <c r="AA12" s="618"/>
      <c r="AB12" s="618"/>
      <c r="AC12" s="617" t="s">
        <v>775</v>
      </c>
      <c r="AD12" s="618"/>
    </row>
    <row r="13" spans="1:31" s="585" customFormat="1" ht="14.25">
      <c r="A13" s="595"/>
      <c r="B13" s="599"/>
      <c r="C13" s="596"/>
      <c r="D13" s="593"/>
      <c r="E13" s="619"/>
      <c r="F13" s="620"/>
      <c r="G13" s="620"/>
      <c r="H13" s="621"/>
      <c r="I13" s="619"/>
      <c r="J13" s="619"/>
      <c r="K13" s="596"/>
      <c r="L13" s="603"/>
      <c r="M13" s="602"/>
      <c r="N13" s="596"/>
      <c r="O13" s="596"/>
      <c r="P13" s="596"/>
      <c r="Q13" s="596"/>
      <c r="R13" s="606"/>
      <c r="T13" s="622" t="s">
        <v>777</v>
      </c>
      <c r="U13" s="622" t="s">
        <v>778</v>
      </c>
      <c r="V13" s="622" t="s">
        <v>777</v>
      </c>
      <c r="W13" s="622" t="s">
        <v>778</v>
      </c>
      <c r="X13" s="622" t="s">
        <v>777</v>
      </c>
      <c r="Y13" s="622" t="s">
        <v>778</v>
      </c>
      <c r="Z13" s="622" t="s">
        <v>779</v>
      </c>
      <c r="AA13" s="622" t="s">
        <v>778</v>
      </c>
      <c r="AB13" s="623" t="s">
        <v>14</v>
      </c>
      <c r="AC13" s="622" t="s">
        <v>779</v>
      </c>
      <c r="AD13" s="622" t="s">
        <v>778</v>
      </c>
    </row>
    <row r="14" spans="1:31" s="585" customFormat="1" ht="15.75">
      <c r="A14" s="595"/>
      <c r="B14" s="624"/>
      <c r="C14" s="596"/>
      <c r="D14" s="625"/>
      <c r="E14" s="626"/>
      <c r="F14" s="627" t="s">
        <v>780</v>
      </c>
      <c r="G14" s="627"/>
      <c r="H14" s="628">
        <f>SUM(H3:H13)</f>
        <v>2840</v>
      </c>
      <c r="I14" s="789" t="s">
        <v>781</v>
      </c>
      <c r="J14" s="790"/>
      <c r="K14" s="629"/>
      <c r="L14" s="627"/>
      <c r="M14" s="630">
        <f>SUM(M3:M13)</f>
        <v>6079.5039975000009</v>
      </c>
      <c r="N14" s="631"/>
      <c r="O14" s="629"/>
      <c r="P14" s="629" t="s">
        <v>782</v>
      </c>
      <c r="Q14" s="629"/>
      <c r="R14" s="632">
        <f>SUM(R3:R13)</f>
        <v>1655.6100000000001</v>
      </c>
      <c r="T14" s="633">
        <f>H14</f>
        <v>2840</v>
      </c>
      <c r="U14" s="633">
        <f>H14-T14</f>
        <v>0</v>
      </c>
      <c r="V14" s="634">
        <f>M14-W14</f>
        <v>2383.7554560000008</v>
      </c>
      <c r="W14" s="633">
        <f>M6+(M7+M8+M9+M10)*60%+M11</f>
        <v>3695.7485415000001</v>
      </c>
      <c r="X14" s="633">
        <f>R14-Y14</f>
        <v>0</v>
      </c>
      <c r="Y14" s="633">
        <f>R14</f>
        <v>1655.6100000000001</v>
      </c>
      <c r="Z14" s="633">
        <f>T14+V14+X14</f>
        <v>5223.7554560000008</v>
      </c>
      <c r="AA14" s="633">
        <f>Y14+W14+U14</f>
        <v>5351.3585414999998</v>
      </c>
      <c r="AB14" s="633">
        <f>AA14+Z14</f>
        <v>10575.113997500001</v>
      </c>
      <c r="AC14" s="635"/>
      <c r="AD14" s="635"/>
    </row>
    <row r="15" spans="1:31" s="585" customFormat="1" ht="15.75">
      <c r="A15" s="595"/>
      <c r="B15" s="595" t="s">
        <v>13</v>
      </c>
      <c r="C15" s="629"/>
      <c r="D15" s="629"/>
      <c r="E15" s="629"/>
      <c r="F15" s="636"/>
      <c r="G15" s="627"/>
      <c r="H15" s="628">
        <f>M14+R14+H14</f>
        <v>10575.113997500001</v>
      </c>
      <c r="I15" s="631"/>
      <c r="J15" s="629"/>
      <c r="K15" s="629"/>
      <c r="L15" s="627"/>
      <c r="M15" s="630"/>
      <c r="N15" s="629"/>
      <c r="O15" s="629"/>
      <c r="P15" s="629"/>
      <c r="Q15" s="629"/>
      <c r="R15" s="637"/>
      <c r="T15" s="633">
        <f t="shared" ref="T15:Y15" si="1">T14*1.15</f>
        <v>3265.9999999999995</v>
      </c>
      <c r="U15" s="633">
        <f t="shared" si="1"/>
        <v>0</v>
      </c>
      <c r="V15" s="633">
        <f t="shared" si="1"/>
        <v>2741.3187744000006</v>
      </c>
      <c r="W15" s="633">
        <f t="shared" si="1"/>
        <v>4250.1108227249997</v>
      </c>
      <c r="X15" s="633">
        <f t="shared" si="1"/>
        <v>0</v>
      </c>
      <c r="Y15" s="633">
        <f t="shared" si="1"/>
        <v>1903.9514999999999</v>
      </c>
      <c r="Z15" s="638">
        <f>T15+V15+X15</f>
        <v>6007.3187744000006</v>
      </c>
      <c r="AA15" s="638">
        <f>Y15+W15+U15</f>
        <v>6154.0623227249998</v>
      </c>
      <c r="AB15" s="638">
        <f>AA15+Z15</f>
        <v>12161.381097125</v>
      </c>
      <c r="AC15" s="633">
        <f>ROUND(Z15/AB15%,2)</f>
        <v>49.4</v>
      </c>
      <c r="AD15" s="633">
        <f>ROUND(AA15/AB15%,2)</f>
        <v>50.6</v>
      </c>
      <c r="AE15" s="639">
        <f>AB15-H18</f>
        <v>0</v>
      </c>
    </row>
    <row r="16" spans="1:31" s="585" customFormat="1" ht="15.75">
      <c r="A16" s="595"/>
      <c r="B16" s="595" t="s">
        <v>14</v>
      </c>
      <c r="C16" s="593"/>
      <c r="D16" s="593"/>
      <c r="E16" s="593"/>
      <c r="F16" s="640"/>
      <c r="G16" s="641"/>
      <c r="H16" s="597">
        <f>SUM(H15:H15)</f>
        <v>10575.113997500001</v>
      </c>
      <c r="I16" s="642"/>
      <c r="J16" s="593"/>
      <c r="K16" s="593"/>
      <c r="L16" s="641"/>
      <c r="M16" s="643"/>
      <c r="N16" s="593"/>
      <c r="O16" s="593"/>
      <c r="P16" s="593"/>
      <c r="Q16" s="593"/>
      <c r="R16" s="644"/>
      <c r="T16" s="645"/>
      <c r="U16" s="645"/>
      <c r="V16" s="646">
        <f>V15/($V15+$W15)%</f>
        <v>39.209702912939001</v>
      </c>
      <c r="W16" s="646">
        <f>W15/($V15+$W15)%</f>
        <v>60.790297087061006</v>
      </c>
      <c r="X16" s="645"/>
      <c r="Y16" s="645"/>
      <c r="Z16" s="645"/>
      <c r="AA16" s="645"/>
      <c r="AB16" s="645"/>
      <c r="AC16" s="645"/>
      <c r="AD16" s="645"/>
    </row>
    <row r="17" spans="1:18" s="585" customFormat="1">
      <c r="A17" s="595"/>
      <c r="B17" s="595" t="s">
        <v>24</v>
      </c>
      <c r="C17" s="593"/>
      <c r="D17" s="593"/>
      <c r="E17" s="593"/>
      <c r="F17" s="640"/>
      <c r="G17" s="641"/>
      <c r="H17" s="597">
        <f>H16*15%</f>
        <v>1586.2670996250001</v>
      </c>
      <c r="I17" s="642"/>
      <c r="J17" s="593"/>
      <c r="K17" s="593"/>
      <c r="L17" s="641"/>
      <c r="M17" s="641"/>
      <c r="N17" s="593"/>
      <c r="O17" s="593"/>
      <c r="P17" s="593"/>
      <c r="Q17" s="593"/>
      <c r="R17" s="644"/>
    </row>
    <row r="18" spans="1:18" s="585" customFormat="1">
      <c r="A18" s="647"/>
      <c r="B18" s="648" t="s">
        <v>15</v>
      </c>
      <c r="C18" s="649"/>
      <c r="D18" s="649"/>
      <c r="E18" s="649"/>
      <c r="F18" s="650"/>
      <c r="G18" s="651" t="s">
        <v>16</v>
      </c>
      <c r="H18" s="652">
        <f>(H17+H16)</f>
        <v>12161.381097125</v>
      </c>
      <c r="I18" s="653" t="s">
        <v>17</v>
      </c>
      <c r="J18" s="654">
        <v>134.98450142701262</v>
      </c>
      <c r="K18" s="655"/>
      <c r="L18" s="656"/>
      <c r="M18" s="657" t="s">
        <v>783</v>
      </c>
      <c r="N18" s="658">
        <f>MROUND(H18*100%+0.25,0.5)</f>
        <v>12161.5</v>
      </c>
      <c r="O18" s="659"/>
      <c r="P18" s="659"/>
      <c r="Q18" s="659" t="s">
        <v>784</v>
      </c>
      <c r="R18" s="660">
        <f>ROUND(H18-N18,2)</f>
        <v>-0.12</v>
      </c>
    </row>
  </sheetData>
  <mergeCells count="9">
    <mergeCell ref="N1:R1"/>
    <mergeCell ref="B3:B6"/>
    <mergeCell ref="C3:C4"/>
    <mergeCell ref="I14:J14"/>
    <mergeCell ref="A1:A2"/>
    <mergeCell ref="B1:B2"/>
    <mergeCell ref="C1:C2"/>
    <mergeCell ref="D1:H1"/>
    <mergeCell ref="I1:M1"/>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F39"/>
  <sheetViews>
    <sheetView workbookViewId="0"/>
  </sheetViews>
  <sheetFormatPr defaultColWidth="9.140625" defaultRowHeight="11.25"/>
  <cols>
    <col min="1" max="1" width="5.28515625" style="529" customWidth="1"/>
    <col min="2" max="2" width="19.85546875" style="529" customWidth="1"/>
    <col min="3" max="3" width="4.5703125" style="529" bestFit="1" customWidth="1"/>
    <col min="4" max="4" width="12.5703125" style="529" bestFit="1" customWidth="1"/>
    <col min="5" max="5" width="4.5703125" style="529" bestFit="1" customWidth="1"/>
    <col min="6" max="6" width="11.85546875" style="529" bestFit="1" customWidth="1"/>
    <col min="7" max="7" width="7.28515625" style="529" bestFit="1" customWidth="1"/>
    <col min="8" max="8" width="8.85546875" style="529" bestFit="1" customWidth="1"/>
    <col min="9" max="9" width="9.140625" style="530"/>
    <col min="10" max="10" width="6.140625" style="529" customWidth="1"/>
    <col min="11" max="11" width="7.28515625" style="529" bestFit="1" customWidth="1"/>
    <col min="12" max="12" width="7" style="529" bestFit="1" customWidth="1"/>
    <col min="13" max="13" width="9.85546875" style="529" customWidth="1"/>
    <col min="14" max="14" width="12.140625" style="530" customWidth="1"/>
    <col min="15" max="15" width="4.28515625" style="529" customWidth="1"/>
    <col min="16" max="16" width="9.140625" style="529"/>
    <col min="17" max="17" width="7.42578125" style="529" customWidth="1"/>
    <col min="18" max="18" width="10.28515625" style="529" bestFit="1" customWidth="1"/>
    <col min="19" max="19" width="9.140625" style="529"/>
    <col min="20" max="23" width="7.5703125" style="529" bestFit="1" customWidth="1"/>
    <col min="24" max="24" width="5.42578125" style="529" bestFit="1" customWidth="1"/>
    <col min="25" max="25" width="8.5703125" style="529" bestFit="1" customWidth="1"/>
    <col min="26" max="26" width="7.5703125" style="529" bestFit="1" customWidth="1"/>
    <col min="27" max="28" width="8.5703125" style="529" bestFit="1" customWidth="1"/>
    <col min="29" max="29" width="6" style="529" bestFit="1" customWidth="1"/>
    <col min="30" max="30" width="6.140625" style="529" bestFit="1" customWidth="1"/>
    <col min="31" max="16384" width="9.140625" style="529"/>
  </cols>
  <sheetData>
    <row r="1" spans="1:30" ht="13.5">
      <c r="A1" s="340" t="s">
        <v>819</v>
      </c>
    </row>
    <row r="2" spans="1:30" ht="13.5">
      <c r="A2" s="805" t="s">
        <v>0</v>
      </c>
      <c r="B2" s="807" t="s">
        <v>1</v>
      </c>
      <c r="C2" s="807" t="s">
        <v>2</v>
      </c>
      <c r="D2" s="810" t="s">
        <v>3</v>
      </c>
      <c r="E2" s="804"/>
      <c r="F2" s="804"/>
      <c r="G2" s="804"/>
      <c r="H2" s="804"/>
      <c r="I2" s="811" t="s">
        <v>4</v>
      </c>
      <c r="J2" s="812"/>
      <c r="K2" s="812"/>
      <c r="L2" s="812"/>
      <c r="M2" s="812"/>
      <c r="N2" s="804" t="s">
        <v>5</v>
      </c>
      <c r="O2" s="804"/>
      <c r="P2" s="804"/>
      <c r="Q2" s="804"/>
      <c r="R2" s="804"/>
    </row>
    <row r="3" spans="1:30" ht="13.5">
      <c r="A3" s="806"/>
      <c r="B3" s="808"/>
      <c r="C3" s="809"/>
      <c r="D3" s="259" t="s">
        <v>6</v>
      </c>
      <c r="E3" s="259" t="s">
        <v>2</v>
      </c>
      <c r="F3" s="525" t="s">
        <v>7</v>
      </c>
      <c r="G3" s="525" t="s">
        <v>8</v>
      </c>
      <c r="H3" s="525" t="s">
        <v>9</v>
      </c>
      <c r="I3" s="259" t="s">
        <v>10</v>
      </c>
      <c r="J3" s="259" t="s">
        <v>2</v>
      </c>
      <c r="K3" s="259" t="s">
        <v>7</v>
      </c>
      <c r="L3" s="525" t="s">
        <v>8</v>
      </c>
      <c r="M3" s="526" t="s">
        <v>9</v>
      </c>
      <c r="N3" s="259" t="s">
        <v>10</v>
      </c>
      <c r="O3" s="525" t="s">
        <v>2</v>
      </c>
      <c r="P3" s="525" t="s">
        <v>7</v>
      </c>
      <c r="Q3" s="525" t="s">
        <v>8</v>
      </c>
      <c r="R3" s="525" t="s">
        <v>9</v>
      </c>
    </row>
    <row r="4" spans="1:30" ht="14.25" customHeight="1">
      <c r="A4" s="263">
        <v>1</v>
      </c>
      <c r="B4" s="799" t="s">
        <v>839</v>
      </c>
      <c r="C4" s="257" t="s">
        <v>47</v>
      </c>
      <c r="D4" s="257" t="s">
        <v>78</v>
      </c>
      <c r="E4" s="264" t="s">
        <v>820</v>
      </c>
      <c r="F4" s="476">
        <f>0.2*0.72</f>
        <v>0.14399999999999999</v>
      </c>
      <c r="G4" s="266">
        <f>er</f>
        <v>1750</v>
      </c>
      <c r="H4" s="266">
        <f>F4*G4</f>
        <v>251.99999999999997</v>
      </c>
      <c r="I4" s="257" t="s">
        <v>494</v>
      </c>
      <c r="J4" s="257" t="s">
        <v>285</v>
      </c>
      <c r="K4" s="477">
        <v>0.4</v>
      </c>
      <c r="L4" s="478">
        <f>Drillbit_38</f>
        <v>3875.91</v>
      </c>
      <c r="M4" s="478">
        <f>K4*L4</f>
        <v>1550.364</v>
      </c>
      <c r="N4" s="479" t="s">
        <v>821</v>
      </c>
      <c r="O4" s="257" t="s">
        <v>101</v>
      </c>
      <c r="P4" s="477">
        <v>3.2</v>
      </c>
      <c r="Q4" s="480">
        <f>rockdriller_pneumatic</f>
        <v>324.48</v>
      </c>
      <c r="R4" s="481">
        <f>Q4*P4</f>
        <v>1038.336</v>
      </c>
      <c r="S4" s="531" t="s">
        <v>822</v>
      </c>
    </row>
    <row r="5" spans="1:30" ht="13.5">
      <c r="A5" s="263"/>
      <c r="B5" s="800"/>
      <c r="C5" s="264"/>
      <c r="D5" s="264" t="s">
        <v>823</v>
      </c>
      <c r="E5" s="264" t="s">
        <v>820</v>
      </c>
      <c r="F5" s="476">
        <v>0.66</v>
      </c>
      <c r="G5" s="266">
        <f>tech</f>
        <v>1100</v>
      </c>
      <c r="H5" s="266">
        <f>F5*G5</f>
        <v>726</v>
      </c>
      <c r="I5" s="438" t="s">
        <v>824</v>
      </c>
      <c r="J5" s="281" t="s">
        <v>47</v>
      </c>
      <c r="K5" s="482">
        <v>1</v>
      </c>
      <c r="L5" s="280">
        <v>200</v>
      </c>
      <c r="M5" s="452">
        <f>K5*L5</f>
        <v>200</v>
      </c>
      <c r="N5" s="483" t="s">
        <v>825</v>
      </c>
      <c r="O5" s="264"/>
      <c r="P5" s="439"/>
      <c r="Q5" s="264"/>
      <c r="R5" s="439"/>
    </row>
    <row r="6" spans="1:30" ht="27">
      <c r="A6" s="263"/>
      <c r="B6" s="800"/>
      <c r="C6" s="264"/>
      <c r="D6" s="264" t="s">
        <v>826</v>
      </c>
      <c r="E6" s="264" t="s">
        <v>820</v>
      </c>
      <c r="F6" s="476">
        <v>1.4</v>
      </c>
      <c r="G6" s="266">
        <f>hr</f>
        <v>750</v>
      </c>
      <c r="H6" s="266">
        <f>F6*G6</f>
        <v>1050</v>
      </c>
      <c r="I6" s="438" t="s">
        <v>215</v>
      </c>
      <c r="J6" s="281" t="s">
        <v>250</v>
      </c>
      <c r="K6" s="484">
        <v>2000</v>
      </c>
      <c r="L6" s="280"/>
      <c r="M6" s="485">
        <v>200</v>
      </c>
      <c r="N6" s="276" t="s">
        <v>657</v>
      </c>
      <c r="O6" s="264" t="s">
        <v>12</v>
      </c>
      <c r="P6" s="439"/>
      <c r="Q6" s="264"/>
      <c r="R6" s="439">
        <v>250</v>
      </c>
      <c r="T6" s="532"/>
    </row>
    <row r="7" spans="1:30" ht="13.5">
      <c r="A7" s="263"/>
      <c r="B7" s="800"/>
      <c r="C7" s="264"/>
      <c r="D7" s="264" t="s">
        <v>89</v>
      </c>
      <c r="E7" s="264" t="s">
        <v>820</v>
      </c>
      <c r="F7" s="476">
        <v>0.66</v>
      </c>
      <c r="G7" s="266">
        <f>dr</f>
        <v>1100</v>
      </c>
      <c r="H7" s="266">
        <f>F7*G7</f>
        <v>726</v>
      </c>
      <c r="I7" s="438" t="s">
        <v>827</v>
      </c>
      <c r="J7" s="281" t="s">
        <v>250</v>
      </c>
      <c r="K7" s="486">
        <v>16</v>
      </c>
      <c r="L7" s="280">
        <f>diesel</f>
        <v>177.6</v>
      </c>
      <c r="M7" s="280">
        <f>K7*L7</f>
        <v>2841.6</v>
      </c>
      <c r="N7" s="439"/>
      <c r="O7" s="264"/>
      <c r="P7" s="439"/>
      <c r="Q7" s="264"/>
      <c r="R7" s="439"/>
      <c r="T7" s="533"/>
      <c r="U7" s="534"/>
      <c r="V7" s="533"/>
      <c r="W7" s="534"/>
      <c r="X7" s="533"/>
      <c r="Y7" s="534"/>
      <c r="Z7" s="533"/>
      <c r="AA7" s="534"/>
      <c r="AB7" s="534"/>
      <c r="AC7" s="533"/>
      <c r="AD7" s="534"/>
    </row>
    <row r="8" spans="1:30" ht="13.5">
      <c r="A8" s="263"/>
      <c r="B8" s="527" t="s">
        <v>828</v>
      </c>
      <c r="C8" s="264"/>
      <c r="D8" s="440" t="s">
        <v>768</v>
      </c>
      <c r="E8" s="440" t="s">
        <v>820</v>
      </c>
      <c r="F8" s="487">
        <v>3</v>
      </c>
      <c r="G8" s="442">
        <f>ur</f>
        <v>850</v>
      </c>
      <c r="H8" s="442">
        <f>F8*G8</f>
        <v>2550</v>
      </c>
      <c r="I8" s="447"/>
      <c r="J8" s="443"/>
      <c r="K8" s="482"/>
      <c r="L8" s="280"/>
      <c r="M8" s="280"/>
      <c r="N8" s="535"/>
      <c r="O8" s="536"/>
      <c r="P8" s="440"/>
      <c r="Q8" s="447"/>
      <c r="R8" s="536"/>
      <c r="T8" s="406"/>
      <c r="U8" s="406"/>
      <c r="V8" s="406"/>
      <c r="W8" s="406"/>
      <c r="X8" s="406"/>
      <c r="Y8" s="406"/>
      <c r="Z8" s="406"/>
      <c r="AA8" s="537"/>
      <c r="AB8" s="366"/>
      <c r="AC8" s="406"/>
      <c r="AD8" s="537"/>
    </row>
    <row r="9" spans="1:30" ht="13.5">
      <c r="A9" s="263"/>
      <c r="B9" s="488"/>
      <c r="C9" s="264"/>
      <c r="D9" s="489"/>
      <c r="E9" s="528"/>
      <c r="F9" s="318" t="s">
        <v>780</v>
      </c>
      <c r="G9" s="318"/>
      <c r="H9" s="265">
        <f>SUM(H4:H8)</f>
        <v>5304</v>
      </c>
      <c r="I9" s="801" t="s">
        <v>781</v>
      </c>
      <c r="J9" s="801"/>
      <c r="K9" s="303"/>
      <c r="L9" s="304"/>
      <c r="M9" s="490">
        <f>SUM(M4:M8)</f>
        <v>4791.9639999999999</v>
      </c>
      <c r="N9" s="306"/>
      <c r="O9" s="303"/>
      <c r="P9" s="303" t="s">
        <v>782</v>
      </c>
      <c r="Q9" s="303"/>
      <c r="R9" s="307">
        <f>SUM(R4:R7)</f>
        <v>1288.336</v>
      </c>
      <c r="T9" s="538"/>
      <c r="U9" s="538"/>
      <c r="V9" s="539"/>
      <c r="W9" s="538"/>
      <c r="X9" s="538"/>
      <c r="Y9" s="538"/>
      <c r="Z9" s="538"/>
      <c r="AA9" s="538"/>
      <c r="AB9" s="538"/>
      <c r="AC9" s="540"/>
      <c r="AD9" s="540"/>
    </row>
    <row r="10" spans="1:30" ht="13.5">
      <c r="A10" s="263"/>
      <c r="B10" s="491" t="s">
        <v>13</v>
      </c>
      <c r="C10" s="303"/>
      <c r="D10" s="303"/>
      <c r="E10" s="492"/>
      <c r="F10" s="303"/>
      <c r="G10" s="304"/>
      <c r="H10" s="313">
        <f>M9+R9+H9</f>
        <v>11384.3</v>
      </c>
      <c r="I10" s="303"/>
      <c r="J10" s="303"/>
      <c r="K10" s="303"/>
      <c r="L10" s="304"/>
      <c r="M10" s="305"/>
      <c r="N10" s="303"/>
      <c r="O10" s="303"/>
      <c r="P10" s="303"/>
      <c r="Q10" s="303"/>
      <c r="R10" s="314"/>
      <c r="T10" s="538"/>
      <c r="U10" s="538"/>
      <c r="V10" s="538"/>
      <c r="W10" s="538"/>
      <c r="X10" s="538"/>
      <c r="Y10" s="538"/>
      <c r="Z10" s="541"/>
      <c r="AA10" s="541"/>
      <c r="AB10" s="541"/>
      <c r="AC10" s="538"/>
      <c r="AD10" s="538"/>
    </row>
    <row r="11" spans="1:30" ht="13.5">
      <c r="A11" s="263"/>
      <c r="B11" s="311" t="s">
        <v>14</v>
      </c>
      <c r="C11" s="261"/>
      <c r="D11" s="261"/>
      <c r="E11" s="337"/>
      <c r="F11" s="261"/>
      <c r="G11" s="318"/>
      <c r="H11" s="265">
        <f>SUM(H10:H10)</f>
        <v>11384.3</v>
      </c>
      <c r="I11" s="448"/>
      <c r="J11" s="261"/>
      <c r="K11" s="261"/>
      <c r="L11" s="318"/>
      <c r="M11" s="320"/>
      <c r="N11" s="261"/>
      <c r="O11" s="261"/>
      <c r="P11" s="530"/>
      <c r="Q11" s="542" t="s">
        <v>460</v>
      </c>
      <c r="R11" s="543">
        <f>CEILING(SUM(M4,M5,M7,R4,R6)/H10,0.0025)</f>
        <v>0.51749999999999996</v>
      </c>
      <c r="T11" s="540"/>
      <c r="U11" s="540"/>
      <c r="V11" s="449"/>
      <c r="W11" s="449"/>
      <c r="X11" s="540"/>
      <c r="Y11" s="540"/>
      <c r="Z11" s="540"/>
      <c r="AA11" s="540"/>
      <c r="AB11" s="540"/>
      <c r="AC11" s="540"/>
      <c r="AD11" s="540"/>
    </row>
    <row r="12" spans="1:30" ht="13.5">
      <c r="A12" s="263"/>
      <c r="B12" s="493" t="s">
        <v>24</v>
      </c>
      <c r="C12" s="446"/>
      <c r="D12" s="446"/>
      <c r="E12" s="494"/>
      <c r="F12" s="446"/>
      <c r="G12" s="331"/>
      <c r="H12" s="441">
        <f>H11*15%</f>
        <v>1707.6449999999998</v>
      </c>
      <c r="I12" s="448"/>
      <c r="J12" s="261"/>
      <c r="K12" s="261"/>
      <c r="L12" s="318"/>
      <c r="M12" s="318"/>
      <c r="N12" s="261"/>
      <c r="O12" s="261"/>
      <c r="P12" s="261"/>
      <c r="Q12" s="261"/>
      <c r="R12" s="321"/>
    </row>
    <row r="13" spans="1:30" ht="13.5">
      <c r="A13" s="322"/>
      <c r="B13" s="323" t="s">
        <v>15</v>
      </c>
      <c r="C13" s="324"/>
      <c r="D13" s="324"/>
      <c r="E13" s="495"/>
      <c r="F13" s="324"/>
      <c r="G13" s="326" t="s">
        <v>16</v>
      </c>
      <c r="H13" s="327">
        <f>H12+H11</f>
        <v>13091.945</v>
      </c>
      <c r="I13" s="328" t="s">
        <v>17</v>
      </c>
      <c r="J13" s="802">
        <v>112.52010475266732</v>
      </c>
      <c r="K13" s="803"/>
      <c r="L13" s="331"/>
      <c r="M13" s="332" t="s">
        <v>783</v>
      </c>
      <c r="N13" s="444">
        <f>ROUND(H13*100%,2)</f>
        <v>13091.95</v>
      </c>
      <c r="O13" s="334"/>
      <c r="P13" s="334"/>
      <c r="Q13" s="334" t="s">
        <v>784</v>
      </c>
      <c r="R13" s="445">
        <f>ROUND(H13-N13,2)</f>
        <v>-0.01</v>
      </c>
    </row>
    <row r="15" spans="1:30" ht="13.5">
      <c r="A15" s="805" t="s">
        <v>0</v>
      </c>
      <c r="B15" s="807" t="s">
        <v>1</v>
      </c>
      <c r="C15" s="807" t="s">
        <v>2</v>
      </c>
      <c r="D15" s="810" t="s">
        <v>3</v>
      </c>
      <c r="E15" s="804"/>
      <c r="F15" s="804"/>
      <c r="G15" s="804"/>
      <c r="H15" s="804"/>
      <c r="I15" s="811" t="s">
        <v>4</v>
      </c>
      <c r="J15" s="812"/>
      <c r="K15" s="812"/>
      <c r="L15" s="812"/>
      <c r="M15" s="812"/>
      <c r="N15" s="804" t="s">
        <v>5</v>
      </c>
      <c r="O15" s="804"/>
      <c r="P15" s="804"/>
      <c r="Q15" s="804"/>
      <c r="R15" s="804"/>
    </row>
    <row r="16" spans="1:30" ht="13.5">
      <c r="A16" s="806"/>
      <c r="B16" s="808"/>
      <c r="C16" s="809"/>
      <c r="D16" s="259" t="s">
        <v>6</v>
      </c>
      <c r="E16" s="259" t="s">
        <v>2</v>
      </c>
      <c r="F16" s="525" t="s">
        <v>7</v>
      </c>
      <c r="G16" s="525" t="s">
        <v>8</v>
      </c>
      <c r="H16" s="525" t="s">
        <v>9</v>
      </c>
      <c r="I16" s="259" t="s">
        <v>10</v>
      </c>
      <c r="J16" s="259" t="s">
        <v>2</v>
      </c>
      <c r="K16" s="259" t="s">
        <v>7</v>
      </c>
      <c r="L16" s="525" t="s">
        <v>8</v>
      </c>
      <c r="M16" s="526" t="s">
        <v>9</v>
      </c>
      <c r="N16" s="259" t="s">
        <v>10</v>
      </c>
      <c r="O16" s="525" t="s">
        <v>2</v>
      </c>
      <c r="P16" s="525" t="s">
        <v>7</v>
      </c>
      <c r="Q16" s="525" t="s">
        <v>8</v>
      </c>
      <c r="R16" s="525" t="s">
        <v>9</v>
      </c>
      <c r="S16" s="531" t="s">
        <v>829</v>
      </c>
    </row>
    <row r="17" spans="1:30" ht="13.5">
      <c r="A17" s="263">
        <v>2</v>
      </c>
      <c r="B17" s="799" t="s">
        <v>836</v>
      </c>
      <c r="C17" s="257" t="s">
        <v>47</v>
      </c>
      <c r="D17" s="257" t="s">
        <v>78</v>
      </c>
      <c r="E17" s="264" t="s">
        <v>820</v>
      </c>
      <c r="F17" s="266">
        <f>0.2</f>
        <v>0.2</v>
      </c>
      <c r="G17" s="266">
        <f>er</f>
        <v>1750</v>
      </c>
      <c r="H17" s="266">
        <f>F17*G17</f>
        <v>350</v>
      </c>
      <c r="I17" s="257" t="s">
        <v>494</v>
      </c>
      <c r="J17" s="257" t="s">
        <v>285</v>
      </c>
      <c r="K17" s="481">
        <v>0.6</v>
      </c>
      <c r="L17" s="478">
        <f>Drillbit_38</f>
        <v>3875.91</v>
      </c>
      <c r="M17" s="478">
        <f>K17*L17</f>
        <v>2325.5459999999998</v>
      </c>
      <c r="N17" s="479" t="s">
        <v>821</v>
      </c>
      <c r="O17" s="257" t="s">
        <v>101</v>
      </c>
      <c r="P17" s="481">
        <v>3.45</v>
      </c>
      <c r="Q17" s="480">
        <f>rockdriller_pneumatic</f>
        <v>324.48</v>
      </c>
      <c r="R17" s="481">
        <f>Q17*P17</f>
        <v>1119.4560000000001</v>
      </c>
    </row>
    <row r="18" spans="1:30" ht="13.5">
      <c r="A18" s="263"/>
      <c r="B18" s="800"/>
      <c r="C18" s="264"/>
      <c r="D18" s="264" t="s">
        <v>823</v>
      </c>
      <c r="E18" s="264" t="s">
        <v>820</v>
      </c>
      <c r="F18" s="266">
        <f>1</f>
        <v>1</v>
      </c>
      <c r="G18" s="266">
        <f>tech</f>
        <v>1100</v>
      </c>
      <c r="H18" s="266">
        <f>F18*G18</f>
        <v>1100</v>
      </c>
      <c r="I18" s="438" t="s">
        <v>824</v>
      </c>
      <c r="J18" s="281" t="s">
        <v>47</v>
      </c>
      <c r="K18" s="496">
        <v>1</v>
      </c>
      <c r="L18" s="497">
        <f>L5</f>
        <v>200</v>
      </c>
      <c r="M18" s="452">
        <f>K18*L18</f>
        <v>200</v>
      </c>
      <c r="N18" s="483" t="s">
        <v>825</v>
      </c>
      <c r="O18" s="264"/>
      <c r="P18" s="439"/>
      <c r="Q18" s="264"/>
      <c r="R18" s="439"/>
    </row>
    <row r="19" spans="1:30" ht="27">
      <c r="A19" s="263"/>
      <c r="B19" s="800"/>
      <c r="C19" s="264"/>
      <c r="D19" s="264" t="s">
        <v>826</v>
      </c>
      <c r="E19" s="264" t="s">
        <v>820</v>
      </c>
      <c r="F19" s="266">
        <f>2</f>
        <v>2</v>
      </c>
      <c r="G19" s="266">
        <f>hr</f>
        <v>750</v>
      </c>
      <c r="H19" s="266">
        <f>F19*G19</f>
        <v>1500</v>
      </c>
      <c r="I19" s="438" t="s">
        <v>215</v>
      </c>
      <c r="J19" s="498" t="s">
        <v>830</v>
      </c>
      <c r="K19" s="496">
        <v>4000</v>
      </c>
      <c r="L19" s="497">
        <f>L6</f>
        <v>0</v>
      </c>
      <c r="M19" s="499">
        <v>200</v>
      </c>
      <c r="N19" s="276" t="s">
        <v>657</v>
      </c>
      <c r="O19" s="264" t="s">
        <v>12</v>
      </c>
      <c r="P19" s="439"/>
      <c r="Q19" s="264"/>
      <c r="R19" s="439">
        <v>250</v>
      </c>
    </row>
    <row r="20" spans="1:30" ht="13.5">
      <c r="A20" s="263"/>
      <c r="B20" s="800"/>
      <c r="C20" s="264"/>
      <c r="D20" s="264" t="s">
        <v>89</v>
      </c>
      <c r="E20" s="264" t="s">
        <v>820</v>
      </c>
      <c r="F20" s="266">
        <f>1</f>
        <v>1</v>
      </c>
      <c r="G20" s="266">
        <f>dr</f>
        <v>1100</v>
      </c>
      <c r="H20" s="266">
        <f>F20*G20</f>
        <v>1100</v>
      </c>
      <c r="I20" s="438" t="s">
        <v>827</v>
      </c>
      <c r="J20" s="281" t="s">
        <v>250</v>
      </c>
      <c r="K20" s="500">
        <v>18</v>
      </c>
      <c r="L20" s="452">
        <f>diesel</f>
        <v>177.6</v>
      </c>
      <c r="M20" s="280">
        <f>K20*L20</f>
        <v>3196.7999999999997</v>
      </c>
      <c r="N20" s="439"/>
      <c r="O20" s="264"/>
      <c r="P20" s="439"/>
      <c r="Q20" s="264"/>
      <c r="R20" s="439"/>
      <c r="T20" s="533"/>
      <c r="U20" s="534"/>
      <c r="V20" s="533"/>
      <c r="W20" s="534"/>
      <c r="X20" s="533"/>
      <c r="Y20" s="534"/>
      <c r="Z20" s="533"/>
      <c r="AA20" s="534"/>
      <c r="AB20" s="534"/>
      <c r="AC20" s="533"/>
      <c r="AD20" s="534"/>
    </row>
    <row r="21" spans="1:30" ht="40.5">
      <c r="A21" s="263"/>
      <c r="B21" s="527" t="s">
        <v>831</v>
      </c>
      <c r="C21" s="264"/>
      <c r="D21" s="440" t="s">
        <v>768</v>
      </c>
      <c r="E21" s="440" t="s">
        <v>820</v>
      </c>
      <c r="F21" s="442">
        <f>4</f>
        <v>4</v>
      </c>
      <c r="G21" s="442">
        <f>ur</f>
        <v>850</v>
      </c>
      <c r="H21" s="442">
        <f>F21*G21</f>
        <v>3400</v>
      </c>
      <c r="I21" s="447"/>
      <c r="J21" s="443"/>
      <c r="K21" s="500"/>
      <c r="L21" s="280"/>
      <c r="M21" s="280"/>
      <c r="N21" s="535"/>
      <c r="O21" s="536"/>
      <c r="P21" s="440"/>
      <c r="Q21" s="447"/>
      <c r="R21" s="536"/>
      <c r="T21" s="406"/>
      <c r="U21" s="406"/>
      <c r="V21" s="406"/>
      <c r="W21" s="406"/>
      <c r="X21" s="406"/>
      <c r="Y21" s="406"/>
      <c r="Z21" s="406"/>
      <c r="AA21" s="537"/>
      <c r="AB21" s="366"/>
      <c r="AC21" s="406"/>
      <c r="AD21" s="537"/>
    </row>
    <row r="22" spans="1:30" ht="13.5">
      <c r="A22" s="263"/>
      <c r="B22" s="488"/>
      <c r="C22" s="264"/>
      <c r="D22" s="489"/>
      <c r="E22" s="528"/>
      <c r="F22" s="318" t="s">
        <v>780</v>
      </c>
      <c r="G22" s="318"/>
      <c r="H22" s="265">
        <f>SUM(H17:H21)</f>
        <v>7450</v>
      </c>
      <c r="I22" s="801" t="s">
        <v>781</v>
      </c>
      <c r="J22" s="801"/>
      <c r="K22" s="303"/>
      <c r="L22" s="304"/>
      <c r="M22" s="490">
        <f>SUM(M17:M21)</f>
        <v>5922.3459999999995</v>
      </c>
      <c r="N22" s="306"/>
      <c r="O22" s="303"/>
      <c r="P22" s="303" t="s">
        <v>782</v>
      </c>
      <c r="Q22" s="303"/>
      <c r="R22" s="307">
        <f>SUM(R17:R20)</f>
        <v>1369.4560000000001</v>
      </c>
      <c r="T22" s="538"/>
      <c r="U22" s="538"/>
      <c r="V22" s="539"/>
      <c r="W22" s="538"/>
      <c r="X22" s="538"/>
      <c r="Y22" s="538"/>
      <c r="Z22" s="538"/>
      <c r="AA22" s="538"/>
      <c r="AB22" s="538"/>
      <c r="AC22" s="540"/>
      <c r="AD22" s="540"/>
    </row>
    <row r="23" spans="1:30" ht="13.5">
      <c r="A23" s="263"/>
      <c r="B23" s="491" t="s">
        <v>13</v>
      </c>
      <c r="C23" s="303"/>
      <c r="D23" s="303"/>
      <c r="E23" s="492"/>
      <c r="F23" s="303"/>
      <c r="G23" s="304"/>
      <c r="H23" s="313">
        <f>M22+R22+H22</f>
        <v>14741.802</v>
      </c>
      <c r="I23" s="303"/>
      <c r="J23" s="303"/>
      <c r="K23" s="303"/>
      <c r="L23" s="304"/>
      <c r="M23" s="305"/>
      <c r="N23" s="303"/>
      <c r="O23" s="303"/>
      <c r="P23" s="303"/>
      <c r="Q23" s="303"/>
      <c r="R23" s="314"/>
      <c r="T23" s="538"/>
      <c r="U23" s="538"/>
      <c r="V23" s="538"/>
      <c r="W23" s="538"/>
      <c r="X23" s="538"/>
      <c r="Y23" s="538"/>
      <c r="Z23" s="541"/>
      <c r="AA23" s="541"/>
      <c r="AB23" s="541"/>
      <c r="AC23" s="538"/>
      <c r="AD23" s="538"/>
    </row>
    <row r="24" spans="1:30" ht="13.5">
      <c r="A24" s="263"/>
      <c r="B24" s="311" t="s">
        <v>14</v>
      </c>
      <c r="C24" s="261"/>
      <c r="D24" s="261"/>
      <c r="E24" s="337"/>
      <c r="F24" s="261"/>
      <c r="G24" s="318"/>
      <c r="H24" s="265">
        <f>SUM(H23:H23)</f>
        <v>14741.802</v>
      </c>
      <c r="I24" s="448"/>
      <c r="J24" s="261"/>
      <c r="K24" s="261"/>
      <c r="L24" s="318"/>
      <c r="M24" s="320"/>
      <c r="N24" s="261"/>
      <c r="O24" s="261"/>
      <c r="P24" s="261"/>
      <c r="Q24" s="261"/>
      <c r="R24" s="321"/>
      <c r="T24" s="540"/>
      <c r="U24" s="540"/>
      <c r="V24" s="449"/>
      <c r="W24" s="449"/>
      <c r="X24" s="540"/>
      <c r="Y24" s="540"/>
      <c r="Z24" s="540"/>
      <c r="AA24" s="540"/>
      <c r="AB24" s="540"/>
      <c r="AC24" s="540"/>
      <c r="AD24" s="540"/>
    </row>
    <row r="25" spans="1:30" ht="13.5">
      <c r="A25" s="263"/>
      <c r="B25" s="493" t="s">
        <v>24</v>
      </c>
      <c r="C25" s="446"/>
      <c r="D25" s="446"/>
      <c r="E25" s="494"/>
      <c r="F25" s="446"/>
      <c r="G25" s="331"/>
      <c r="H25" s="441">
        <f>H24*15%</f>
        <v>2211.2702999999997</v>
      </c>
      <c r="I25" s="448"/>
      <c r="J25" s="261"/>
      <c r="K25" s="261"/>
      <c r="L25" s="318"/>
      <c r="M25" s="318"/>
      <c r="N25" s="261"/>
      <c r="O25" s="261"/>
      <c r="P25" s="261"/>
      <c r="Q25" s="261"/>
      <c r="R25" s="321"/>
    </row>
    <row r="26" spans="1:30" ht="13.5">
      <c r="A26" s="322"/>
      <c r="B26" s="323" t="s">
        <v>15</v>
      </c>
      <c r="C26" s="324"/>
      <c r="D26" s="324"/>
      <c r="E26" s="495"/>
      <c r="F26" s="324"/>
      <c r="G26" s="326" t="s">
        <v>16</v>
      </c>
      <c r="H26" s="327">
        <f>H25+H24</f>
        <v>16953.0723</v>
      </c>
      <c r="I26" s="328" t="s">
        <v>17</v>
      </c>
      <c r="J26" s="802">
        <v>148.14989330746849</v>
      </c>
      <c r="K26" s="803"/>
      <c r="L26" s="331"/>
      <c r="M26" s="332" t="s">
        <v>783</v>
      </c>
      <c r="N26" s="444">
        <f>ROUND(H26*100%,2)</f>
        <v>16953.07</v>
      </c>
      <c r="O26" s="334"/>
      <c r="P26" s="334"/>
      <c r="Q26" s="334" t="s">
        <v>784</v>
      </c>
      <c r="R26" s="445">
        <f>ROUND(H26-N26,2)</f>
        <v>0</v>
      </c>
    </row>
    <row r="28" spans="1:30" ht="13.5">
      <c r="A28" s="805" t="s">
        <v>0</v>
      </c>
      <c r="B28" s="807" t="s">
        <v>1</v>
      </c>
      <c r="C28" s="807" t="s">
        <v>2</v>
      </c>
      <c r="D28" s="810" t="s">
        <v>3</v>
      </c>
      <c r="E28" s="804"/>
      <c r="F28" s="804"/>
      <c r="G28" s="804"/>
      <c r="H28" s="804"/>
      <c r="I28" s="811" t="s">
        <v>4</v>
      </c>
      <c r="J28" s="812"/>
      <c r="K28" s="812"/>
      <c r="L28" s="812"/>
      <c r="M28" s="812"/>
      <c r="N28" s="804" t="s">
        <v>5</v>
      </c>
      <c r="O28" s="804"/>
      <c r="P28" s="804"/>
      <c r="Q28" s="804"/>
      <c r="R28" s="804"/>
    </row>
    <row r="29" spans="1:30" ht="13.5">
      <c r="A29" s="806"/>
      <c r="B29" s="808"/>
      <c r="C29" s="809"/>
      <c r="D29" s="259" t="s">
        <v>6</v>
      </c>
      <c r="E29" s="259" t="s">
        <v>2</v>
      </c>
      <c r="F29" s="525" t="s">
        <v>7</v>
      </c>
      <c r="G29" s="525" t="s">
        <v>8</v>
      </c>
      <c r="H29" s="525" t="s">
        <v>9</v>
      </c>
      <c r="I29" s="259" t="s">
        <v>10</v>
      </c>
      <c r="J29" s="259" t="s">
        <v>2</v>
      </c>
      <c r="K29" s="259" t="s">
        <v>7</v>
      </c>
      <c r="L29" s="525" t="s">
        <v>8</v>
      </c>
      <c r="M29" s="526" t="s">
        <v>9</v>
      </c>
      <c r="N29" s="259" t="s">
        <v>10</v>
      </c>
      <c r="O29" s="525" t="s">
        <v>2</v>
      </c>
      <c r="P29" s="525" t="s">
        <v>7</v>
      </c>
      <c r="Q29" s="525" t="s">
        <v>8</v>
      </c>
      <c r="R29" s="525" t="s">
        <v>9</v>
      </c>
      <c r="S29" s="531" t="s">
        <v>822</v>
      </c>
      <c r="T29" s="532"/>
    </row>
    <row r="30" spans="1:30" ht="13.5">
      <c r="A30" s="263">
        <v>3</v>
      </c>
      <c r="B30" s="799" t="s">
        <v>832</v>
      </c>
      <c r="C30" s="257" t="s">
        <v>424</v>
      </c>
      <c r="D30" s="257" t="s">
        <v>78</v>
      </c>
      <c r="E30" s="264" t="s">
        <v>820</v>
      </c>
      <c r="F30" s="266">
        <f>0.2*0.5</f>
        <v>0.1</v>
      </c>
      <c r="G30" s="266">
        <f>er</f>
        <v>1750</v>
      </c>
      <c r="H30" s="266">
        <f>F30*G30</f>
        <v>175</v>
      </c>
      <c r="I30" s="257" t="s">
        <v>31</v>
      </c>
      <c r="J30" s="257" t="s">
        <v>28</v>
      </c>
      <c r="K30" s="481">
        <v>110</v>
      </c>
      <c r="L30" s="478">
        <f>cement</f>
        <v>24049.69</v>
      </c>
      <c r="M30" s="478">
        <f>K30*L30</f>
        <v>2645465.9</v>
      </c>
      <c r="N30" s="479" t="s">
        <v>659</v>
      </c>
      <c r="O30" s="257" t="s">
        <v>101</v>
      </c>
      <c r="P30" s="481">
        <v>1</v>
      </c>
      <c r="Q30" s="480">
        <f>grout_pump</f>
        <v>540.79999999999995</v>
      </c>
      <c r="R30" s="481">
        <f>Q30*P30</f>
        <v>540.79999999999995</v>
      </c>
    </row>
    <row r="31" spans="1:30" ht="13.5">
      <c r="A31" s="263"/>
      <c r="B31" s="800"/>
      <c r="C31" s="264"/>
      <c r="D31" s="264" t="s">
        <v>823</v>
      </c>
      <c r="E31" s="264" t="s">
        <v>820</v>
      </c>
      <c r="F31" s="266">
        <f>1*0.5</f>
        <v>0.5</v>
      </c>
      <c r="G31" s="266">
        <f>tech</f>
        <v>1100</v>
      </c>
      <c r="H31" s="266">
        <f>F31*G31</f>
        <v>550</v>
      </c>
      <c r="I31" s="438" t="s">
        <v>653</v>
      </c>
      <c r="J31" s="281" t="s">
        <v>11</v>
      </c>
      <c r="K31" s="500">
        <v>0.19</v>
      </c>
      <c r="L31" s="280">
        <f>sand</f>
        <v>1050</v>
      </c>
      <c r="M31" s="452">
        <f>K31*L31</f>
        <v>199.5</v>
      </c>
      <c r="N31" s="483" t="s">
        <v>825</v>
      </c>
      <c r="O31" s="264"/>
      <c r="P31" s="439"/>
      <c r="Q31" s="264"/>
      <c r="R31" s="439"/>
      <c r="S31" s="530"/>
    </row>
    <row r="32" spans="1:30" ht="13.5">
      <c r="A32" s="263"/>
      <c r="B32" s="800"/>
      <c r="C32" s="264"/>
      <c r="D32" s="264" t="s">
        <v>826</v>
      </c>
      <c r="E32" s="264" t="s">
        <v>820</v>
      </c>
      <c r="F32" s="266">
        <f>2*0.5</f>
        <v>1</v>
      </c>
      <c r="G32" s="266">
        <f>hr</f>
        <v>750</v>
      </c>
      <c r="H32" s="266">
        <f>F32*G32</f>
        <v>750</v>
      </c>
      <c r="I32" s="438" t="s">
        <v>833</v>
      </c>
      <c r="J32" s="281" t="s">
        <v>28</v>
      </c>
      <c r="K32" s="500">
        <v>4</v>
      </c>
      <c r="L32" s="280">
        <f>Bentonite</f>
        <v>33.97</v>
      </c>
      <c r="M32" s="280">
        <f>K32*L32</f>
        <v>135.88</v>
      </c>
      <c r="N32" s="276" t="s">
        <v>834</v>
      </c>
      <c r="O32" s="264" t="s">
        <v>101</v>
      </c>
      <c r="P32" s="439">
        <v>0.5</v>
      </c>
      <c r="Q32" s="264">
        <f>mixer</f>
        <v>216.32</v>
      </c>
      <c r="R32" s="439">
        <f>Q32*P32</f>
        <v>108.16</v>
      </c>
    </row>
    <row r="33" spans="1:32" ht="13.5">
      <c r="A33" s="263"/>
      <c r="B33" s="800"/>
      <c r="C33" s="264"/>
      <c r="D33" s="264" t="s">
        <v>835</v>
      </c>
      <c r="E33" s="264" t="s">
        <v>820</v>
      </c>
      <c r="F33" s="266">
        <v>1</v>
      </c>
      <c r="G33" s="266">
        <f>or</f>
        <v>1840</v>
      </c>
      <c r="H33" s="266">
        <f>F33*G33</f>
        <v>1840</v>
      </c>
      <c r="I33" s="438" t="s">
        <v>827</v>
      </c>
      <c r="J33" s="281" t="s">
        <v>250</v>
      </c>
      <c r="K33" s="500">
        <v>9</v>
      </c>
      <c r="L33" s="280">
        <f>diesel</f>
        <v>177.6</v>
      </c>
      <c r="M33" s="280">
        <f>K33*L33</f>
        <v>1598.3999999999999</v>
      </c>
      <c r="N33" s="439" t="s">
        <v>398</v>
      </c>
      <c r="O33" s="264" t="s">
        <v>101</v>
      </c>
      <c r="P33" s="439">
        <v>1</v>
      </c>
      <c r="Q33" s="264">
        <f>compressor</f>
        <v>270.39999999999998</v>
      </c>
      <c r="R33" s="439">
        <f>Q33*P33</f>
        <v>270.39999999999998</v>
      </c>
      <c r="T33" s="533"/>
      <c r="U33" s="534"/>
      <c r="V33" s="533"/>
      <c r="W33" s="534"/>
      <c r="X33" s="533"/>
      <c r="Y33" s="534"/>
      <c r="Z33" s="533"/>
      <c r="AA33" s="534"/>
      <c r="AB33" s="534"/>
      <c r="AC33" s="533"/>
      <c r="AD33" s="534"/>
      <c r="AE33" s="540"/>
      <c r="AF33" s="540"/>
    </row>
    <row r="34" spans="1:32" ht="13.5">
      <c r="A34" s="263"/>
      <c r="B34" s="527"/>
      <c r="C34" s="264"/>
      <c r="D34" s="440" t="s">
        <v>768</v>
      </c>
      <c r="E34" s="440" t="s">
        <v>820</v>
      </c>
      <c r="F34" s="442">
        <f>4*0.5</f>
        <v>2</v>
      </c>
      <c r="G34" s="442">
        <f>ur</f>
        <v>850</v>
      </c>
      <c r="H34" s="442">
        <f>F34*G34</f>
        <v>1700</v>
      </c>
      <c r="I34" s="447" t="s">
        <v>215</v>
      </c>
      <c r="J34" s="443" t="s">
        <v>250</v>
      </c>
      <c r="K34" s="500">
        <f>K30*4</f>
        <v>440</v>
      </c>
      <c r="L34" s="279"/>
      <c r="M34" s="280">
        <f>K34*L34</f>
        <v>0</v>
      </c>
      <c r="N34" s="535"/>
      <c r="O34" s="536"/>
      <c r="P34" s="440"/>
      <c r="Q34" s="447"/>
      <c r="R34" s="536"/>
      <c r="T34" s="406"/>
      <c r="U34" s="406"/>
      <c r="V34" s="406"/>
      <c r="W34" s="406"/>
      <c r="X34" s="406"/>
      <c r="Y34" s="406"/>
      <c r="Z34" s="406"/>
      <c r="AA34" s="537"/>
      <c r="AB34" s="366"/>
      <c r="AC34" s="406"/>
      <c r="AD34" s="537"/>
      <c r="AE34" s="540"/>
      <c r="AF34" s="540"/>
    </row>
    <row r="35" spans="1:32" ht="13.5">
      <c r="A35" s="263"/>
      <c r="B35" s="488"/>
      <c r="C35" s="264"/>
      <c r="D35" s="489"/>
      <c r="E35" s="528"/>
      <c r="F35" s="318" t="s">
        <v>780</v>
      </c>
      <c r="G35" s="318"/>
      <c r="H35" s="265">
        <f>SUM(H30:H34)</f>
        <v>5015</v>
      </c>
      <c r="I35" s="801" t="s">
        <v>781</v>
      </c>
      <c r="J35" s="801"/>
      <c r="K35" s="303"/>
      <c r="L35" s="304"/>
      <c r="M35" s="490">
        <f>SUM(M30:M34)</f>
        <v>2647399.6799999997</v>
      </c>
      <c r="N35" s="306"/>
      <c r="O35" s="303"/>
      <c r="P35" s="303" t="s">
        <v>782</v>
      </c>
      <c r="Q35" s="303"/>
      <c r="R35" s="307">
        <f>SUM(R30:R33)</f>
        <v>919.3599999999999</v>
      </c>
      <c r="T35" s="538"/>
      <c r="U35" s="538"/>
      <c r="V35" s="538"/>
      <c r="W35" s="538"/>
      <c r="X35" s="538"/>
      <c r="Y35" s="538"/>
      <c r="Z35" s="538"/>
      <c r="AA35" s="538"/>
      <c r="AB35" s="538"/>
      <c r="AC35" s="540"/>
      <c r="AD35" s="540"/>
      <c r="AE35" s="540"/>
      <c r="AF35" s="540"/>
    </row>
    <row r="36" spans="1:32" ht="13.5">
      <c r="A36" s="263"/>
      <c r="B36" s="491" t="s">
        <v>13</v>
      </c>
      <c r="C36" s="303"/>
      <c r="D36" s="303"/>
      <c r="E36" s="492"/>
      <c r="F36" s="303"/>
      <c r="G36" s="304"/>
      <c r="H36" s="313">
        <f>M35+R35+H35</f>
        <v>2653334.0399999996</v>
      </c>
      <c r="I36" s="303"/>
      <c r="J36" s="303"/>
      <c r="K36" s="303"/>
      <c r="L36" s="304"/>
      <c r="M36" s="305"/>
      <c r="N36" s="303"/>
      <c r="O36" s="303"/>
      <c r="P36" s="303"/>
      <c r="Q36" s="303"/>
      <c r="R36" s="314"/>
      <c r="T36" s="538"/>
      <c r="U36" s="538"/>
      <c r="V36" s="538"/>
      <c r="W36" s="538"/>
      <c r="X36" s="538"/>
      <c r="Y36" s="538"/>
      <c r="Z36" s="541"/>
      <c r="AA36" s="541"/>
      <c r="AB36" s="541"/>
      <c r="AC36" s="538"/>
      <c r="AD36" s="538"/>
      <c r="AE36" s="540"/>
      <c r="AF36" s="540"/>
    </row>
    <row r="37" spans="1:32" ht="13.5">
      <c r="A37" s="263"/>
      <c r="B37" s="311" t="s">
        <v>14</v>
      </c>
      <c r="C37" s="261"/>
      <c r="D37" s="261"/>
      <c r="E37" s="337"/>
      <c r="F37" s="261"/>
      <c r="G37" s="318"/>
      <c r="H37" s="265">
        <f>SUM(H36:H36)</f>
        <v>2653334.0399999996</v>
      </c>
      <c r="I37" s="448"/>
      <c r="J37" s="261"/>
      <c r="K37" s="261"/>
      <c r="L37" s="318"/>
      <c r="M37" s="320"/>
      <c r="N37" s="261"/>
      <c r="O37" s="261"/>
      <c r="P37" s="261"/>
      <c r="Q37" s="261"/>
      <c r="R37" s="321"/>
      <c r="T37" s="540"/>
      <c r="U37" s="540"/>
      <c r="V37" s="449"/>
      <c r="W37" s="449"/>
      <c r="X37" s="540"/>
      <c r="Y37" s="540"/>
      <c r="Z37" s="540"/>
      <c r="AA37" s="540"/>
      <c r="AB37" s="540"/>
      <c r="AC37" s="540"/>
      <c r="AD37" s="540"/>
      <c r="AE37" s="540"/>
      <c r="AF37" s="540"/>
    </row>
    <row r="38" spans="1:32" ht="13.5">
      <c r="A38" s="263"/>
      <c r="B38" s="493" t="s">
        <v>24</v>
      </c>
      <c r="C38" s="446"/>
      <c r="D38" s="446"/>
      <c r="E38" s="494"/>
      <c r="F38" s="446"/>
      <c r="G38" s="331"/>
      <c r="H38" s="441">
        <f>H37*15%</f>
        <v>398000.10599999991</v>
      </c>
      <c r="I38" s="448"/>
      <c r="J38" s="261"/>
      <c r="K38" s="261"/>
      <c r="L38" s="318"/>
      <c r="M38" s="318"/>
      <c r="N38" s="261"/>
      <c r="O38" s="261"/>
      <c r="P38" s="261"/>
      <c r="Q38" s="261"/>
      <c r="R38" s="321"/>
    </row>
    <row r="39" spans="1:32" ht="13.5">
      <c r="A39" s="322"/>
      <c r="B39" s="323" t="s">
        <v>15</v>
      </c>
      <c r="C39" s="324"/>
      <c r="D39" s="324"/>
      <c r="E39" s="495"/>
      <c r="F39" s="324"/>
      <c r="G39" s="326" t="s">
        <v>16</v>
      </c>
      <c r="H39" s="501">
        <f>(H38+H37)/K30</f>
        <v>27739.401327272724</v>
      </c>
      <c r="I39" s="328" t="s">
        <v>17</v>
      </c>
      <c r="J39" s="802">
        <v>275.20197138700291</v>
      </c>
      <c r="K39" s="803"/>
      <c r="L39" s="331"/>
      <c r="M39" s="332" t="s">
        <v>783</v>
      </c>
      <c r="N39" s="502">
        <f>ROUND(H39*100%,2)</f>
        <v>27739.4</v>
      </c>
      <c r="O39" s="334"/>
      <c r="P39" s="334"/>
      <c r="Q39" s="334" t="s">
        <v>784</v>
      </c>
      <c r="R39" s="503">
        <f>ROUND(H39-N39,2)</f>
        <v>0</v>
      </c>
    </row>
  </sheetData>
  <mergeCells count="27">
    <mergeCell ref="N2:R2"/>
    <mergeCell ref="A2:A3"/>
    <mergeCell ref="B2:B3"/>
    <mergeCell ref="C2:C3"/>
    <mergeCell ref="D2:H2"/>
    <mergeCell ref="I2:M2"/>
    <mergeCell ref="B4:B7"/>
    <mergeCell ref="I9:J9"/>
    <mergeCell ref="J13:K13"/>
    <mergeCell ref="A15:A16"/>
    <mergeCell ref="B15:B16"/>
    <mergeCell ref="C15:C16"/>
    <mergeCell ref="D15:H15"/>
    <mergeCell ref="I15:M15"/>
    <mergeCell ref="A28:A29"/>
    <mergeCell ref="B28:B29"/>
    <mergeCell ref="C28:C29"/>
    <mergeCell ref="D28:H28"/>
    <mergeCell ref="I28:M28"/>
    <mergeCell ref="B30:B33"/>
    <mergeCell ref="I35:J35"/>
    <mergeCell ref="J39:K39"/>
    <mergeCell ref="N15:R15"/>
    <mergeCell ref="B17:B20"/>
    <mergeCell ref="I22:J22"/>
    <mergeCell ref="J26:K26"/>
    <mergeCell ref="N28:R28"/>
  </mergeCell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E56"/>
  <sheetViews>
    <sheetView workbookViewId="0"/>
  </sheetViews>
  <sheetFormatPr defaultColWidth="9.140625" defaultRowHeight="12.75"/>
  <cols>
    <col min="1" max="1" width="4.85546875" style="248" customWidth="1"/>
    <col min="2" max="2" width="24.7109375" style="248" customWidth="1"/>
    <col min="3" max="3" width="7" style="248" customWidth="1"/>
    <col min="4" max="4" width="7.7109375" style="248" customWidth="1"/>
    <col min="5" max="5" width="5" style="248" customWidth="1"/>
    <col min="6" max="6" width="6.85546875" style="248" customWidth="1"/>
    <col min="7" max="7" width="8.28515625" style="248" customWidth="1"/>
    <col min="8" max="8" width="10.7109375" style="248" customWidth="1"/>
    <col min="9" max="9" width="10.5703125" style="248" customWidth="1"/>
    <col min="10" max="10" width="6.85546875" style="248" customWidth="1"/>
    <col min="11" max="11" width="6.42578125" style="248" customWidth="1"/>
    <col min="12" max="12" width="7.42578125" style="248" customWidth="1"/>
    <col min="13" max="13" width="7" style="248" customWidth="1"/>
    <col min="14" max="14" width="11.140625" style="248" customWidth="1"/>
    <col min="15" max="15" width="4" style="248" customWidth="1"/>
    <col min="16" max="16" width="8.42578125" style="248" customWidth="1"/>
    <col min="17" max="17" width="6.85546875" style="248" customWidth="1"/>
    <col min="18" max="18" width="10" style="248" bestFit="1" customWidth="1"/>
    <col min="19" max="19" width="9.140625" style="248"/>
    <col min="20" max="20" width="6.5703125" style="248" bestFit="1" customWidth="1"/>
    <col min="21" max="21" width="6.140625" style="248" bestFit="1" customWidth="1"/>
    <col min="22" max="22" width="6.42578125" style="248" bestFit="1" customWidth="1"/>
    <col min="23" max="23" width="6.140625" style="248" bestFit="1" customWidth="1"/>
    <col min="24" max="24" width="5.42578125" style="248" bestFit="1" customWidth="1"/>
    <col min="25" max="28" width="6.5703125" style="248" bestFit="1" customWidth="1"/>
    <col min="29" max="29" width="6" style="248" bestFit="1" customWidth="1"/>
    <col min="30" max="30" width="6.140625" style="248" bestFit="1" customWidth="1"/>
    <col min="31" max="31" width="4.42578125" style="248" bestFit="1" customWidth="1"/>
    <col min="32" max="16384" width="9.140625" style="248"/>
  </cols>
  <sheetData>
    <row r="1" spans="1:20" ht="15">
      <c r="A1"/>
      <c r="B1"/>
      <c r="C1"/>
      <c r="D1" s="248" t="s">
        <v>752</v>
      </c>
      <c r="E1"/>
      <c r="F1"/>
      <c r="G1" s="248" t="s">
        <v>753</v>
      </c>
      <c r="H1"/>
      <c r="I1"/>
      <c r="J1" s="248" t="s">
        <v>754</v>
      </c>
      <c r="K1"/>
    </row>
    <row r="2" spans="1:20" ht="15">
      <c r="A2" s="249" t="s">
        <v>755</v>
      </c>
      <c r="B2" s="250"/>
      <c r="C2"/>
      <c r="D2" s="251">
        <v>5</v>
      </c>
      <c r="E2" s="249" t="s">
        <v>756</v>
      </c>
      <c r="F2"/>
      <c r="G2" s="251">
        <v>5</v>
      </c>
      <c r="H2" s="249" t="s">
        <v>756</v>
      </c>
      <c r="I2"/>
      <c r="J2" s="251">
        <v>10</v>
      </c>
      <c r="K2" s="249" t="s">
        <v>756</v>
      </c>
    </row>
    <row r="3" spans="1:20" ht="15">
      <c r="A3" s="249" t="s">
        <v>757</v>
      </c>
      <c r="B3" s="250"/>
      <c r="C3"/>
      <c r="D3" s="251">
        <f>990/1000</f>
        <v>0.99</v>
      </c>
      <c r="E3" s="249" t="s">
        <v>408</v>
      </c>
      <c r="F3"/>
      <c r="G3" s="251">
        <f>490/1000</f>
        <v>0.49</v>
      </c>
      <c r="H3" s="249" t="s">
        <v>408</v>
      </c>
      <c r="I3"/>
      <c r="J3" s="251">
        <f>200/1000</f>
        <v>0.2</v>
      </c>
      <c r="K3" s="249" t="s">
        <v>408</v>
      </c>
    </row>
    <row r="4" spans="1:20" ht="15">
      <c r="A4" s="249" t="s">
        <v>758</v>
      </c>
      <c r="B4" s="250"/>
      <c r="C4"/>
      <c r="D4" s="251">
        <f>+(D3/D2)*2</f>
        <v>0.39600000000000002</v>
      </c>
      <c r="E4" s="249" t="s">
        <v>101</v>
      </c>
      <c r="F4"/>
      <c r="G4" s="251">
        <f>+(G3/G2)*2</f>
        <v>0.19600000000000001</v>
      </c>
      <c r="H4" s="249" t="s">
        <v>101</v>
      </c>
      <c r="I4"/>
      <c r="J4" s="251">
        <f>+(J3/J2)*2</f>
        <v>0.04</v>
      </c>
      <c r="K4" s="249" t="s">
        <v>101</v>
      </c>
    </row>
    <row r="5" spans="1:20" ht="15">
      <c r="A5" s="249" t="s">
        <v>759</v>
      </c>
      <c r="B5" s="250"/>
      <c r="C5"/>
      <c r="D5" s="251">
        <v>1.75</v>
      </c>
      <c r="E5" s="249" t="s">
        <v>760</v>
      </c>
      <c r="F5"/>
      <c r="G5" s="251">
        <v>1.75</v>
      </c>
      <c r="H5" s="249" t="s">
        <v>760</v>
      </c>
      <c r="I5"/>
      <c r="J5" s="251">
        <v>1.75</v>
      </c>
      <c r="K5" s="249" t="s">
        <v>760</v>
      </c>
    </row>
    <row r="6" spans="1:20" ht="15">
      <c r="A6" s="249" t="s">
        <v>761</v>
      </c>
      <c r="B6" s="250"/>
      <c r="C6"/>
      <c r="D6" s="251">
        <f>ROUND(8/D5,0)</f>
        <v>5</v>
      </c>
      <c r="E6" s="249" t="s">
        <v>34</v>
      </c>
      <c r="F6"/>
      <c r="G6" s="251">
        <f>ROUND(8/G5,0)</f>
        <v>5</v>
      </c>
      <c r="H6" s="249" t="s">
        <v>34</v>
      </c>
      <c r="I6"/>
      <c r="J6" s="251">
        <f>ROUND(8/J5,0)</f>
        <v>5</v>
      </c>
      <c r="K6" s="249" t="s">
        <v>34</v>
      </c>
    </row>
    <row r="7" spans="1:20" ht="15">
      <c r="A7" s="249" t="s">
        <v>762</v>
      </c>
      <c r="B7" s="250"/>
      <c r="C7"/>
      <c r="D7" s="251">
        <f>+D5*D6</f>
        <v>8.75</v>
      </c>
      <c r="E7" s="249" t="s">
        <v>32</v>
      </c>
      <c r="F7"/>
      <c r="G7" s="251">
        <f>+G5*G6</f>
        <v>8.75</v>
      </c>
      <c r="H7" s="249" t="s">
        <v>32</v>
      </c>
      <c r="I7"/>
      <c r="J7" s="251">
        <f>+J5*J6</f>
        <v>8.75</v>
      </c>
      <c r="K7" s="249" t="s">
        <v>32</v>
      </c>
    </row>
    <row r="9" spans="1:20">
      <c r="A9" s="252" t="s">
        <v>763</v>
      </c>
    </row>
    <row r="10" spans="1:20" ht="14.25">
      <c r="A10" s="813" t="s">
        <v>0</v>
      </c>
      <c r="B10" s="815" t="s">
        <v>1</v>
      </c>
      <c r="C10" s="815" t="s">
        <v>2</v>
      </c>
      <c r="D10" s="818" t="s">
        <v>3</v>
      </c>
      <c r="E10" s="771"/>
      <c r="F10" s="771"/>
      <c r="G10" s="771"/>
      <c r="H10" s="771"/>
      <c r="I10" s="819" t="s">
        <v>4</v>
      </c>
      <c r="J10" s="820"/>
      <c r="K10" s="820"/>
      <c r="L10" s="820"/>
      <c r="M10" s="820"/>
      <c r="N10" s="771" t="s">
        <v>5</v>
      </c>
      <c r="O10" s="771"/>
      <c r="P10" s="771"/>
      <c r="Q10" s="771"/>
      <c r="R10" s="771"/>
    </row>
    <row r="11" spans="1:20" ht="14.25">
      <c r="A11" s="814"/>
      <c r="B11" s="816"/>
      <c r="C11" s="817"/>
      <c r="D11" s="549" t="s">
        <v>6</v>
      </c>
      <c r="E11" s="556" t="s">
        <v>2</v>
      </c>
      <c r="F11" s="557" t="s">
        <v>7</v>
      </c>
      <c r="G11" s="557" t="s">
        <v>8</v>
      </c>
      <c r="H11" s="557" t="s">
        <v>9</v>
      </c>
      <c r="I11" s="550" t="s">
        <v>10</v>
      </c>
      <c r="J11" s="550" t="s">
        <v>2</v>
      </c>
      <c r="K11" s="550" t="s">
        <v>7</v>
      </c>
      <c r="L11" s="551" t="s">
        <v>8</v>
      </c>
      <c r="M11" s="552" t="s">
        <v>9</v>
      </c>
      <c r="N11" s="550" t="s">
        <v>10</v>
      </c>
      <c r="O11" s="550" t="s">
        <v>2</v>
      </c>
      <c r="P11" s="550" t="s">
        <v>7</v>
      </c>
      <c r="Q11" s="550" t="s">
        <v>8</v>
      </c>
      <c r="R11" s="550" t="s">
        <v>9</v>
      </c>
    </row>
    <row r="12" spans="1:20" ht="14.25">
      <c r="A12" s="260">
        <v>1</v>
      </c>
      <c r="B12" s="799" t="s">
        <v>764</v>
      </c>
      <c r="C12" s="821" t="s">
        <v>11</v>
      </c>
      <c r="D12" s="261"/>
      <c r="E12" s="257"/>
      <c r="F12" s="262"/>
      <c r="G12" s="258"/>
      <c r="H12" s="258"/>
      <c r="I12" s="257"/>
      <c r="J12" s="257"/>
      <c r="K12" s="257"/>
      <c r="L12" s="258"/>
      <c r="M12" s="258"/>
      <c r="N12" s="257"/>
      <c r="O12" s="257"/>
      <c r="P12" s="257"/>
      <c r="Q12" s="257"/>
      <c r="R12" s="257"/>
      <c r="S12" s="248" t="s">
        <v>765</v>
      </c>
    </row>
    <row r="13" spans="1:20" ht="12.75" customHeight="1">
      <c r="A13" s="263"/>
      <c r="B13" s="800"/>
      <c r="C13" s="822"/>
      <c r="D13" s="261" t="s">
        <v>75</v>
      </c>
      <c r="E13" s="264" t="s">
        <v>766</v>
      </c>
      <c r="F13" s="265">
        <v>0</v>
      </c>
      <c r="G13" s="266">
        <f>fr</f>
        <v>1100</v>
      </c>
      <c r="H13" s="266">
        <f>G13*F13</f>
        <v>0</v>
      </c>
      <c r="I13" s="267" t="s">
        <v>595</v>
      </c>
      <c r="J13" s="268" t="s">
        <v>250</v>
      </c>
      <c r="K13" s="269">
        <f>0.06*D$3</f>
        <v>5.9399999999999994E-2</v>
      </c>
      <c r="L13" s="270">
        <f>diesel</f>
        <v>177.6</v>
      </c>
      <c r="M13" s="271">
        <f>L13*K13</f>
        <v>10.549439999999999</v>
      </c>
      <c r="N13" s="823" t="s">
        <v>767</v>
      </c>
      <c r="O13" s="823" t="s">
        <v>101</v>
      </c>
      <c r="P13" s="824">
        <f>0.18*(D4+0.75)*1.5</f>
        <v>0.30941999999999992</v>
      </c>
      <c r="Q13" s="825">
        <f>truck</f>
        <v>486.72</v>
      </c>
      <c r="R13" s="826">
        <f>P13*Q13</f>
        <v>150.60090239999997</v>
      </c>
      <c r="T13" s="275"/>
    </row>
    <row r="14" spans="1:20" ht="12.75" customHeight="1">
      <c r="A14" s="263"/>
      <c r="B14" s="800"/>
      <c r="C14" s="264"/>
      <c r="D14" s="261" t="s">
        <v>768</v>
      </c>
      <c r="E14" s="264" t="s">
        <v>766</v>
      </c>
      <c r="F14" s="265">
        <f>0.6/8</f>
        <v>7.4999999999999997E-2</v>
      </c>
      <c r="G14" s="266">
        <f>ur</f>
        <v>850</v>
      </c>
      <c r="H14" s="266">
        <f>G14*F14</f>
        <v>63.75</v>
      </c>
      <c r="I14" s="276"/>
      <c r="J14" s="277"/>
      <c r="K14" s="278"/>
      <c r="L14" s="279"/>
      <c r="M14" s="280"/>
      <c r="N14" s="823" t="s">
        <v>769</v>
      </c>
      <c r="O14" s="823"/>
      <c r="P14" s="824"/>
      <c r="Q14" s="825"/>
      <c r="R14" s="826"/>
    </row>
    <row r="15" spans="1:20" ht="14.25">
      <c r="A15" s="263"/>
      <c r="B15" s="800"/>
      <c r="C15" s="264"/>
      <c r="D15" s="261" t="s">
        <v>747</v>
      </c>
      <c r="E15" s="264" t="s">
        <v>766</v>
      </c>
      <c r="F15" s="265">
        <f>0.4/8</f>
        <v>0.05</v>
      </c>
      <c r="G15" s="266">
        <f>sr</f>
        <v>1100</v>
      </c>
      <c r="H15" s="266">
        <f>F15*G15</f>
        <v>55</v>
      </c>
      <c r="I15" s="281"/>
      <c r="J15" s="277"/>
      <c r="K15" s="278"/>
      <c r="L15" s="279"/>
      <c r="M15" s="280"/>
      <c r="N15" s="282" t="s">
        <v>770</v>
      </c>
      <c r="O15" s="283" t="s">
        <v>101</v>
      </c>
      <c r="P15" s="273"/>
      <c r="Q15" s="271">
        <f>wheel_loader</f>
        <v>1622.4</v>
      </c>
      <c r="R15" s="274">
        <f>P15*Q15</f>
        <v>0</v>
      </c>
      <c r="T15" s="275"/>
    </row>
    <row r="16" spans="1:20" ht="12.75" customHeight="1">
      <c r="A16" s="263"/>
      <c r="B16" s="800"/>
      <c r="C16" s="264"/>
      <c r="D16" s="261"/>
      <c r="E16" s="264"/>
      <c r="F16" s="266"/>
      <c r="G16" s="266"/>
      <c r="H16" s="266"/>
      <c r="I16" s="272"/>
      <c r="J16" s="284"/>
      <c r="K16" s="285"/>
      <c r="L16" s="286"/>
      <c r="M16" s="287"/>
      <c r="N16" s="276" t="s">
        <v>660</v>
      </c>
      <c r="O16" s="272" t="s">
        <v>101</v>
      </c>
      <c r="P16" s="288"/>
      <c r="Q16" s="289">
        <f>fan</f>
        <v>260.67</v>
      </c>
      <c r="R16" s="283">
        <f>P16*Q16</f>
        <v>0</v>
      </c>
    </row>
    <row r="17" spans="1:31" ht="12.75" customHeight="1">
      <c r="A17" s="263"/>
      <c r="B17" s="284"/>
      <c r="C17" s="264"/>
      <c r="D17" s="261"/>
      <c r="E17" s="264"/>
      <c r="F17" s="266"/>
      <c r="G17" s="266"/>
      <c r="H17" s="266"/>
      <c r="I17" s="264"/>
      <c r="J17" s="264"/>
      <c r="K17" s="290"/>
      <c r="L17" s="279"/>
      <c r="M17" s="280"/>
      <c r="N17" s="276" t="s">
        <v>661</v>
      </c>
      <c r="O17" s="272" t="s">
        <v>771</v>
      </c>
      <c r="P17" s="273"/>
      <c r="Q17" s="291"/>
      <c r="R17" s="274">
        <v>25</v>
      </c>
      <c r="T17" s="292" t="s">
        <v>772</v>
      </c>
      <c r="U17" s="293"/>
      <c r="V17" s="292" t="s">
        <v>773</v>
      </c>
      <c r="W17" s="293"/>
      <c r="X17" s="292" t="s">
        <v>774</v>
      </c>
      <c r="Y17" s="293"/>
      <c r="Z17" s="292" t="s">
        <v>14</v>
      </c>
      <c r="AA17" s="293"/>
      <c r="AB17" s="293"/>
      <c r="AC17" s="292" t="s">
        <v>775</v>
      </c>
      <c r="AD17" s="293"/>
      <c r="AE17" s="294"/>
    </row>
    <row r="18" spans="1:31" ht="27">
      <c r="A18" s="263"/>
      <c r="B18" s="284"/>
      <c r="C18" s="264"/>
      <c r="D18" s="261"/>
      <c r="E18" s="264"/>
      <c r="F18" s="266"/>
      <c r="G18" s="266"/>
      <c r="H18" s="266"/>
      <c r="I18" s="264"/>
      <c r="J18" s="264"/>
      <c r="K18" s="290"/>
      <c r="L18" s="279"/>
      <c r="M18" s="280"/>
      <c r="N18" s="276" t="s">
        <v>776</v>
      </c>
      <c r="O18" s="283" t="s">
        <v>771</v>
      </c>
      <c r="P18" s="295"/>
      <c r="Q18" s="268"/>
      <c r="R18" s="274">
        <v>15</v>
      </c>
      <c r="T18" s="296" t="s">
        <v>777</v>
      </c>
      <c r="U18" s="296" t="s">
        <v>778</v>
      </c>
      <c r="V18" s="296" t="s">
        <v>777</v>
      </c>
      <c r="W18" s="296" t="s">
        <v>778</v>
      </c>
      <c r="X18" s="296" t="s">
        <v>777</v>
      </c>
      <c r="Y18" s="296" t="s">
        <v>778</v>
      </c>
      <c r="Z18" s="296" t="s">
        <v>779</v>
      </c>
      <c r="AA18" s="297" t="s">
        <v>778</v>
      </c>
      <c r="AB18" s="298" t="s">
        <v>14</v>
      </c>
      <c r="AC18" s="296" t="s">
        <v>779</v>
      </c>
      <c r="AD18" s="297" t="s">
        <v>778</v>
      </c>
      <c r="AE18" s="294"/>
    </row>
    <row r="19" spans="1:31" ht="14.25" customHeight="1">
      <c r="A19" s="263"/>
      <c r="B19" s="299"/>
      <c r="C19" s="264"/>
      <c r="D19" s="300"/>
      <c r="E19" s="301"/>
      <c r="F19" s="255" t="s">
        <v>780</v>
      </c>
      <c r="G19" s="255"/>
      <c r="H19" s="302">
        <f>SUM(H12:H18)</f>
        <v>118.75</v>
      </c>
      <c r="I19" s="827" t="s">
        <v>781</v>
      </c>
      <c r="J19" s="828"/>
      <c r="K19" s="303"/>
      <c r="L19" s="304"/>
      <c r="M19" s="305">
        <f>SUM(M12:M18)</f>
        <v>10.549439999999999</v>
      </c>
      <c r="N19" s="306"/>
      <c r="O19" s="303"/>
      <c r="P19" s="303" t="s">
        <v>782</v>
      </c>
      <c r="Q19" s="303"/>
      <c r="R19" s="307">
        <f>SUM(R12:R18)</f>
        <v>190.60090239999997</v>
      </c>
      <c r="T19" s="308">
        <f>H19</f>
        <v>118.75</v>
      </c>
      <c r="U19" s="308">
        <f>H19-T19</f>
        <v>0</v>
      </c>
      <c r="V19" s="309">
        <f>M19-W19</f>
        <v>10.549439999999999</v>
      </c>
      <c r="W19" s="308">
        <f>M12</f>
        <v>0</v>
      </c>
      <c r="X19" s="308">
        <f>R19-Y19</f>
        <v>0</v>
      </c>
      <c r="Y19" s="308">
        <f>R19</f>
        <v>190.60090239999997</v>
      </c>
      <c r="Z19" s="308">
        <f>T19+V19+X19</f>
        <v>129.29944</v>
      </c>
      <c r="AA19" s="308">
        <f>Y19+W19+U19</f>
        <v>190.60090239999997</v>
      </c>
      <c r="AB19" s="308">
        <f>AA19+Z19</f>
        <v>319.9003424</v>
      </c>
      <c r="AC19" s="310"/>
      <c r="AD19" s="310"/>
      <c r="AE19" s="294"/>
    </row>
    <row r="20" spans="1:31" ht="15.75">
      <c r="A20" s="263"/>
      <c r="B20" s="311" t="s">
        <v>13</v>
      </c>
      <c r="C20" s="303"/>
      <c r="D20" s="303"/>
      <c r="E20" s="303"/>
      <c r="F20" s="312"/>
      <c r="G20" s="304"/>
      <c r="H20" s="522">
        <f>M19+R19+H19</f>
        <v>319.9003424</v>
      </c>
      <c r="I20" s="306"/>
      <c r="J20" s="303"/>
      <c r="K20" s="303"/>
      <c r="L20" s="304"/>
      <c r="M20" s="305"/>
      <c r="N20" s="303"/>
      <c r="O20" s="303"/>
      <c r="P20" s="303"/>
      <c r="Q20" s="303"/>
      <c r="R20" s="314"/>
      <c r="T20" s="308">
        <f t="shared" ref="T20:Y20" si="0">T19*1.15</f>
        <v>136.5625</v>
      </c>
      <c r="U20" s="308">
        <f t="shared" si="0"/>
        <v>0</v>
      </c>
      <c r="V20" s="308">
        <f t="shared" si="0"/>
        <v>12.131855999999997</v>
      </c>
      <c r="W20" s="308">
        <f t="shared" si="0"/>
        <v>0</v>
      </c>
      <c r="X20" s="308">
        <f t="shared" si="0"/>
        <v>0</v>
      </c>
      <c r="Y20" s="308">
        <f t="shared" si="0"/>
        <v>219.19103775999994</v>
      </c>
      <c r="Z20" s="315">
        <f>T20+V20+X20</f>
        <v>148.694356</v>
      </c>
      <c r="AA20" s="315">
        <f>Y20+W20+U20</f>
        <v>219.19103775999994</v>
      </c>
      <c r="AB20" s="315">
        <f>AA20+Z20</f>
        <v>367.88539375999994</v>
      </c>
      <c r="AC20" s="308">
        <f>ROUND(Z20/AB20%,2)</f>
        <v>40.42</v>
      </c>
      <c r="AD20" s="308">
        <f>ROUND(AA20/AB20%,2)</f>
        <v>59.58</v>
      </c>
      <c r="AE20" s="316">
        <f>AB20-H23</f>
        <v>0</v>
      </c>
    </row>
    <row r="21" spans="1:31" ht="15.75">
      <c r="A21" s="263"/>
      <c r="B21" s="311" t="s">
        <v>14</v>
      </c>
      <c r="C21" s="261"/>
      <c r="D21" s="261"/>
      <c r="E21" s="261"/>
      <c r="F21" s="317"/>
      <c r="G21" s="318"/>
      <c r="H21" s="265">
        <f>SUM(H20:H20)</f>
        <v>319.9003424</v>
      </c>
      <c r="I21" s="319"/>
      <c r="J21" s="261"/>
      <c r="K21" s="261"/>
      <c r="L21" s="318"/>
      <c r="M21" s="320"/>
      <c r="N21" s="261"/>
      <c r="O21" s="261"/>
      <c r="P21" s="261"/>
      <c r="Q21" s="261"/>
      <c r="R21" s="321"/>
      <c r="T21"/>
      <c r="U21"/>
      <c r="V21" s="316">
        <f>V20/($V20+$W20)%</f>
        <v>100</v>
      </c>
      <c r="W21" s="316">
        <f>W20/($V20+$W20)%</f>
        <v>0</v>
      </c>
      <c r="X21"/>
      <c r="Y21"/>
      <c r="Z21"/>
      <c r="AA21"/>
      <c r="AB21"/>
      <c r="AC21"/>
      <c r="AD21"/>
      <c r="AE21"/>
    </row>
    <row r="22" spans="1:31" ht="15.75">
      <c r="A22" s="263"/>
      <c r="B22" s="311" t="s">
        <v>24</v>
      </c>
      <c r="C22" s="261"/>
      <c r="D22" s="261"/>
      <c r="E22" s="261"/>
      <c r="F22" s="317"/>
      <c r="G22" s="318"/>
      <c r="H22" s="265">
        <f>H21*15%</f>
        <v>47.98505136</v>
      </c>
      <c r="I22" s="319"/>
      <c r="J22" s="261"/>
      <c r="K22" s="261"/>
      <c r="L22" s="318"/>
      <c r="M22" s="318"/>
      <c r="O22" s="149" t="s">
        <v>460</v>
      </c>
      <c r="P22" s="150">
        <f>CEILING(SUM(M13)/H20,0.0025)</f>
        <v>3.5000000000000003E-2</v>
      </c>
      <c r="Q22" s="261"/>
      <c r="R22" s="321"/>
    </row>
    <row r="23" spans="1:31" ht="15">
      <c r="A23" s="322"/>
      <c r="B23" s="323" t="s">
        <v>15</v>
      </c>
      <c r="C23" s="324"/>
      <c r="D23" s="324"/>
      <c r="E23" s="324"/>
      <c r="F23" s="325"/>
      <c r="G23" s="326" t="s">
        <v>16</v>
      </c>
      <c r="H23" s="327">
        <f>(H22+H21)</f>
        <v>367.88539376</v>
      </c>
      <c r="I23" s="328" t="s">
        <v>17</v>
      </c>
      <c r="J23" s="329">
        <v>3.5146705165858387</v>
      </c>
      <c r="K23" s="330"/>
      <c r="L23" s="331"/>
      <c r="M23" s="332" t="s">
        <v>783</v>
      </c>
      <c r="N23" s="333">
        <f>ROUND(H23*100%,2)</f>
        <v>367.89</v>
      </c>
      <c r="O23" s="334"/>
      <c r="P23" s="334"/>
      <c r="Q23" s="334" t="s">
        <v>784</v>
      </c>
      <c r="R23" s="335">
        <f>ROUND(H23-N23,2)</f>
        <v>0</v>
      </c>
    </row>
    <row r="24" spans="1:31" ht="15">
      <c r="A24" s="336"/>
      <c r="B24" s="337"/>
      <c r="C24" s="261"/>
      <c r="D24" s="261"/>
      <c r="E24" s="261"/>
      <c r="F24" s="317"/>
      <c r="G24" s="338"/>
      <c r="H24" s="339"/>
      <c r="I24" s="340"/>
      <c r="J24" s="341"/>
      <c r="K24" s="317"/>
      <c r="L24" s="318"/>
      <c r="M24" s="338"/>
      <c r="N24" s="342"/>
      <c r="O24" s="340"/>
      <c r="P24" s="340"/>
      <c r="Q24" s="340"/>
      <c r="R24" s="342"/>
    </row>
    <row r="25" spans="1:31" ht="14.25">
      <c r="A25" s="813" t="s">
        <v>0</v>
      </c>
      <c r="B25" s="815" t="s">
        <v>1</v>
      </c>
      <c r="C25" s="815" t="s">
        <v>2</v>
      </c>
      <c r="D25" s="818" t="s">
        <v>3</v>
      </c>
      <c r="E25" s="771"/>
      <c r="F25" s="771"/>
      <c r="G25" s="771"/>
      <c r="H25" s="771"/>
      <c r="I25" s="819" t="s">
        <v>4</v>
      </c>
      <c r="J25" s="820"/>
      <c r="K25" s="820"/>
      <c r="L25" s="820"/>
      <c r="M25" s="820"/>
      <c r="N25" s="771" t="s">
        <v>5</v>
      </c>
      <c r="O25" s="771"/>
      <c r="P25" s="771"/>
      <c r="Q25" s="771"/>
      <c r="R25" s="771"/>
    </row>
    <row r="26" spans="1:31" ht="14.25">
      <c r="A26" s="814"/>
      <c r="B26" s="816"/>
      <c r="C26" s="817"/>
      <c r="D26" s="549" t="s">
        <v>6</v>
      </c>
      <c r="E26" s="556" t="s">
        <v>2</v>
      </c>
      <c r="F26" s="557" t="s">
        <v>7</v>
      </c>
      <c r="G26" s="557" t="s">
        <v>8</v>
      </c>
      <c r="H26" s="557" t="s">
        <v>9</v>
      </c>
      <c r="I26" s="550" t="s">
        <v>10</v>
      </c>
      <c r="J26" s="550" t="s">
        <v>2</v>
      </c>
      <c r="K26" s="550" t="s">
        <v>7</v>
      </c>
      <c r="L26" s="551" t="s">
        <v>8</v>
      </c>
      <c r="M26" s="552" t="s">
        <v>9</v>
      </c>
      <c r="N26" s="550" t="s">
        <v>10</v>
      </c>
      <c r="O26" s="550" t="s">
        <v>2</v>
      </c>
      <c r="P26" s="550" t="s">
        <v>7</v>
      </c>
      <c r="Q26" s="550" t="s">
        <v>8</v>
      </c>
      <c r="R26" s="550" t="s">
        <v>9</v>
      </c>
    </row>
    <row r="27" spans="1:31" ht="14.25">
      <c r="A27" s="260">
        <v>2</v>
      </c>
      <c r="B27" s="799" t="s">
        <v>785</v>
      </c>
      <c r="C27" s="821" t="s">
        <v>11</v>
      </c>
      <c r="D27" s="261"/>
      <c r="E27" s="257"/>
      <c r="F27" s="262"/>
      <c r="G27" s="258"/>
      <c r="H27" s="258"/>
      <c r="I27" s="257"/>
      <c r="J27" s="257"/>
      <c r="K27" s="257"/>
      <c r="L27" s="258"/>
      <c r="M27" s="258"/>
      <c r="N27" s="257"/>
      <c r="O27" s="257"/>
      <c r="P27" s="257"/>
      <c r="Q27" s="257"/>
      <c r="R27" s="257"/>
      <c r="S27" s="248" t="s">
        <v>765</v>
      </c>
    </row>
    <row r="28" spans="1:31" ht="14.25">
      <c r="A28" s="263"/>
      <c r="B28" s="800"/>
      <c r="C28" s="822"/>
      <c r="D28" s="261" t="s">
        <v>75</v>
      </c>
      <c r="E28" s="264" t="s">
        <v>766</v>
      </c>
      <c r="F28" s="265">
        <v>0.1</v>
      </c>
      <c r="G28" s="266">
        <f>fr</f>
        <v>1100</v>
      </c>
      <c r="H28" s="266">
        <f>G28*F28</f>
        <v>110</v>
      </c>
      <c r="I28" s="267" t="s">
        <v>595</v>
      </c>
      <c r="J28" s="268" t="s">
        <v>250</v>
      </c>
      <c r="K28" s="269">
        <f>2.3*G$4</f>
        <v>0.45079999999999998</v>
      </c>
      <c r="L28" s="270">
        <f>diesel</f>
        <v>177.6</v>
      </c>
      <c r="M28" s="271">
        <f>L28*K28</f>
        <v>80.062079999999995</v>
      </c>
      <c r="N28" s="823" t="s">
        <v>767</v>
      </c>
      <c r="O28" s="823" t="s">
        <v>101</v>
      </c>
      <c r="P28" s="824">
        <f>0.18*(G4+0.75)*1.5</f>
        <v>0.25541999999999998</v>
      </c>
      <c r="Q28" s="825">
        <f>truck</f>
        <v>486.72</v>
      </c>
      <c r="R28" s="826">
        <f>P28*Q28</f>
        <v>124.3180224</v>
      </c>
      <c r="T28" s="275"/>
    </row>
    <row r="29" spans="1:31" ht="14.25">
      <c r="A29" s="263"/>
      <c r="B29" s="800"/>
      <c r="C29" s="264"/>
      <c r="D29" s="261" t="s">
        <v>768</v>
      </c>
      <c r="E29" s="264" t="s">
        <v>766</v>
      </c>
      <c r="F29" s="265">
        <v>0.08</v>
      </c>
      <c r="G29" s="266">
        <f>ur</f>
        <v>850</v>
      </c>
      <c r="H29" s="266">
        <f>G29*F29</f>
        <v>68</v>
      </c>
      <c r="I29" s="276"/>
      <c r="J29" s="277"/>
      <c r="K29" s="278"/>
      <c r="L29" s="279"/>
      <c r="M29" s="280"/>
      <c r="N29" s="823" t="s">
        <v>769</v>
      </c>
      <c r="O29" s="823"/>
      <c r="P29" s="824"/>
      <c r="Q29" s="825"/>
      <c r="R29" s="826"/>
    </row>
    <row r="30" spans="1:31" ht="14.25">
      <c r="A30" s="263"/>
      <c r="B30" s="800"/>
      <c r="C30" s="264"/>
      <c r="D30" s="261" t="s">
        <v>747</v>
      </c>
      <c r="E30" s="264" t="s">
        <v>766</v>
      </c>
      <c r="F30" s="265">
        <f>0.4/8</f>
        <v>0.05</v>
      </c>
      <c r="G30" s="266">
        <f>sr</f>
        <v>1100</v>
      </c>
      <c r="H30" s="266">
        <f>F30*G30</f>
        <v>55</v>
      </c>
      <c r="I30" s="281"/>
      <c r="J30" s="277"/>
      <c r="K30" s="278"/>
      <c r="L30" s="279"/>
      <c r="M30" s="280"/>
      <c r="N30" s="282" t="s">
        <v>770</v>
      </c>
      <c r="O30" s="283" t="s">
        <v>101</v>
      </c>
      <c r="P30" s="273"/>
      <c r="Q30" s="271">
        <f>wheel_loader</f>
        <v>1622.4</v>
      </c>
      <c r="R30" s="274">
        <f>P30*Q30</f>
        <v>0</v>
      </c>
      <c r="T30" s="275"/>
    </row>
    <row r="31" spans="1:31" ht="14.25">
      <c r="A31" s="263"/>
      <c r="B31" s="800"/>
      <c r="C31" s="264"/>
      <c r="D31" s="261"/>
      <c r="E31" s="264"/>
      <c r="F31" s="266"/>
      <c r="G31" s="266"/>
      <c r="H31" s="266"/>
      <c r="I31" s="272"/>
      <c r="J31" s="284"/>
      <c r="K31" s="285"/>
      <c r="L31" s="286"/>
      <c r="M31" s="287"/>
      <c r="N31" s="276" t="s">
        <v>660</v>
      </c>
      <c r="O31" s="272" t="s">
        <v>101</v>
      </c>
      <c r="P31" s="288">
        <v>0.1</v>
      </c>
      <c r="Q31" s="289">
        <f>fan</f>
        <v>260.67</v>
      </c>
      <c r="R31" s="283">
        <f>P31*Q31</f>
        <v>26.067000000000004</v>
      </c>
    </row>
    <row r="32" spans="1:31" ht="15.75">
      <c r="A32" s="263"/>
      <c r="B32" s="284"/>
      <c r="C32" s="264"/>
      <c r="D32" s="261"/>
      <c r="E32" s="264"/>
      <c r="F32" s="266"/>
      <c r="G32" s="266"/>
      <c r="H32" s="266"/>
      <c r="I32" s="264"/>
      <c r="J32" s="264"/>
      <c r="K32" s="290"/>
      <c r="L32" s="279"/>
      <c r="M32" s="280"/>
      <c r="N32" s="276" t="s">
        <v>661</v>
      </c>
      <c r="O32" s="272" t="s">
        <v>771</v>
      </c>
      <c r="P32" s="273"/>
      <c r="Q32" s="291"/>
      <c r="R32" s="274">
        <v>20</v>
      </c>
      <c r="T32" s="292" t="s">
        <v>772</v>
      </c>
      <c r="U32" s="293"/>
      <c r="V32" s="292" t="s">
        <v>773</v>
      </c>
      <c r="W32" s="293"/>
      <c r="X32" s="292" t="s">
        <v>774</v>
      </c>
      <c r="Y32" s="293"/>
      <c r="Z32" s="292" t="s">
        <v>14</v>
      </c>
      <c r="AA32" s="293"/>
      <c r="AB32" s="293"/>
      <c r="AC32" s="292" t="s">
        <v>775</v>
      </c>
      <c r="AD32" s="293"/>
      <c r="AE32" s="294"/>
    </row>
    <row r="33" spans="1:31" ht="27">
      <c r="A33" s="263"/>
      <c r="B33" s="284"/>
      <c r="C33" s="264"/>
      <c r="D33" s="261"/>
      <c r="E33" s="264"/>
      <c r="F33" s="266"/>
      <c r="G33" s="266"/>
      <c r="H33" s="266"/>
      <c r="I33" s="264"/>
      <c r="J33" s="264"/>
      <c r="K33" s="290"/>
      <c r="L33" s="279"/>
      <c r="M33" s="280"/>
      <c r="N33" s="276" t="s">
        <v>776</v>
      </c>
      <c r="O33" s="283" t="s">
        <v>771</v>
      </c>
      <c r="P33" s="295"/>
      <c r="Q33" s="268"/>
      <c r="R33" s="274">
        <v>10</v>
      </c>
      <c r="T33" s="296" t="s">
        <v>777</v>
      </c>
      <c r="U33" s="296" t="s">
        <v>778</v>
      </c>
      <c r="V33" s="296" t="s">
        <v>777</v>
      </c>
      <c r="W33" s="296" t="s">
        <v>778</v>
      </c>
      <c r="X33" s="296" t="s">
        <v>777</v>
      </c>
      <c r="Y33" s="296" t="s">
        <v>778</v>
      </c>
      <c r="Z33" s="296" t="s">
        <v>779</v>
      </c>
      <c r="AA33" s="297" t="s">
        <v>778</v>
      </c>
      <c r="AB33" s="298" t="s">
        <v>14</v>
      </c>
      <c r="AC33" s="296" t="s">
        <v>779</v>
      </c>
      <c r="AD33" s="297" t="s">
        <v>778</v>
      </c>
      <c r="AE33" s="294"/>
    </row>
    <row r="34" spans="1:31" ht="15.75">
      <c r="A34" s="263"/>
      <c r="B34" s="299"/>
      <c r="C34" s="264"/>
      <c r="D34" s="300"/>
      <c r="E34" s="301"/>
      <c r="F34" s="255" t="s">
        <v>780</v>
      </c>
      <c r="G34" s="255"/>
      <c r="H34" s="302">
        <f>SUM(H27:H33)</f>
        <v>233</v>
      </c>
      <c r="I34" s="827" t="s">
        <v>781</v>
      </c>
      <c r="J34" s="828"/>
      <c r="K34" s="303"/>
      <c r="L34" s="304"/>
      <c r="M34" s="305">
        <f>SUM(M27:M33)</f>
        <v>80.062079999999995</v>
      </c>
      <c r="N34" s="306"/>
      <c r="O34" s="303"/>
      <c r="P34" s="303" t="s">
        <v>782</v>
      </c>
      <c r="Q34" s="303"/>
      <c r="R34" s="307">
        <f>SUM(R27:R33)</f>
        <v>180.3850224</v>
      </c>
      <c r="T34" s="308">
        <f>H34</f>
        <v>233</v>
      </c>
      <c r="U34" s="308">
        <f>H34-T34</f>
        <v>0</v>
      </c>
      <c r="V34" s="309">
        <f>M34-W34</f>
        <v>80.062079999999995</v>
      </c>
      <c r="W34" s="308">
        <f>M27</f>
        <v>0</v>
      </c>
      <c r="X34" s="308">
        <f>R34-Y34</f>
        <v>0</v>
      </c>
      <c r="Y34" s="308">
        <f>R34</f>
        <v>180.3850224</v>
      </c>
      <c r="Z34" s="308">
        <f>T34+V34+X34</f>
        <v>313.06207999999998</v>
      </c>
      <c r="AA34" s="308">
        <f>Y34+W34+U34</f>
        <v>180.3850224</v>
      </c>
      <c r="AB34" s="308">
        <f>AA34+Z34</f>
        <v>493.44710239999995</v>
      </c>
      <c r="AC34" s="310"/>
      <c r="AD34" s="310"/>
      <c r="AE34" s="294"/>
    </row>
    <row r="35" spans="1:31" ht="15.75">
      <c r="A35" s="263"/>
      <c r="B35" s="311" t="s">
        <v>13</v>
      </c>
      <c r="C35" s="303"/>
      <c r="D35" s="303"/>
      <c r="E35" s="303"/>
      <c r="F35" s="312"/>
      <c r="G35" s="304"/>
      <c r="H35" s="313">
        <f>M34+R34+H34</f>
        <v>493.44710240000001</v>
      </c>
      <c r="I35" s="306"/>
      <c r="J35" s="303"/>
      <c r="K35" s="303"/>
      <c r="L35" s="304"/>
      <c r="M35" s="305"/>
      <c r="N35" s="303"/>
      <c r="O35" s="303"/>
      <c r="P35" s="303"/>
      <c r="Q35" s="303"/>
      <c r="R35" s="314"/>
      <c r="T35" s="308">
        <f t="shared" ref="T35:Y35" si="1">T34*1.15</f>
        <v>267.95</v>
      </c>
      <c r="U35" s="308">
        <f t="shared" si="1"/>
        <v>0</v>
      </c>
      <c r="V35" s="308">
        <f t="shared" si="1"/>
        <v>92.071391999999989</v>
      </c>
      <c r="W35" s="308">
        <f t="shared" si="1"/>
        <v>0</v>
      </c>
      <c r="X35" s="308">
        <f t="shared" si="1"/>
        <v>0</v>
      </c>
      <c r="Y35" s="308">
        <f t="shared" si="1"/>
        <v>207.44277575999999</v>
      </c>
      <c r="Z35" s="315">
        <f>T35+V35+X35</f>
        <v>360.02139199999999</v>
      </c>
      <c r="AA35" s="315">
        <f>Y35+W35+U35</f>
        <v>207.44277575999999</v>
      </c>
      <c r="AB35" s="315">
        <f>AA35+Z35</f>
        <v>567.46416776000001</v>
      </c>
      <c r="AC35" s="308">
        <f>ROUND(Z35/AB35%,2)</f>
        <v>63.44</v>
      </c>
      <c r="AD35" s="308">
        <f>ROUND(AA35/AB35%,2)</f>
        <v>36.56</v>
      </c>
      <c r="AE35" s="316">
        <f>AB35-H38</f>
        <v>0</v>
      </c>
    </row>
    <row r="36" spans="1:31" ht="16.5">
      <c r="A36" s="263"/>
      <c r="B36" s="311" t="s">
        <v>14</v>
      </c>
      <c r="C36" s="261"/>
      <c r="D36" s="261"/>
      <c r="E36" s="261"/>
      <c r="F36" s="317"/>
      <c r="G36" s="318"/>
      <c r="H36" s="265">
        <f>SUM(H35:H35)</f>
        <v>493.44710240000001</v>
      </c>
      <c r="I36" s="319"/>
      <c r="J36" s="261"/>
      <c r="K36" s="261"/>
      <c r="L36" s="318"/>
      <c r="M36" s="320"/>
      <c r="O36" s="149" t="s">
        <v>460</v>
      </c>
      <c r="P36" s="150">
        <f>CEILING(SUM(M28,R30*R31*R32*R33)/H35,0.0025)</f>
        <v>0.16250000000000001</v>
      </c>
      <c r="Q36" s="261"/>
      <c r="R36" s="321"/>
      <c r="T36"/>
      <c r="U36"/>
      <c r="V36" s="316">
        <f>V35/($V35+$W35)%</f>
        <v>100</v>
      </c>
      <c r="W36" s="316">
        <f>W35/($V35+$W35)%</f>
        <v>0</v>
      </c>
      <c r="X36"/>
      <c r="Y36"/>
      <c r="Z36"/>
      <c r="AA36"/>
      <c r="AB36"/>
      <c r="AC36"/>
      <c r="AD36"/>
      <c r="AE36"/>
    </row>
    <row r="37" spans="1:31" ht="15">
      <c r="A37" s="263"/>
      <c r="B37" s="311" t="s">
        <v>24</v>
      </c>
      <c r="C37" s="261"/>
      <c r="D37" s="261"/>
      <c r="E37" s="261"/>
      <c r="F37" s="317"/>
      <c r="G37" s="318"/>
      <c r="H37" s="265">
        <f>H36*15%</f>
        <v>74.017065360000004</v>
      </c>
      <c r="I37" s="319"/>
      <c r="J37" s="261"/>
      <c r="K37" s="261"/>
      <c r="L37" s="318"/>
      <c r="M37" s="318"/>
      <c r="N37" s="261"/>
      <c r="O37" s="261"/>
      <c r="P37" s="261"/>
      <c r="Q37" s="261"/>
      <c r="R37" s="321"/>
    </row>
    <row r="38" spans="1:31" ht="15">
      <c r="A38" s="322"/>
      <c r="B38" s="323" t="s">
        <v>15</v>
      </c>
      <c r="C38" s="324"/>
      <c r="D38" s="324"/>
      <c r="E38" s="324"/>
      <c r="F38" s="325"/>
      <c r="G38" s="326" t="s">
        <v>16</v>
      </c>
      <c r="H38" s="327">
        <f>(H37+H36)</f>
        <v>567.46416776000001</v>
      </c>
      <c r="I38" s="328" t="s">
        <v>17</v>
      </c>
      <c r="J38" s="329">
        <v>5.0974773109602332</v>
      </c>
      <c r="K38" s="330"/>
      <c r="L38" s="331"/>
      <c r="M38" s="332" t="s">
        <v>783</v>
      </c>
      <c r="N38" s="333">
        <f>ROUND(H38*100%,2)</f>
        <v>567.46</v>
      </c>
      <c r="O38" s="334"/>
      <c r="P38" s="334"/>
      <c r="Q38" s="334" t="s">
        <v>784</v>
      </c>
      <c r="R38" s="335">
        <f>ROUND(H38-N38,2)</f>
        <v>0</v>
      </c>
    </row>
    <row r="39" spans="1:31" ht="15">
      <c r="A39" s="336"/>
      <c r="B39" s="337"/>
      <c r="C39" s="261"/>
      <c r="D39" s="261"/>
      <c r="E39" s="261"/>
      <c r="F39" s="317"/>
      <c r="G39" s="338"/>
      <c r="H39" s="339"/>
      <c r="I39" s="340"/>
      <c r="J39" s="341"/>
      <c r="K39" s="317"/>
      <c r="L39" s="318"/>
      <c r="M39" s="338"/>
      <c r="N39" s="342"/>
      <c r="O39" s="340"/>
      <c r="P39" s="340"/>
      <c r="Q39" s="340"/>
      <c r="R39" s="342"/>
    </row>
    <row r="40" spans="1:31" ht="15">
      <c r="A40" s="336"/>
      <c r="B40" s="337"/>
      <c r="C40" s="261"/>
      <c r="D40" s="261"/>
      <c r="E40" s="261"/>
      <c r="F40" s="317"/>
      <c r="G40" s="338"/>
      <c r="H40" s="339"/>
      <c r="I40" s="340"/>
      <c r="J40" s="341"/>
      <c r="K40" s="317"/>
      <c r="L40" s="318"/>
      <c r="M40" s="338"/>
      <c r="N40" s="342"/>
      <c r="O40" s="340"/>
      <c r="P40" s="340"/>
      <c r="Q40" s="340"/>
      <c r="R40" s="342"/>
    </row>
    <row r="41" spans="1:31" ht="15">
      <c r="A41" s="336"/>
      <c r="B41" s="337"/>
      <c r="C41" s="261"/>
      <c r="D41" s="261"/>
      <c r="E41" s="261"/>
      <c r="F41" s="317"/>
      <c r="G41" s="338"/>
      <c r="H41" s="339"/>
      <c r="I41" s="340"/>
      <c r="J41" s="341"/>
      <c r="K41" s="317"/>
      <c r="L41" s="318"/>
      <c r="M41" s="338"/>
      <c r="N41" s="342"/>
      <c r="O41" s="340"/>
      <c r="P41" s="340"/>
      <c r="Q41" s="340"/>
      <c r="R41" s="342"/>
    </row>
    <row r="43" spans="1:31" ht="14.25">
      <c r="A43" s="813" t="s">
        <v>0</v>
      </c>
      <c r="B43" s="815" t="s">
        <v>1</v>
      </c>
      <c r="C43" s="815" t="s">
        <v>2</v>
      </c>
      <c r="D43" s="818" t="s">
        <v>3</v>
      </c>
      <c r="E43" s="771"/>
      <c r="F43" s="771"/>
      <c r="G43" s="771"/>
      <c r="H43" s="771"/>
      <c r="I43" s="819" t="s">
        <v>4</v>
      </c>
      <c r="J43" s="820"/>
      <c r="K43" s="820"/>
      <c r="L43" s="820"/>
      <c r="M43" s="820"/>
      <c r="N43" s="771" t="s">
        <v>5</v>
      </c>
      <c r="O43" s="771"/>
      <c r="P43" s="771"/>
      <c r="Q43" s="771"/>
      <c r="R43" s="771"/>
    </row>
    <row r="44" spans="1:31" ht="14.25">
      <c r="A44" s="814"/>
      <c r="B44" s="816"/>
      <c r="C44" s="817"/>
      <c r="D44" s="549" t="s">
        <v>6</v>
      </c>
      <c r="E44" s="556" t="s">
        <v>2</v>
      </c>
      <c r="F44" s="557" t="s">
        <v>7</v>
      </c>
      <c r="G44" s="557" t="s">
        <v>8</v>
      </c>
      <c r="H44" s="557" t="s">
        <v>9</v>
      </c>
      <c r="I44" s="550" t="s">
        <v>10</v>
      </c>
      <c r="J44" s="550" t="s">
        <v>2</v>
      </c>
      <c r="K44" s="550" t="s">
        <v>7</v>
      </c>
      <c r="L44" s="551" t="s">
        <v>8</v>
      </c>
      <c r="M44" s="552" t="s">
        <v>9</v>
      </c>
      <c r="N44" s="550" t="s">
        <v>10</v>
      </c>
      <c r="O44" s="550" t="s">
        <v>2</v>
      </c>
      <c r="P44" s="550" t="s">
        <v>7</v>
      </c>
      <c r="Q44" s="550" t="s">
        <v>8</v>
      </c>
      <c r="R44" s="550" t="s">
        <v>9</v>
      </c>
    </row>
    <row r="45" spans="1:31" ht="14.25">
      <c r="A45" s="260">
        <v>1</v>
      </c>
      <c r="B45" s="799" t="s">
        <v>786</v>
      </c>
      <c r="C45" s="821" t="s">
        <v>11</v>
      </c>
      <c r="D45" s="261"/>
      <c r="E45" s="257"/>
      <c r="F45" s="262"/>
      <c r="G45" s="258"/>
      <c r="H45" s="258"/>
      <c r="I45" s="257"/>
      <c r="J45" s="257"/>
      <c r="K45" s="257"/>
      <c r="L45" s="258"/>
      <c r="M45" s="258"/>
      <c r="N45" s="257"/>
      <c r="O45" s="257"/>
      <c r="P45" s="257"/>
      <c r="Q45" s="257"/>
      <c r="R45" s="257"/>
    </row>
    <row r="46" spans="1:31" ht="14.25">
      <c r="A46" s="263"/>
      <c r="B46" s="800"/>
      <c r="C46" s="822"/>
      <c r="D46" s="261" t="s">
        <v>75</v>
      </c>
      <c r="E46" s="264" t="s">
        <v>766</v>
      </c>
      <c r="F46" s="265">
        <v>0</v>
      </c>
      <c r="G46" s="266">
        <f>fr</f>
        <v>1100</v>
      </c>
      <c r="H46" s="266">
        <f>G46*F46</f>
        <v>0</v>
      </c>
      <c r="I46" s="267" t="s">
        <v>595</v>
      </c>
      <c r="J46" s="268" t="s">
        <v>250</v>
      </c>
      <c r="K46" s="269">
        <f>2.3*J$4</f>
        <v>9.1999999999999998E-2</v>
      </c>
      <c r="L46" s="270">
        <f>diesel</f>
        <v>177.6</v>
      </c>
      <c r="M46" s="271">
        <f>L46*K46</f>
        <v>16.339199999999998</v>
      </c>
      <c r="N46" s="823" t="s">
        <v>767</v>
      </c>
      <c r="O46" s="823" t="s">
        <v>101</v>
      </c>
      <c r="P46" s="824">
        <f>0.18*(J4+0.75)*1.5</f>
        <v>0.21329999999999999</v>
      </c>
      <c r="Q46" s="825">
        <f>truck</f>
        <v>486.72</v>
      </c>
      <c r="R46" s="826">
        <f>P46*Q46</f>
        <v>103.817376</v>
      </c>
    </row>
    <row r="47" spans="1:31" ht="14.25">
      <c r="A47" s="263"/>
      <c r="B47" s="800"/>
      <c r="C47" s="264"/>
      <c r="D47" s="261" t="s">
        <v>768</v>
      </c>
      <c r="E47" s="264" t="s">
        <v>766</v>
      </c>
      <c r="F47" s="265">
        <v>0</v>
      </c>
      <c r="G47" s="266">
        <f>ur</f>
        <v>850</v>
      </c>
      <c r="H47" s="266">
        <f>G47*F47</f>
        <v>0</v>
      </c>
      <c r="I47" s="276"/>
      <c r="J47" s="277"/>
      <c r="K47" s="278"/>
      <c r="L47" s="279"/>
      <c r="M47" s="280"/>
      <c r="N47" s="823" t="s">
        <v>769</v>
      </c>
      <c r="O47" s="823"/>
      <c r="P47" s="824"/>
      <c r="Q47" s="825"/>
      <c r="R47" s="826"/>
    </row>
    <row r="48" spans="1:31" ht="14.25">
      <c r="A48" s="263"/>
      <c r="B48" s="800"/>
      <c r="C48" s="264"/>
      <c r="D48" s="261" t="s">
        <v>747</v>
      </c>
      <c r="E48" s="264" t="s">
        <v>766</v>
      </c>
      <c r="F48" s="265">
        <v>0</v>
      </c>
      <c r="G48" s="266">
        <f>sr</f>
        <v>1100</v>
      </c>
      <c r="H48" s="266">
        <f>F48*G48</f>
        <v>0</v>
      </c>
      <c r="I48" s="281"/>
      <c r="J48" s="277"/>
      <c r="K48" s="278"/>
      <c r="L48" s="279"/>
      <c r="M48" s="280"/>
      <c r="N48" s="282" t="s">
        <v>770</v>
      </c>
      <c r="O48" s="283" t="s">
        <v>101</v>
      </c>
      <c r="P48" s="273"/>
      <c r="Q48" s="271">
        <f>wheel_loader</f>
        <v>1622.4</v>
      </c>
      <c r="R48" s="274">
        <f>P48*Q48</f>
        <v>0</v>
      </c>
    </row>
    <row r="49" spans="1:31" ht="14.25">
      <c r="A49" s="263"/>
      <c r="B49" s="800"/>
      <c r="C49" s="264"/>
      <c r="D49" s="261"/>
      <c r="E49" s="264"/>
      <c r="F49" s="266"/>
      <c r="G49" s="266"/>
      <c r="H49" s="266"/>
      <c r="I49" s="272"/>
      <c r="J49" s="284"/>
      <c r="K49" s="285"/>
      <c r="L49" s="286"/>
      <c r="M49" s="287"/>
      <c r="N49" s="276" t="s">
        <v>660</v>
      </c>
      <c r="O49" s="272" t="s">
        <v>101</v>
      </c>
      <c r="P49" s="288">
        <v>0.2</v>
      </c>
      <c r="Q49" s="289">
        <f>fan</f>
        <v>260.67</v>
      </c>
      <c r="R49" s="283">
        <f>P49*Q49</f>
        <v>52.134000000000007</v>
      </c>
    </row>
    <row r="50" spans="1:31" ht="15.75">
      <c r="A50" s="263"/>
      <c r="B50" s="284"/>
      <c r="C50" s="264"/>
      <c r="D50" s="261"/>
      <c r="E50" s="264"/>
      <c r="F50" s="266"/>
      <c r="G50" s="266"/>
      <c r="H50" s="266"/>
      <c r="I50" s="264"/>
      <c r="J50" s="264"/>
      <c r="K50" s="290"/>
      <c r="L50" s="279"/>
      <c r="M50" s="280"/>
      <c r="N50" s="276" t="s">
        <v>661</v>
      </c>
      <c r="O50" s="272" t="s">
        <v>771</v>
      </c>
      <c r="P50" s="273"/>
      <c r="Q50" s="291"/>
      <c r="R50" s="274">
        <v>25</v>
      </c>
      <c r="T50" s="292" t="s">
        <v>772</v>
      </c>
      <c r="U50" s="293"/>
      <c r="V50" s="292" t="s">
        <v>773</v>
      </c>
      <c r="W50" s="293"/>
      <c r="X50" s="292" t="s">
        <v>774</v>
      </c>
      <c r="Y50" s="293"/>
      <c r="Z50" s="292" t="s">
        <v>14</v>
      </c>
      <c r="AA50" s="293"/>
      <c r="AB50" s="293"/>
      <c r="AC50" s="292" t="s">
        <v>775</v>
      </c>
      <c r="AD50" s="293"/>
      <c r="AE50" s="294"/>
    </row>
    <row r="51" spans="1:31" ht="27">
      <c r="A51" s="263"/>
      <c r="B51" s="284"/>
      <c r="C51" s="264"/>
      <c r="D51" s="261"/>
      <c r="E51" s="264"/>
      <c r="F51" s="266"/>
      <c r="G51" s="266"/>
      <c r="H51" s="266"/>
      <c r="I51" s="264"/>
      <c r="J51" s="264"/>
      <c r="K51" s="290"/>
      <c r="L51" s="279"/>
      <c r="M51" s="280"/>
      <c r="N51" s="276" t="s">
        <v>776</v>
      </c>
      <c r="O51" s="283" t="s">
        <v>771</v>
      </c>
      <c r="P51" s="295"/>
      <c r="Q51" s="268"/>
      <c r="R51" s="274">
        <v>15</v>
      </c>
      <c r="T51" s="296" t="s">
        <v>777</v>
      </c>
      <c r="U51" s="296" t="s">
        <v>778</v>
      </c>
      <c r="V51" s="296" t="s">
        <v>777</v>
      </c>
      <c r="W51" s="296" t="s">
        <v>778</v>
      </c>
      <c r="X51" s="296" t="s">
        <v>777</v>
      </c>
      <c r="Y51" s="296" t="s">
        <v>778</v>
      </c>
      <c r="Z51" s="296" t="s">
        <v>779</v>
      </c>
      <c r="AA51" s="297" t="s">
        <v>778</v>
      </c>
      <c r="AB51" s="298" t="s">
        <v>14</v>
      </c>
      <c r="AC51" s="296" t="s">
        <v>779</v>
      </c>
      <c r="AD51" s="297" t="s">
        <v>778</v>
      </c>
      <c r="AE51" s="294"/>
    </row>
    <row r="52" spans="1:31" ht="15.75">
      <c r="A52" s="263"/>
      <c r="B52" s="299"/>
      <c r="C52" s="264"/>
      <c r="D52" s="300"/>
      <c r="E52" s="301"/>
      <c r="F52" s="255" t="s">
        <v>780</v>
      </c>
      <c r="G52" s="255"/>
      <c r="H52" s="302">
        <f>SUM(H45:H51)</f>
        <v>0</v>
      </c>
      <c r="I52" s="827" t="s">
        <v>781</v>
      </c>
      <c r="J52" s="828"/>
      <c r="K52" s="303"/>
      <c r="L52" s="304"/>
      <c r="M52" s="305">
        <f>SUM(M45:M51)</f>
        <v>16.339199999999998</v>
      </c>
      <c r="N52" s="306"/>
      <c r="O52" s="303"/>
      <c r="P52" s="303" t="s">
        <v>782</v>
      </c>
      <c r="Q52" s="303"/>
      <c r="R52" s="307">
        <f>SUM(R45:R51)</f>
        <v>195.95137600000001</v>
      </c>
      <c r="T52" s="308">
        <f>H52</f>
        <v>0</v>
      </c>
      <c r="U52" s="308">
        <f>H52-T52</f>
        <v>0</v>
      </c>
      <c r="V52" s="309">
        <f>M52-W52</f>
        <v>16.339199999999998</v>
      </c>
      <c r="W52" s="308">
        <f>M45</f>
        <v>0</v>
      </c>
      <c r="X52" s="308">
        <f>R52-Y52</f>
        <v>0</v>
      </c>
      <c r="Y52" s="308">
        <f>R52</f>
        <v>195.95137600000001</v>
      </c>
      <c r="Z52" s="308">
        <f>T52+V52+X52</f>
        <v>16.339199999999998</v>
      </c>
      <c r="AA52" s="308">
        <f>Y52+W52+U52</f>
        <v>195.95137600000001</v>
      </c>
      <c r="AB52" s="308">
        <f>AA52+Z52</f>
        <v>212.29057600000002</v>
      </c>
      <c r="AC52" s="310"/>
      <c r="AD52" s="310"/>
      <c r="AE52" s="294"/>
    </row>
    <row r="53" spans="1:31" ht="15.75">
      <c r="A53" s="263"/>
      <c r="B53" s="311" t="s">
        <v>13</v>
      </c>
      <c r="C53" s="303"/>
      <c r="D53" s="303"/>
      <c r="E53" s="303"/>
      <c r="F53" s="312"/>
      <c r="G53" s="304"/>
      <c r="H53" s="313">
        <f>M52+R52+H52</f>
        <v>212.29057600000002</v>
      </c>
      <c r="I53" s="306"/>
      <c r="J53" s="303"/>
      <c r="K53" s="303"/>
      <c r="L53" s="304"/>
      <c r="M53" s="305"/>
      <c r="N53" s="303"/>
      <c r="O53" s="303"/>
      <c r="P53" s="303"/>
      <c r="Q53" s="303"/>
      <c r="R53" s="314"/>
      <c r="T53" s="308">
        <f t="shared" ref="T53:Y53" si="2">T52*1.15</f>
        <v>0</v>
      </c>
      <c r="U53" s="308">
        <f t="shared" si="2"/>
        <v>0</v>
      </c>
      <c r="V53" s="308">
        <f t="shared" si="2"/>
        <v>18.790079999999996</v>
      </c>
      <c r="W53" s="308">
        <f t="shared" si="2"/>
        <v>0</v>
      </c>
      <c r="X53" s="308">
        <f t="shared" si="2"/>
        <v>0</v>
      </c>
      <c r="Y53" s="308">
        <f t="shared" si="2"/>
        <v>225.34408239999999</v>
      </c>
      <c r="Z53" s="315">
        <f>T53+V53+X53</f>
        <v>18.790079999999996</v>
      </c>
      <c r="AA53" s="315">
        <f>Y53+W53+U53</f>
        <v>225.34408239999999</v>
      </c>
      <c r="AB53" s="315">
        <f>AA53+Z53</f>
        <v>244.13416239999998</v>
      </c>
      <c r="AC53" s="308">
        <f>ROUND(Z53/AB53%,2)</f>
        <v>7.7</v>
      </c>
      <c r="AD53" s="308">
        <f>ROUND(AA53/AB53%,2)</f>
        <v>92.3</v>
      </c>
      <c r="AE53" s="316">
        <f>AB53-H56</f>
        <v>0</v>
      </c>
    </row>
    <row r="54" spans="1:31" ht="16.5">
      <c r="A54" s="263"/>
      <c r="B54" s="311" t="s">
        <v>14</v>
      </c>
      <c r="C54" s="261"/>
      <c r="D54" s="261"/>
      <c r="E54" s="261"/>
      <c r="F54" s="317"/>
      <c r="G54" s="318"/>
      <c r="H54" s="265">
        <f>SUM(H53:H53)</f>
        <v>212.29057600000002</v>
      </c>
      <c r="I54" s="319"/>
      <c r="J54" s="261"/>
      <c r="K54" s="261"/>
      <c r="L54" s="318"/>
      <c r="M54" s="320"/>
      <c r="O54" s="149" t="s">
        <v>460</v>
      </c>
      <c r="P54" s="150">
        <f>CEILING(SUM(M46,R48,R49,R50,R51)/H53,0.0025)</f>
        <v>0.51249999999999996</v>
      </c>
      <c r="Q54" s="261"/>
      <c r="R54" s="321"/>
      <c r="T54"/>
      <c r="U54"/>
      <c r="V54" s="316">
        <f>V53/($V53+$W53)%</f>
        <v>100</v>
      </c>
      <c r="W54" s="316">
        <f>W53/($V53+$W53)%</f>
        <v>0</v>
      </c>
      <c r="X54"/>
      <c r="Y54"/>
      <c r="Z54"/>
      <c r="AA54"/>
      <c r="AB54"/>
      <c r="AC54"/>
      <c r="AD54"/>
      <c r="AE54"/>
    </row>
    <row r="55" spans="1:31" ht="15">
      <c r="A55" s="263"/>
      <c r="B55" s="311" t="s">
        <v>24</v>
      </c>
      <c r="C55" s="261"/>
      <c r="D55" s="261"/>
      <c r="E55" s="261"/>
      <c r="F55" s="317"/>
      <c r="G55" s="318"/>
      <c r="H55" s="265">
        <f>H54*15%</f>
        <v>31.8435864</v>
      </c>
      <c r="I55" s="319"/>
      <c r="J55" s="261"/>
      <c r="K55" s="261"/>
      <c r="L55" s="318"/>
      <c r="M55" s="318"/>
      <c r="N55" s="261"/>
      <c r="O55" s="261"/>
      <c r="P55" s="261"/>
      <c r="Q55" s="261"/>
      <c r="R55" s="321"/>
    </row>
    <row r="56" spans="1:31" ht="15">
      <c r="A56" s="322"/>
      <c r="B56" s="323" t="s">
        <v>15</v>
      </c>
      <c r="C56" s="324"/>
      <c r="D56" s="324"/>
      <c r="E56" s="324"/>
      <c r="F56" s="325"/>
      <c r="G56" s="326" t="s">
        <v>16</v>
      </c>
      <c r="H56" s="327">
        <f>(H55+H54)</f>
        <v>244.13416240000001</v>
      </c>
      <c r="I56" s="328" t="s">
        <v>17</v>
      </c>
      <c r="J56" s="329">
        <v>2.2849683064985453</v>
      </c>
      <c r="K56" s="330"/>
      <c r="L56" s="331"/>
      <c r="M56" s="332" t="s">
        <v>783</v>
      </c>
      <c r="N56" s="333">
        <f>ROUND(H56*100%,2)</f>
        <v>244.13</v>
      </c>
      <c r="O56" s="334"/>
      <c r="P56" s="334"/>
      <c r="Q56" s="334" t="s">
        <v>784</v>
      </c>
      <c r="R56" s="335">
        <f>ROUND(H56-N56,2)</f>
        <v>0</v>
      </c>
    </row>
  </sheetData>
  <mergeCells count="42">
    <mergeCell ref="I52:J52"/>
    <mergeCell ref="B45:B49"/>
    <mergeCell ref="C45:C46"/>
    <mergeCell ref="N46:N47"/>
    <mergeCell ref="O46:O47"/>
    <mergeCell ref="I19:J19"/>
    <mergeCell ref="R28:R29"/>
    <mergeCell ref="P46:P47"/>
    <mergeCell ref="I34:J34"/>
    <mergeCell ref="A43:A44"/>
    <mergeCell ref="B43:B44"/>
    <mergeCell ref="C43:C44"/>
    <mergeCell ref="D43:H43"/>
    <mergeCell ref="I43:M43"/>
    <mergeCell ref="Q46:Q47"/>
    <mergeCell ref="N43:R43"/>
    <mergeCell ref="B27:B31"/>
    <mergeCell ref="C27:C28"/>
    <mergeCell ref="R46:R47"/>
    <mergeCell ref="N25:R25"/>
    <mergeCell ref="N28:N29"/>
    <mergeCell ref="O28:O29"/>
    <mergeCell ref="P28:P29"/>
    <mergeCell ref="Q28:Q29"/>
    <mergeCell ref="A25:A26"/>
    <mergeCell ref="B25:B26"/>
    <mergeCell ref="C25:C26"/>
    <mergeCell ref="D25:H25"/>
    <mergeCell ref="I25:M25"/>
    <mergeCell ref="N10:R10"/>
    <mergeCell ref="B12:B16"/>
    <mergeCell ref="C12:C13"/>
    <mergeCell ref="N13:N14"/>
    <mergeCell ref="O13:O14"/>
    <mergeCell ref="P13:P14"/>
    <mergeCell ref="Q13:Q14"/>
    <mergeCell ref="R13:R14"/>
    <mergeCell ref="A10:A11"/>
    <mergeCell ref="B10:B11"/>
    <mergeCell ref="C10:C11"/>
    <mergeCell ref="D10:H10"/>
    <mergeCell ref="I10:M10"/>
  </mergeCell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2:AE48"/>
  <sheetViews>
    <sheetView topLeftCell="A112" workbookViewId="0">
      <selection activeCell="H32" sqref="H32"/>
    </sheetView>
  </sheetViews>
  <sheetFormatPr defaultRowHeight="15"/>
  <cols>
    <col min="1" max="1" width="4.7109375" customWidth="1"/>
    <col min="2" max="2" width="23.42578125" customWidth="1"/>
    <col min="3" max="3" width="6.140625" bestFit="1" customWidth="1"/>
    <col min="4" max="4" width="7" bestFit="1" customWidth="1"/>
    <col min="5" max="5" width="5" bestFit="1" customWidth="1"/>
    <col min="6" max="6" width="9.42578125" customWidth="1"/>
    <col min="7" max="7" width="7.5703125" customWidth="1"/>
    <col min="8" max="8" width="14.28515625" bestFit="1" customWidth="1"/>
    <col min="9" max="9" width="11.140625" customWidth="1"/>
    <col min="10" max="10" width="5.85546875" customWidth="1"/>
    <col min="11" max="11" width="6.85546875" bestFit="1" customWidth="1"/>
    <col min="12" max="12" width="10.140625" customWidth="1"/>
    <col min="13" max="13" width="7.140625" customWidth="1"/>
    <col min="14" max="14" width="9.7109375" customWidth="1"/>
    <col min="15" max="15" width="3.85546875" bestFit="1" customWidth="1"/>
    <col min="16" max="16" width="10.28515625" bestFit="1" customWidth="1"/>
    <col min="17" max="17" width="5.5703125" bestFit="1" customWidth="1"/>
    <col min="18" max="18" width="8.7109375" bestFit="1" customWidth="1"/>
    <col min="19" max="19" width="14.85546875" bestFit="1" customWidth="1"/>
  </cols>
  <sheetData>
    <row r="2" spans="1:31" ht="15.75">
      <c r="A2" s="805" t="s">
        <v>0</v>
      </c>
      <c r="B2" s="807" t="s">
        <v>1</v>
      </c>
      <c r="C2" s="807" t="s">
        <v>2</v>
      </c>
      <c r="D2" s="810" t="s">
        <v>3</v>
      </c>
      <c r="E2" s="804"/>
      <c r="F2" s="804"/>
      <c r="G2" s="804"/>
      <c r="H2" s="804"/>
      <c r="I2" s="811" t="s">
        <v>4</v>
      </c>
      <c r="J2" s="812"/>
      <c r="K2" s="812"/>
      <c r="L2" s="812"/>
      <c r="M2" s="812"/>
      <c r="N2" s="804" t="s">
        <v>5</v>
      </c>
      <c r="O2" s="804"/>
      <c r="P2" s="804"/>
      <c r="Q2" s="804"/>
      <c r="R2" s="804"/>
      <c r="S2" s="248"/>
    </row>
    <row r="3" spans="1:31" ht="15.75">
      <c r="A3" s="806"/>
      <c r="B3" s="808"/>
      <c r="C3" s="809"/>
      <c r="D3" s="256" t="s">
        <v>6</v>
      </c>
      <c r="E3" s="257" t="s">
        <v>2</v>
      </c>
      <c r="F3" s="258" t="s">
        <v>7</v>
      </c>
      <c r="G3" s="258" t="s">
        <v>8</v>
      </c>
      <c r="H3" s="258" t="s">
        <v>9</v>
      </c>
      <c r="I3" s="259" t="s">
        <v>10</v>
      </c>
      <c r="J3" s="259" t="s">
        <v>2</v>
      </c>
      <c r="K3" s="259" t="s">
        <v>7</v>
      </c>
      <c r="L3" s="253" t="s">
        <v>8</v>
      </c>
      <c r="M3" s="254" t="s">
        <v>9</v>
      </c>
      <c r="N3" s="259" t="s">
        <v>10</v>
      </c>
      <c r="O3" s="259" t="s">
        <v>2</v>
      </c>
      <c r="P3" s="259" t="s">
        <v>7</v>
      </c>
      <c r="Q3" s="259" t="s">
        <v>8</v>
      </c>
      <c r="R3" s="259" t="s">
        <v>9</v>
      </c>
      <c r="S3" s="248"/>
    </row>
    <row r="4" spans="1:31" ht="15.75">
      <c r="A4" s="260">
        <v>1</v>
      </c>
      <c r="B4" s="799" t="s">
        <v>840</v>
      </c>
      <c r="C4" s="829">
        <v>10</v>
      </c>
      <c r="D4" s="261"/>
      <c r="E4" s="257"/>
      <c r="F4" s="262"/>
      <c r="G4" s="258"/>
      <c r="H4" s="258"/>
      <c r="I4" s="257"/>
      <c r="J4" s="257"/>
      <c r="K4" s="257"/>
      <c r="L4" s="258"/>
      <c r="M4" s="258"/>
      <c r="N4" s="257"/>
      <c r="O4" s="257"/>
      <c r="P4" s="257"/>
      <c r="Q4" s="257"/>
      <c r="R4" s="257"/>
      <c r="S4" s="248" t="s">
        <v>789</v>
      </c>
    </row>
    <row r="5" spans="1:31" ht="15.75">
      <c r="A5" s="263"/>
      <c r="B5" s="800"/>
      <c r="C5" s="830"/>
      <c r="D5" s="261" t="s">
        <v>75</v>
      </c>
      <c r="E5" s="264" t="s">
        <v>766</v>
      </c>
      <c r="F5" s="265">
        <v>0</v>
      </c>
      <c r="G5" s="266">
        <f>fr</f>
        <v>1100</v>
      </c>
      <c r="H5" s="266">
        <f>G5*F5</f>
        <v>0</v>
      </c>
      <c r="I5" s="831" t="s">
        <v>790</v>
      </c>
      <c r="J5" s="268" t="s">
        <v>28</v>
      </c>
      <c r="K5" s="269">
        <v>530</v>
      </c>
      <c r="L5" s="270">
        <f>ms_sheet</f>
        <v>278.83999999999997</v>
      </c>
      <c r="M5" s="270">
        <f>L5*K5/40</f>
        <v>3694.6299999999997</v>
      </c>
      <c r="N5" s="823"/>
      <c r="O5" s="823"/>
      <c r="P5" s="824"/>
      <c r="Q5" s="825"/>
      <c r="R5" s="826"/>
      <c r="S5" s="248" t="s">
        <v>791</v>
      </c>
    </row>
    <row r="6" spans="1:31" ht="30" customHeight="1">
      <c r="A6" s="263"/>
      <c r="B6" s="800"/>
      <c r="C6" s="264" t="s">
        <v>127</v>
      </c>
      <c r="D6" s="261" t="s">
        <v>768</v>
      </c>
      <c r="E6" s="264" t="s">
        <v>766</v>
      </c>
      <c r="F6" s="265">
        <v>3</v>
      </c>
      <c r="G6" s="266">
        <f>ur</f>
        <v>850</v>
      </c>
      <c r="H6" s="266">
        <f>G6*F6</f>
        <v>2550</v>
      </c>
      <c r="I6" s="831"/>
      <c r="J6" s="277"/>
      <c r="K6" s="278"/>
      <c r="L6" s="279"/>
      <c r="M6" s="279"/>
      <c r="N6" s="823"/>
      <c r="O6" s="823"/>
      <c r="P6" s="824"/>
      <c r="Q6" s="825"/>
      <c r="R6" s="826"/>
      <c r="S6" s="248"/>
    </row>
    <row r="7" spans="1:31" ht="27">
      <c r="A7" s="263"/>
      <c r="B7" s="800"/>
      <c r="C7" s="264"/>
      <c r="D7" s="261" t="s">
        <v>747</v>
      </c>
      <c r="E7" s="264" t="s">
        <v>766</v>
      </c>
      <c r="F7" s="265">
        <v>2.5</v>
      </c>
      <c r="G7" s="266">
        <f>sr</f>
        <v>1100</v>
      </c>
      <c r="H7" s="266">
        <f>F7*G7</f>
        <v>2750</v>
      </c>
      <c r="I7" s="345" t="s">
        <v>792</v>
      </c>
      <c r="J7" s="346" t="s">
        <v>285</v>
      </c>
      <c r="K7" s="347">
        <v>178</v>
      </c>
      <c r="L7" s="348">
        <f>Nuts_Bolts</f>
        <v>274.48</v>
      </c>
      <c r="M7" s="349">
        <f>L7*K7/30</f>
        <v>1628.5813333333333</v>
      </c>
      <c r="N7" s="276" t="s">
        <v>793</v>
      </c>
      <c r="O7" s="276"/>
      <c r="P7" s="295"/>
      <c r="Q7" s="268"/>
      <c r="R7" s="357">
        <f>H6*3%</f>
        <v>76.5</v>
      </c>
      <c r="S7" s="248" t="s">
        <v>794</v>
      </c>
    </row>
    <row r="8" spans="1:31" ht="15.75">
      <c r="A8" s="263"/>
      <c r="B8" s="800"/>
      <c r="C8" s="264"/>
      <c r="D8" s="261"/>
      <c r="E8" s="264"/>
      <c r="F8" s="266"/>
      <c r="G8" s="266"/>
      <c r="H8" s="266"/>
      <c r="I8" s="272"/>
      <c r="J8" s="284"/>
      <c r="K8" s="285"/>
      <c r="L8" s="286"/>
      <c r="M8" s="287"/>
      <c r="N8" s="276"/>
      <c r="O8" s="272"/>
      <c r="P8" s="288"/>
      <c r="Q8" s="289"/>
      <c r="R8" s="283"/>
      <c r="S8" s="248"/>
    </row>
    <row r="9" spans="1:31" ht="15.75">
      <c r="A9" s="263"/>
      <c r="B9" s="284"/>
      <c r="C9" s="264"/>
      <c r="D9" s="261"/>
      <c r="E9" s="264"/>
      <c r="F9" s="266"/>
      <c r="G9" s="266"/>
      <c r="H9" s="266"/>
      <c r="I9" s="264"/>
      <c r="J9" s="264"/>
      <c r="K9" s="290"/>
      <c r="L9" s="279"/>
      <c r="M9" s="280"/>
      <c r="N9" s="276"/>
      <c r="O9" s="272"/>
      <c r="P9" s="273"/>
      <c r="Q9" s="291"/>
      <c r="R9" s="274"/>
      <c r="S9" s="248"/>
      <c r="T9" s="292" t="s">
        <v>772</v>
      </c>
      <c r="U9" s="293"/>
      <c r="V9" s="292" t="s">
        <v>773</v>
      </c>
      <c r="W9" s="293"/>
      <c r="X9" s="292" t="s">
        <v>774</v>
      </c>
      <c r="Y9" s="293"/>
      <c r="Z9" s="292" t="s">
        <v>14</v>
      </c>
      <c r="AA9" s="293"/>
      <c r="AB9" s="293"/>
      <c r="AC9" s="292" t="s">
        <v>775</v>
      </c>
      <c r="AD9" s="293"/>
      <c r="AE9" s="248"/>
    </row>
    <row r="10" spans="1:31" ht="15.75">
      <c r="A10" s="263"/>
      <c r="B10" s="284"/>
      <c r="C10" s="264"/>
      <c r="D10" s="261"/>
      <c r="E10" s="264"/>
      <c r="F10" s="266"/>
      <c r="G10" s="266"/>
      <c r="H10" s="266"/>
      <c r="I10" s="264"/>
      <c r="J10" s="264"/>
      <c r="K10" s="290"/>
      <c r="L10" s="279"/>
      <c r="M10" s="280"/>
      <c r="N10" s="276"/>
      <c r="O10" s="283"/>
      <c r="P10" s="295"/>
      <c r="Q10" s="268"/>
      <c r="R10" s="274"/>
      <c r="S10" s="248"/>
      <c r="T10" s="296" t="s">
        <v>777</v>
      </c>
      <c r="U10" s="296" t="s">
        <v>778</v>
      </c>
      <c r="V10" s="296" t="s">
        <v>777</v>
      </c>
      <c r="W10" s="296" t="s">
        <v>778</v>
      </c>
      <c r="X10" s="296" t="s">
        <v>777</v>
      </c>
      <c r="Y10" s="296" t="s">
        <v>778</v>
      </c>
      <c r="Z10" s="296" t="s">
        <v>779</v>
      </c>
      <c r="AA10" s="297" t="s">
        <v>778</v>
      </c>
      <c r="AB10" s="298" t="s">
        <v>14</v>
      </c>
      <c r="AC10" s="296" t="s">
        <v>779</v>
      </c>
      <c r="AD10" s="297" t="s">
        <v>778</v>
      </c>
      <c r="AE10" s="248"/>
    </row>
    <row r="11" spans="1:31" ht="15.75">
      <c r="A11" s="263"/>
      <c r="B11" s="299"/>
      <c r="C11" s="264"/>
      <c r="D11" s="300"/>
      <c r="E11" s="301"/>
      <c r="F11" s="255" t="s">
        <v>780</v>
      </c>
      <c r="G11" s="255"/>
      <c r="H11" s="302">
        <f>SUM(H4:H10)</f>
        <v>5300</v>
      </c>
      <c r="I11" s="827" t="s">
        <v>781</v>
      </c>
      <c r="J11" s="828"/>
      <c r="K11" s="303"/>
      <c r="L11" s="304"/>
      <c r="M11" s="305">
        <f>SUM(M4:M10)</f>
        <v>5323.2113333333327</v>
      </c>
      <c r="N11" s="306"/>
      <c r="O11" s="303"/>
      <c r="P11" s="303" t="s">
        <v>782</v>
      </c>
      <c r="Q11" s="303"/>
      <c r="R11" s="307">
        <f>SUM(R4:R10)</f>
        <v>76.5</v>
      </c>
      <c r="S11" s="248"/>
      <c r="T11" s="308">
        <f>H11</f>
        <v>5300</v>
      </c>
      <c r="U11" s="308">
        <f>H11-T11</f>
        <v>0</v>
      </c>
      <c r="V11" s="309">
        <f>M11-W11</f>
        <v>2129.284533333333</v>
      </c>
      <c r="W11" s="308">
        <f>M11*60%</f>
        <v>3193.9267999999997</v>
      </c>
      <c r="X11" s="308">
        <f>R11-Y11</f>
        <v>0</v>
      </c>
      <c r="Y11" s="308">
        <f>R11</f>
        <v>76.5</v>
      </c>
      <c r="Z11" s="308">
        <f>T11+V11+X11</f>
        <v>7429.2845333333335</v>
      </c>
      <c r="AA11" s="308">
        <f>Y11+W11+U11</f>
        <v>3270.4267999999997</v>
      </c>
      <c r="AB11" s="308">
        <f>AA11+Z11</f>
        <v>10699.711333333333</v>
      </c>
      <c r="AC11" s="310"/>
      <c r="AD11" s="310"/>
      <c r="AE11" s="248"/>
    </row>
    <row r="12" spans="1:31" ht="15.75">
      <c r="A12" s="263"/>
      <c r="B12" s="311" t="s">
        <v>13</v>
      </c>
      <c r="C12" s="303"/>
      <c r="D12" s="303"/>
      <c r="E12" s="303"/>
      <c r="F12" s="312"/>
      <c r="G12" s="304"/>
      <c r="H12" s="558">
        <f>M11+R11+H11</f>
        <v>10699.711333333333</v>
      </c>
      <c r="I12" s="306"/>
      <c r="J12" s="303"/>
      <c r="K12" s="303"/>
      <c r="L12" s="304"/>
      <c r="M12" s="305"/>
      <c r="N12" s="303"/>
      <c r="O12" s="303"/>
      <c r="P12" s="303"/>
      <c r="Q12" s="303"/>
      <c r="R12" s="314"/>
      <c r="S12" s="248"/>
      <c r="T12" s="308">
        <f t="shared" ref="T12:Y12" si="0">T11*1.15/$C4</f>
        <v>609.49999999999989</v>
      </c>
      <c r="U12" s="308">
        <f t="shared" si="0"/>
        <v>0</v>
      </c>
      <c r="V12" s="308">
        <f t="shared" si="0"/>
        <v>244.86772133333329</v>
      </c>
      <c r="W12" s="308">
        <f t="shared" si="0"/>
        <v>367.30158199999994</v>
      </c>
      <c r="X12" s="308">
        <f t="shared" si="0"/>
        <v>0</v>
      </c>
      <c r="Y12" s="308">
        <f t="shared" si="0"/>
        <v>8.7974999999999994</v>
      </c>
      <c r="Z12" s="315">
        <f>T12+V12+X12</f>
        <v>854.36772133333318</v>
      </c>
      <c r="AA12" s="315">
        <f>Y12+W12+U12</f>
        <v>376.09908199999995</v>
      </c>
      <c r="AB12" s="315">
        <f>AA12+Z12</f>
        <v>1230.4668033333332</v>
      </c>
      <c r="AC12" s="308">
        <f>ROUND(Z12/AB12%,2)</f>
        <v>69.430000000000007</v>
      </c>
      <c r="AD12" s="308">
        <f>ROUND(AA12/AB12%,2)</f>
        <v>30.57</v>
      </c>
      <c r="AE12" s="275">
        <f>AB12-H16</f>
        <v>-121.90000000000009</v>
      </c>
    </row>
    <row r="13" spans="1:31" ht="16.5">
      <c r="A13" s="263"/>
      <c r="B13" s="11" t="s">
        <v>25</v>
      </c>
      <c r="C13" s="4" t="s">
        <v>647</v>
      </c>
      <c r="D13" s="261"/>
      <c r="E13" s="261"/>
      <c r="F13" s="317"/>
      <c r="G13" s="318"/>
      <c r="H13" s="559">
        <f>20%*H11</f>
        <v>1060</v>
      </c>
      <c r="I13" s="319"/>
      <c r="J13" s="261"/>
      <c r="K13" s="261"/>
      <c r="L13" s="318"/>
      <c r="M13" s="320"/>
      <c r="N13" s="261"/>
      <c r="O13" s="303"/>
      <c r="P13" s="303"/>
      <c r="Q13" s="261"/>
      <c r="R13" s="321"/>
      <c r="S13" s="248"/>
      <c r="T13" s="450"/>
      <c r="U13" s="450"/>
      <c r="V13" s="450"/>
      <c r="W13" s="450"/>
      <c r="X13" s="450"/>
      <c r="Y13" s="450"/>
      <c r="Z13" s="451"/>
      <c r="AA13" s="451"/>
      <c r="AB13" s="451"/>
      <c r="AC13" s="450"/>
      <c r="AD13" s="450"/>
      <c r="AE13" s="275"/>
    </row>
    <row r="14" spans="1:31" ht="16.5">
      <c r="A14" s="263"/>
      <c r="B14" s="311" t="s">
        <v>14</v>
      </c>
      <c r="C14" s="261"/>
      <c r="D14" s="261"/>
      <c r="E14" s="261"/>
      <c r="F14" s="317"/>
      <c r="G14" s="318"/>
      <c r="H14" s="265">
        <f>SUM(H12:H13)</f>
        <v>11759.711333333333</v>
      </c>
      <c r="I14" s="319"/>
      <c r="J14" s="261"/>
      <c r="K14" s="261"/>
      <c r="L14" s="318"/>
      <c r="M14" s="320"/>
      <c r="N14" s="248"/>
      <c r="O14" s="149" t="s">
        <v>460</v>
      </c>
      <c r="P14" s="150">
        <f>CEILING(SUM(M5,M7,R7)/H12,0.0025)</f>
        <v>0.505</v>
      </c>
      <c r="Q14" s="261"/>
      <c r="R14" s="321"/>
      <c r="S14" s="248"/>
      <c r="V14" s="316">
        <f>V12/($V12+$W12)%</f>
        <v>40</v>
      </c>
      <c r="W14" s="316">
        <f>W12/($V12+$W12)%</f>
        <v>60</v>
      </c>
      <c r="AE14" s="248"/>
    </row>
    <row r="15" spans="1:31" ht="15.75">
      <c r="A15" s="263"/>
      <c r="B15" s="311" t="s">
        <v>24</v>
      </c>
      <c r="C15" s="261"/>
      <c r="D15" s="261"/>
      <c r="E15" s="261"/>
      <c r="F15" s="317"/>
      <c r="G15" s="318"/>
      <c r="H15" s="265">
        <f>H14*15%</f>
        <v>1763.9567</v>
      </c>
      <c r="I15" s="319"/>
      <c r="J15" s="261"/>
      <c r="K15" s="261"/>
      <c r="L15" s="318"/>
      <c r="M15" s="318"/>
      <c r="N15" s="261"/>
      <c r="O15" s="261"/>
      <c r="P15" s="261"/>
      <c r="Q15" s="261"/>
      <c r="R15" s="321"/>
      <c r="S15" s="248"/>
    </row>
    <row r="16" spans="1:31" ht="15.75">
      <c r="A16" s="322"/>
      <c r="B16" s="323" t="s">
        <v>15</v>
      </c>
      <c r="C16" s="324"/>
      <c r="D16" s="324"/>
      <c r="E16" s="324"/>
      <c r="F16" s="325"/>
      <c r="G16" s="326" t="s">
        <v>16</v>
      </c>
      <c r="H16" s="350">
        <f>(H15+H14)/C4</f>
        <v>1352.3668033333333</v>
      </c>
      <c r="I16" s="328" t="s">
        <v>17</v>
      </c>
      <c r="J16" s="329">
        <v>13.096575339476239</v>
      </c>
      <c r="K16" s="330"/>
      <c r="L16" s="331"/>
      <c r="M16" s="332" t="s">
        <v>783</v>
      </c>
      <c r="N16" s="333">
        <f>ROUND(H16*100%,2)</f>
        <v>1352.37</v>
      </c>
      <c r="O16" s="334"/>
      <c r="P16" s="334"/>
      <c r="Q16" s="334" t="s">
        <v>784</v>
      </c>
      <c r="R16" s="335">
        <f>ROUND(H16-N16,2)</f>
        <v>0</v>
      </c>
      <c r="S16" s="248"/>
      <c r="U16" s="351">
        <f>T12/$AB12%</f>
        <v>49.534046619450848</v>
      </c>
      <c r="V16" s="351">
        <f>(V12+W12)/$AB12%</f>
        <v>49.750980820853293</v>
      </c>
      <c r="W16" s="351">
        <f>Y12/AB12%</f>
        <v>0.71497255969584728</v>
      </c>
    </row>
    <row r="18" spans="1:19" ht="15.75">
      <c r="A18" s="805" t="s">
        <v>0</v>
      </c>
      <c r="B18" s="807" t="s">
        <v>1</v>
      </c>
      <c r="C18" s="807" t="s">
        <v>2</v>
      </c>
      <c r="D18" s="810" t="s">
        <v>3</v>
      </c>
      <c r="E18" s="804"/>
      <c r="F18" s="804"/>
      <c r="G18" s="804"/>
      <c r="H18" s="804"/>
      <c r="I18" s="811" t="s">
        <v>4</v>
      </c>
      <c r="J18" s="812"/>
      <c r="K18" s="812"/>
      <c r="L18" s="812"/>
      <c r="M18" s="812"/>
      <c r="N18" s="804" t="s">
        <v>5</v>
      </c>
      <c r="O18" s="804"/>
      <c r="P18" s="804"/>
      <c r="Q18" s="804"/>
      <c r="R18" s="804"/>
    </row>
    <row r="19" spans="1:19" ht="15.75">
      <c r="A19" s="806"/>
      <c r="B19" s="808"/>
      <c r="C19" s="809"/>
      <c r="D19" s="256" t="s">
        <v>6</v>
      </c>
      <c r="E19" s="257" t="s">
        <v>2</v>
      </c>
      <c r="F19" s="258" t="s">
        <v>7</v>
      </c>
      <c r="G19" s="258" t="s">
        <v>8</v>
      </c>
      <c r="H19" s="258" t="s">
        <v>9</v>
      </c>
      <c r="I19" s="259" t="s">
        <v>10</v>
      </c>
      <c r="J19" s="259" t="s">
        <v>2</v>
      </c>
      <c r="K19" s="259" t="s">
        <v>7</v>
      </c>
      <c r="L19" s="253" t="s">
        <v>8</v>
      </c>
      <c r="M19" s="254" t="s">
        <v>9</v>
      </c>
      <c r="N19" s="259" t="s">
        <v>10</v>
      </c>
      <c r="O19" s="259" t="s">
        <v>2</v>
      </c>
      <c r="P19" s="259" t="s">
        <v>7</v>
      </c>
      <c r="Q19" s="259" t="s">
        <v>8</v>
      </c>
      <c r="R19" s="259" t="s">
        <v>9</v>
      </c>
    </row>
    <row r="20" spans="1:19" ht="15.75">
      <c r="A20" s="260">
        <v>1</v>
      </c>
      <c r="B20" s="799" t="s">
        <v>841</v>
      </c>
      <c r="C20" s="829">
        <v>10</v>
      </c>
      <c r="D20" s="261"/>
      <c r="E20" s="257"/>
      <c r="F20" s="262"/>
      <c r="G20" s="258"/>
      <c r="H20" s="258"/>
      <c r="I20" s="257"/>
      <c r="J20" s="257"/>
      <c r="K20" s="257"/>
      <c r="L20" s="258"/>
      <c r="M20" s="258"/>
      <c r="N20" s="257"/>
      <c r="O20" s="257"/>
      <c r="P20" s="257"/>
      <c r="Q20" s="257"/>
      <c r="R20" s="257"/>
    </row>
    <row r="21" spans="1:19" ht="15.75">
      <c r="A21" s="263"/>
      <c r="B21" s="800"/>
      <c r="C21" s="830"/>
      <c r="D21" s="261"/>
      <c r="E21" s="264"/>
      <c r="F21" s="265"/>
      <c r="G21" s="266"/>
      <c r="H21" s="266"/>
      <c r="I21" s="831" t="s">
        <v>790</v>
      </c>
      <c r="J21" s="268" t="s">
        <v>28</v>
      </c>
      <c r="K21" s="269">
        <v>530</v>
      </c>
      <c r="L21" s="270">
        <f>ms_sheet</f>
        <v>278.83999999999997</v>
      </c>
      <c r="M21" s="270">
        <f>L21*K21/60</f>
        <v>2463.0866666666666</v>
      </c>
      <c r="N21" s="823"/>
      <c r="O21" s="823"/>
      <c r="P21" s="824"/>
      <c r="Q21" s="825"/>
      <c r="R21" s="826"/>
      <c r="S21" s="248" t="s">
        <v>795</v>
      </c>
    </row>
    <row r="22" spans="1:19" ht="23.25" customHeight="1">
      <c r="A22" s="263"/>
      <c r="B22" s="800"/>
      <c r="C22" s="264" t="s">
        <v>127</v>
      </c>
      <c r="D22" s="261" t="s">
        <v>768</v>
      </c>
      <c r="E22" s="264" t="s">
        <v>766</v>
      </c>
      <c r="F22" s="265">
        <v>3</v>
      </c>
      <c r="G22" s="266">
        <f>ur</f>
        <v>850</v>
      </c>
      <c r="H22" s="266">
        <f>ur</f>
        <v>850</v>
      </c>
      <c r="I22" s="831"/>
      <c r="J22" s="277"/>
      <c r="K22" s="278"/>
      <c r="L22" s="279"/>
      <c r="M22" s="279"/>
      <c r="N22" s="823"/>
      <c r="O22" s="823"/>
      <c r="P22" s="824"/>
      <c r="Q22" s="825"/>
      <c r="R22" s="826"/>
    </row>
    <row r="23" spans="1:19" ht="15.75">
      <c r="A23" s="263"/>
      <c r="B23" s="800"/>
      <c r="C23" s="264"/>
      <c r="D23" s="261" t="s">
        <v>747</v>
      </c>
      <c r="E23" s="264" t="s">
        <v>766</v>
      </c>
      <c r="F23" s="265">
        <v>2</v>
      </c>
      <c r="G23" s="266">
        <f>sr</f>
        <v>1100</v>
      </c>
      <c r="H23" s="266">
        <f>sr</f>
        <v>1100</v>
      </c>
      <c r="I23" s="345" t="s">
        <v>792</v>
      </c>
      <c r="J23" s="346" t="s">
        <v>285</v>
      </c>
      <c r="K23" s="347">
        <v>178</v>
      </c>
      <c r="L23" s="348">
        <f>Nuts_Bolts</f>
        <v>274.48</v>
      </c>
      <c r="M23" s="349">
        <f>L23*K23/40</f>
        <v>1221.4360000000001</v>
      </c>
      <c r="N23" s="276"/>
      <c r="O23" s="276"/>
      <c r="P23" s="295"/>
      <c r="Q23" s="268"/>
      <c r="R23" s="274"/>
      <c r="S23" s="248" t="s">
        <v>796</v>
      </c>
    </row>
    <row r="24" spans="1:19" ht="27">
      <c r="A24" s="263"/>
      <c r="B24" s="800"/>
      <c r="C24" s="264"/>
      <c r="D24" s="261"/>
      <c r="E24" s="264"/>
      <c r="F24" s="266"/>
      <c r="G24" s="266"/>
      <c r="H24" s="266"/>
      <c r="I24" s="272" t="s">
        <v>797</v>
      </c>
      <c r="J24" s="284" t="s">
        <v>65</v>
      </c>
      <c r="K24" s="285">
        <v>105</v>
      </c>
      <c r="L24" s="286">
        <f>ms_pipe</f>
        <v>381.1</v>
      </c>
      <c r="M24" s="349">
        <f>L24*K24/90</f>
        <v>444.61666666666667</v>
      </c>
      <c r="N24" s="276"/>
      <c r="O24" s="272"/>
      <c r="P24" s="288"/>
      <c r="Q24" s="289"/>
      <c r="R24" s="283"/>
      <c r="S24" s="248" t="s">
        <v>798</v>
      </c>
    </row>
    <row r="25" spans="1:19" ht="15.75">
      <c r="A25" s="263"/>
      <c r="B25" s="284"/>
      <c r="C25" s="264"/>
      <c r="D25" s="261"/>
      <c r="E25" s="264"/>
      <c r="F25" s="266"/>
      <c r="G25" s="266"/>
      <c r="H25" s="266"/>
      <c r="I25" s="264" t="s">
        <v>799</v>
      </c>
      <c r="J25" s="264" t="s">
        <v>800</v>
      </c>
      <c r="K25" s="290">
        <v>60</v>
      </c>
      <c r="L25" s="279">
        <f>Clamps</f>
        <v>3248.94</v>
      </c>
      <c r="M25" s="349">
        <f>L25*K25/60</f>
        <v>3248.94</v>
      </c>
      <c r="N25" s="276"/>
      <c r="O25" s="272"/>
      <c r="P25" s="273"/>
      <c r="Q25" s="291"/>
      <c r="R25" s="274"/>
      <c r="S25" s="248" t="s">
        <v>801</v>
      </c>
    </row>
    <row r="26" spans="1:19" ht="15.75">
      <c r="A26" s="263"/>
      <c r="B26" s="284"/>
      <c r="C26" s="264"/>
      <c r="D26" s="261"/>
      <c r="E26" s="264"/>
      <c r="F26" s="266"/>
      <c r="G26" s="266"/>
      <c r="H26" s="266"/>
      <c r="I26" s="264"/>
      <c r="J26" s="264"/>
      <c r="K26" s="290"/>
      <c r="L26" s="279"/>
      <c r="M26" s="280"/>
      <c r="N26" s="276"/>
      <c r="O26" s="283"/>
      <c r="P26" s="295"/>
      <c r="Q26" s="268"/>
      <c r="R26" s="274"/>
    </row>
    <row r="27" spans="1:19" ht="15.75">
      <c r="A27" s="263"/>
      <c r="B27" s="299"/>
      <c r="C27" s="264"/>
      <c r="D27" s="300"/>
      <c r="E27" s="301"/>
      <c r="F27" s="255" t="s">
        <v>780</v>
      </c>
      <c r="G27" s="255"/>
      <c r="H27" s="302">
        <f>SUM(H20:H26)</f>
        <v>1950</v>
      </c>
      <c r="I27" s="827" t="s">
        <v>781</v>
      </c>
      <c r="J27" s="828"/>
      <c r="K27" s="303"/>
      <c r="L27" s="304"/>
      <c r="M27" s="305">
        <f>SUM(M20:M26)</f>
        <v>7378.0793333333331</v>
      </c>
      <c r="N27" s="306"/>
      <c r="O27" s="303"/>
      <c r="P27" s="303" t="s">
        <v>782</v>
      </c>
      <c r="Q27" s="303"/>
      <c r="R27" s="307">
        <f>SUM(R20:R26)</f>
        <v>0</v>
      </c>
    </row>
    <row r="28" spans="1:19" ht="15.75">
      <c r="A28" s="263"/>
      <c r="B28" s="311" t="s">
        <v>13</v>
      </c>
      <c r="C28" s="303"/>
      <c r="D28" s="303"/>
      <c r="E28" s="303"/>
      <c r="F28" s="312"/>
      <c r="G28" s="304"/>
      <c r="H28" s="313">
        <f>M27+R27+H27</f>
        <v>9328.0793333333331</v>
      </c>
      <c r="I28" s="306"/>
      <c r="J28" s="303"/>
      <c r="K28" s="303"/>
      <c r="L28" s="304"/>
      <c r="M28" s="305"/>
      <c r="N28" s="303"/>
      <c r="O28" s="303"/>
      <c r="P28" s="303"/>
      <c r="Q28" s="303"/>
      <c r="R28" s="314"/>
    </row>
    <row r="29" spans="1:19" ht="16.5">
      <c r="A29" s="263"/>
      <c r="B29" s="11" t="s">
        <v>25</v>
      </c>
      <c r="C29" s="4" t="s">
        <v>647</v>
      </c>
      <c r="D29" s="261"/>
      <c r="E29" s="261"/>
      <c r="F29" s="317"/>
      <c r="G29" s="318"/>
      <c r="H29" s="559">
        <f>20%*H27</f>
        <v>390</v>
      </c>
      <c r="I29" s="319"/>
      <c r="J29" s="261"/>
      <c r="K29" s="261"/>
      <c r="L29" s="318"/>
      <c r="M29" s="320"/>
      <c r="N29" s="261"/>
      <c r="O29" s="303"/>
      <c r="P29" s="303"/>
      <c r="Q29" s="261"/>
      <c r="R29" s="321"/>
    </row>
    <row r="30" spans="1:19" ht="16.5">
      <c r="A30" s="263"/>
      <c r="B30" s="311" t="s">
        <v>14</v>
      </c>
      <c r="C30" s="261"/>
      <c r="D30" s="261"/>
      <c r="E30" s="261"/>
      <c r="F30" s="317"/>
      <c r="G30" s="318"/>
      <c r="H30" s="265">
        <f>SUM(H28:H29)</f>
        <v>9718.0793333333331</v>
      </c>
      <c r="I30" s="319"/>
      <c r="J30" s="261"/>
      <c r="K30" s="261"/>
      <c r="L30" s="318"/>
      <c r="M30" s="320"/>
      <c r="N30" s="248"/>
      <c r="O30" s="149" t="s">
        <v>460</v>
      </c>
      <c r="P30" s="150">
        <f>CEILING(SUM(M21,M23,M24,M25)/H28,0.0025)</f>
        <v>0.79249999999999998</v>
      </c>
      <c r="Q30" s="261"/>
      <c r="R30" s="321"/>
    </row>
    <row r="31" spans="1:19" ht="15.75">
      <c r="A31" s="263"/>
      <c r="B31" s="311" t="s">
        <v>24</v>
      </c>
      <c r="C31" s="261"/>
      <c r="D31" s="261"/>
      <c r="E31" s="261"/>
      <c r="F31" s="317"/>
      <c r="G31" s="318"/>
      <c r="H31" s="265">
        <f>H30*15%</f>
        <v>1457.7119</v>
      </c>
      <c r="I31" s="319"/>
      <c r="J31" s="261"/>
      <c r="K31" s="261"/>
      <c r="L31" s="318"/>
      <c r="M31" s="318"/>
      <c r="N31" s="261"/>
      <c r="O31" s="261"/>
      <c r="P31" s="261"/>
      <c r="Q31" s="261"/>
      <c r="R31" s="321"/>
    </row>
    <row r="32" spans="1:19" ht="15.75">
      <c r="A32" s="322"/>
      <c r="B32" s="323" t="s">
        <v>15</v>
      </c>
      <c r="C32" s="324"/>
      <c r="D32" s="324"/>
      <c r="E32" s="324"/>
      <c r="F32" s="325"/>
      <c r="G32" s="326" t="s">
        <v>16</v>
      </c>
      <c r="H32" s="350">
        <f>(H31+H30)/C20</f>
        <v>1117.5791233333334</v>
      </c>
      <c r="I32" s="328" t="s">
        <v>17</v>
      </c>
      <c r="J32" s="329">
        <v>10.814198448108634</v>
      </c>
      <c r="K32" s="330"/>
      <c r="L32" s="331"/>
      <c r="M32" s="332" t="s">
        <v>783</v>
      </c>
      <c r="N32" s="333">
        <f>ROUND(H32*100%,2)</f>
        <v>1117.58</v>
      </c>
      <c r="O32" s="334"/>
      <c r="P32" s="334"/>
      <c r="Q32" s="334" t="s">
        <v>784</v>
      </c>
      <c r="R32" s="335">
        <f>ROUND(H32-N32,2)</f>
        <v>0</v>
      </c>
    </row>
    <row r="34" spans="1:19" ht="15.75">
      <c r="A34" s="805" t="s">
        <v>0</v>
      </c>
      <c r="B34" s="807" t="s">
        <v>1</v>
      </c>
      <c r="C34" s="807" t="s">
        <v>2</v>
      </c>
      <c r="D34" s="810" t="s">
        <v>3</v>
      </c>
      <c r="E34" s="804"/>
      <c r="F34" s="804"/>
      <c r="G34" s="804"/>
      <c r="H34" s="804"/>
      <c r="I34" s="811" t="s">
        <v>4</v>
      </c>
      <c r="J34" s="812"/>
      <c r="K34" s="812"/>
      <c r="L34" s="812"/>
      <c r="M34" s="812"/>
      <c r="N34" s="804" t="s">
        <v>5</v>
      </c>
      <c r="O34" s="804"/>
      <c r="P34" s="804"/>
      <c r="Q34" s="804"/>
      <c r="R34" s="804"/>
    </row>
    <row r="35" spans="1:19" ht="15.75">
      <c r="A35" s="806"/>
      <c r="B35" s="808"/>
      <c r="C35" s="809"/>
      <c r="D35" s="256" t="s">
        <v>6</v>
      </c>
      <c r="E35" s="257" t="s">
        <v>2</v>
      </c>
      <c r="F35" s="258" t="s">
        <v>7</v>
      </c>
      <c r="G35" s="258" t="s">
        <v>8</v>
      </c>
      <c r="H35" s="258" t="s">
        <v>9</v>
      </c>
      <c r="I35" s="259" t="s">
        <v>10</v>
      </c>
      <c r="J35" s="259" t="s">
        <v>2</v>
      </c>
      <c r="K35" s="259" t="s">
        <v>7</v>
      </c>
      <c r="L35" s="253" t="s">
        <v>8</v>
      </c>
      <c r="M35" s="254" t="s">
        <v>9</v>
      </c>
      <c r="N35" s="259" t="s">
        <v>10</v>
      </c>
      <c r="O35" s="259" t="s">
        <v>2</v>
      </c>
      <c r="P35" s="259" t="s">
        <v>7</v>
      </c>
      <c r="Q35" s="259" t="s">
        <v>8</v>
      </c>
      <c r="R35" s="259" t="s">
        <v>9</v>
      </c>
    </row>
    <row r="36" spans="1:19" ht="15.75">
      <c r="A36" s="260">
        <v>1</v>
      </c>
      <c r="B36" s="799" t="s">
        <v>842</v>
      </c>
      <c r="C36" s="829">
        <v>10</v>
      </c>
      <c r="D36" s="261"/>
      <c r="E36" s="257"/>
      <c r="F36" s="262"/>
      <c r="G36" s="258"/>
      <c r="H36" s="258"/>
      <c r="I36" s="257"/>
      <c r="J36" s="257"/>
      <c r="K36" s="257"/>
      <c r="L36" s="258"/>
      <c r="M36" s="258"/>
      <c r="N36" s="257"/>
      <c r="O36" s="257"/>
      <c r="P36" s="257"/>
      <c r="Q36" s="257"/>
      <c r="R36" s="257"/>
    </row>
    <row r="37" spans="1:19" ht="15.75">
      <c r="A37" s="263"/>
      <c r="B37" s="800"/>
      <c r="C37" s="830"/>
      <c r="D37" s="261"/>
      <c r="E37" s="264"/>
      <c r="F37" s="265"/>
      <c r="G37" s="266"/>
      <c r="H37" s="266"/>
      <c r="I37" s="831" t="s">
        <v>843</v>
      </c>
      <c r="J37" s="268" t="s">
        <v>34</v>
      </c>
      <c r="K37" s="269">
        <v>0.6</v>
      </c>
      <c r="L37" s="270">
        <f>planks</f>
        <v>34635.06</v>
      </c>
      <c r="M37" s="270">
        <f>(L37*K37)/6</f>
        <v>3463.5059999999994</v>
      </c>
      <c r="N37" s="823"/>
      <c r="O37" s="823"/>
      <c r="P37" s="824"/>
      <c r="Q37" s="825"/>
      <c r="R37" s="826"/>
      <c r="S37" t="s">
        <v>845</v>
      </c>
    </row>
    <row r="38" spans="1:19" ht="15.75">
      <c r="A38" s="263"/>
      <c r="B38" s="800"/>
      <c r="C38" s="264" t="s">
        <v>127</v>
      </c>
      <c r="D38" s="261" t="s">
        <v>768</v>
      </c>
      <c r="E38" s="264" t="s">
        <v>766</v>
      </c>
      <c r="F38" s="265">
        <v>3</v>
      </c>
      <c r="G38" s="266">
        <f>G22</f>
        <v>850</v>
      </c>
      <c r="H38" s="266">
        <f>ur</f>
        <v>850</v>
      </c>
      <c r="I38" s="831"/>
      <c r="J38" s="277"/>
      <c r="K38" s="278"/>
      <c r="L38" s="279"/>
      <c r="M38" s="279"/>
      <c r="N38" s="823"/>
      <c r="O38" s="823"/>
      <c r="P38" s="824"/>
      <c r="Q38" s="825"/>
      <c r="R38" s="826"/>
    </row>
    <row r="39" spans="1:19" ht="16.5">
      <c r="A39" s="263"/>
      <c r="B39" s="800"/>
      <c r="C39" s="264"/>
      <c r="D39" s="261" t="s">
        <v>747</v>
      </c>
      <c r="E39" s="264" t="s">
        <v>766</v>
      </c>
      <c r="F39" s="265">
        <v>3</v>
      </c>
      <c r="G39" s="266">
        <f>G23</f>
        <v>1100</v>
      </c>
      <c r="H39" s="266">
        <f>sr</f>
        <v>1100</v>
      </c>
      <c r="I39" s="345" t="s">
        <v>844</v>
      </c>
      <c r="J39" s="346" t="s">
        <v>34</v>
      </c>
      <c r="K39" s="347">
        <v>0.22</v>
      </c>
      <c r="L39" s="154">
        <f>AVERAGE(timber,planks)</f>
        <v>64135.06</v>
      </c>
      <c r="M39" s="349">
        <f>(L39*K39)/8</f>
        <v>1763.71415</v>
      </c>
      <c r="N39" s="276"/>
      <c r="O39" s="276"/>
      <c r="P39" s="295"/>
      <c r="Q39" s="268"/>
      <c r="R39" s="274"/>
      <c r="S39" t="s">
        <v>846</v>
      </c>
    </row>
    <row r="40" spans="1:19" ht="15.75">
      <c r="A40" s="263"/>
      <c r="B40" s="800"/>
      <c r="C40" s="264"/>
      <c r="D40" s="261"/>
      <c r="E40" s="264"/>
      <c r="F40" s="266"/>
      <c r="G40" s="266"/>
      <c r="H40" s="266"/>
      <c r="I40" s="272" t="s">
        <v>232</v>
      </c>
      <c r="J40" s="284" t="s">
        <v>28</v>
      </c>
      <c r="K40" s="285">
        <v>4</v>
      </c>
      <c r="L40" s="286">
        <f>nails/1000</f>
        <v>124.14419000000001</v>
      </c>
      <c r="M40" s="349">
        <f>(L40*K40)/90</f>
        <v>5.5175195555555563</v>
      </c>
      <c r="N40" s="276"/>
      <c r="O40" s="272"/>
      <c r="P40" s="288"/>
      <c r="Q40" s="289"/>
      <c r="R40" s="283"/>
    </row>
    <row r="41" spans="1:19" ht="15.75">
      <c r="A41" s="263"/>
      <c r="B41" s="284"/>
      <c r="C41" s="264"/>
      <c r="D41" s="261"/>
      <c r="E41" s="264"/>
      <c r="F41" s="266"/>
      <c r="G41" s="266"/>
      <c r="H41" s="266"/>
      <c r="I41" s="264"/>
      <c r="J41" s="264"/>
      <c r="K41" s="290"/>
      <c r="L41" s="279"/>
      <c r="M41" s="349"/>
      <c r="N41" s="276"/>
      <c r="O41" s="272"/>
      <c r="P41" s="273"/>
      <c r="Q41" s="291"/>
      <c r="R41" s="274"/>
    </row>
    <row r="42" spans="1:19" ht="15.75">
      <c r="A42" s="263"/>
      <c r="B42" s="284"/>
      <c r="C42" s="264"/>
      <c r="D42" s="261"/>
      <c r="E42" s="264"/>
      <c r="F42" s="266"/>
      <c r="G42" s="266"/>
      <c r="H42" s="266"/>
      <c r="I42" s="264"/>
      <c r="J42" s="264"/>
      <c r="K42" s="290"/>
      <c r="L42" s="279"/>
      <c r="M42" s="280"/>
      <c r="N42" s="276"/>
      <c r="O42" s="283"/>
      <c r="P42" s="295"/>
      <c r="Q42" s="268"/>
      <c r="R42" s="274"/>
    </row>
    <row r="43" spans="1:19" ht="15.75">
      <c r="A43" s="263"/>
      <c r="B43" s="299"/>
      <c r="C43" s="264"/>
      <c r="D43" s="300"/>
      <c r="E43" s="301"/>
      <c r="F43" s="255" t="s">
        <v>780</v>
      </c>
      <c r="G43" s="255"/>
      <c r="H43" s="302">
        <f>SUM(H36:H42)</f>
        <v>1950</v>
      </c>
      <c r="I43" s="827" t="s">
        <v>781</v>
      </c>
      <c r="J43" s="828"/>
      <c r="K43" s="303"/>
      <c r="L43" s="304"/>
      <c r="M43" s="305">
        <f>SUM(M36:M42)</f>
        <v>5232.7376695555549</v>
      </c>
      <c r="N43" s="306"/>
      <c r="O43" s="303"/>
      <c r="P43" s="303" t="s">
        <v>782</v>
      </c>
      <c r="Q43" s="303"/>
      <c r="R43" s="307">
        <f>SUM(R36:R42)</f>
        <v>0</v>
      </c>
    </row>
    <row r="44" spans="1:19" ht="15.75">
      <c r="A44" s="263"/>
      <c r="B44" s="311" t="s">
        <v>13</v>
      </c>
      <c r="C44" s="303"/>
      <c r="D44" s="303"/>
      <c r="E44" s="303"/>
      <c r="F44" s="312"/>
      <c r="G44" s="304"/>
      <c r="H44" s="313">
        <f>M43+R43+H43</f>
        <v>7182.7376695555549</v>
      </c>
      <c r="I44" s="306"/>
      <c r="J44" s="303"/>
      <c r="K44" s="303"/>
      <c r="L44" s="304"/>
      <c r="M44" s="305"/>
      <c r="N44" s="303"/>
      <c r="O44" s="303"/>
      <c r="P44" s="303"/>
      <c r="Q44" s="303"/>
      <c r="R44" s="314"/>
    </row>
    <row r="45" spans="1:19" ht="16.5">
      <c r="A45" s="263"/>
      <c r="B45" s="11" t="s">
        <v>25</v>
      </c>
      <c r="C45" s="4" t="s">
        <v>647</v>
      </c>
      <c r="D45" s="261"/>
      <c r="E45" s="261"/>
      <c r="F45" s="317"/>
      <c r="G45" s="318"/>
      <c r="H45" s="559">
        <f>20%*H43</f>
        <v>390</v>
      </c>
      <c r="I45" s="319"/>
      <c r="J45" s="261"/>
      <c r="K45" s="261"/>
      <c r="L45" s="318"/>
      <c r="M45" s="320"/>
      <c r="N45" s="261"/>
      <c r="O45" s="303"/>
      <c r="P45" s="303"/>
      <c r="Q45" s="261"/>
      <c r="R45" s="321"/>
    </row>
    <row r="46" spans="1:19" ht="16.5">
      <c r="A46" s="263"/>
      <c r="B46" s="311" t="s">
        <v>14</v>
      </c>
      <c r="C46" s="261"/>
      <c r="D46" s="261"/>
      <c r="E46" s="261"/>
      <c r="F46" s="317"/>
      <c r="G46" s="318"/>
      <c r="H46" s="265">
        <f>SUM(H44:H45)</f>
        <v>7572.7376695555549</v>
      </c>
      <c r="I46" s="319"/>
      <c r="J46" s="261"/>
      <c r="K46" s="261"/>
      <c r="L46" s="318"/>
      <c r="M46" s="320"/>
      <c r="N46" s="248"/>
      <c r="O46" s="149" t="s">
        <v>460</v>
      </c>
      <c r="P46" s="150">
        <f>CEILING(SUM(M40,)/H44,0.0025)</f>
        <v>2.5000000000000001E-3</v>
      </c>
      <c r="Q46" s="261"/>
      <c r="R46" s="321"/>
    </row>
    <row r="47" spans="1:19" ht="15.75">
      <c r="A47" s="263"/>
      <c r="B47" s="311" t="s">
        <v>24</v>
      </c>
      <c r="C47" s="261"/>
      <c r="D47" s="261"/>
      <c r="E47" s="261"/>
      <c r="F47" s="317"/>
      <c r="G47" s="318"/>
      <c r="H47" s="265">
        <f>H46*15%</f>
        <v>1135.9106504333331</v>
      </c>
      <c r="I47" s="319"/>
      <c r="J47" s="261"/>
      <c r="K47" s="261"/>
      <c r="L47" s="318"/>
      <c r="M47" s="318"/>
      <c r="N47" s="261"/>
      <c r="O47" s="261"/>
      <c r="P47" s="261"/>
      <c r="Q47" s="261"/>
      <c r="R47" s="321"/>
    </row>
    <row r="48" spans="1:19" ht="15.75">
      <c r="A48" s="322"/>
      <c r="B48" s="323" t="s">
        <v>15</v>
      </c>
      <c r="C48" s="324"/>
      <c r="D48" s="324"/>
      <c r="E48" s="324"/>
      <c r="F48" s="325"/>
      <c r="G48" s="326" t="s">
        <v>16</v>
      </c>
      <c r="H48" s="350">
        <f>(H47+H46)/C36</f>
        <v>870.8648319988888</v>
      </c>
      <c r="I48" s="328" t="s">
        <v>17</v>
      </c>
      <c r="J48" s="329">
        <v>8.3048682844972515</v>
      </c>
      <c r="K48" s="330"/>
      <c r="L48" s="331"/>
      <c r="M48" s="332" t="s">
        <v>783</v>
      </c>
      <c r="N48" s="333">
        <f>ROUND(H48*100%,2)</f>
        <v>870.86</v>
      </c>
      <c r="O48" s="334"/>
      <c r="P48" s="334"/>
      <c r="Q48" s="334" t="s">
        <v>784</v>
      </c>
      <c r="R48" s="335">
        <f>ROUND(H48-N48,2)</f>
        <v>0</v>
      </c>
    </row>
  </sheetData>
  <mergeCells count="45">
    <mergeCell ref="A18:A19"/>
    <mergeCell ref="B18:B19"/>
    <mergeCell ref="C18:C19"/>
    <mergeCell ref="D18:H18"/>
    <mergeCell ref="I18:M18"/>
    <mergeCell ref="N2:R2"/>
    <mergeCell ref="C4:C5"/>
    <mergeCell ref="I5:I6"/>
    <mergeCell ref="Q5:Q6"/>
    <mergeCell ref="R5:R6"/>
    <mergeCell ref="N5:N6"/>
    <mergeCell ref="A2:A3"/>
    <mergeCell ref="B2:B3"/>
    <mergeCell ref="C2:C3"/>
    <mergeCell ref="D2:H2"/>
    <mergeCell ref="I2:M2"/>
    <mergeCell ref="A34:A35"/>
    <mergeCell ref="B34:B35"/>
    <mergeCell ref="C34:C35"/>
    <mergeCell ref="D34:H34"/>
    <mergeCell ref="I34:M34"/>
    <mergeCell ref="Q37:Q38"/>
    <mergeCell ref="R37:R38"/>
    <mergeCell ref="I43:J43"/>
    <mergeCell ref="B36:B40"/>
    <mergeCell ref="C36:C37"/>
    <mergeCell ref="I37:I38"/>
    <mergeCell ref="N37:N38"/>
    <mergeCell ref="O37:O38"/>
    <mergeCell ref="P37:P38"/>
    <mergeCell ref="B4:B8"/>
    <mergeCell ref="N34:R34"/>
    <mergeCell ref="O5:O6"/>
    <mergeCell ref="P5:P6"/>
    <mergeCell ref="I11:J11"/>
    <mergeCell ref="N18:R18"/>
    <mergeCell ref="Q21:Q22"/>
    <mergeCell ref="R21:R22"/>
    <mergeCell ref="I27:J27"/>
    <mergeCell ref="B20:B24"/>
    <mergeCell ref="C20:C21"/>
    <mergeCell ref="I21:I22"/>
    <mergeCell ref="N21:N22"/>
    <mergeCell ref="O21:O22"/>
    <mergeCell ref="P21:P22"/>
  </mergeCell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R125"/>
  <sheetViews>
    <sheetView workbookViewId="0">
      <selection sqref="A1:A2"/>
    </sheetView>
  </sheetViews>
  <sheetFormatPr defaultRowHeight="15"/>
  <cols>
    <col min="1" max="1" width="10.85546875" customWidth="1"/>
    <col min="2" max="2" width="31.42578125" customWidth="1"/>
    <col min="8" max="8" width="10.28515625" customWidth="1"/>
    <col min="9" max="9" width="20.7109375" customWidth="1"/>
    <col min="13" max="13" width="10.5703125" customWidth="1"/>
  </cols>
  <sheetData>
    <row r="1" spans="1:18" ht="16.5">
      <c r="A1" s="693" t="s">
        <v>0</v>
      </c>
      <c r="B1" s="695" t="s">
        <v>1</v>
      </c>
      <c r="C1" s="695" t="s">
        <v>2</v>
      </c>
      <c r="D1" s="697" t="s">
        <v>3</v>
      </c>
      <c r="E1" s="698"/>
      <c r="F1" s="698"/>
      <c r="G1" s="698"/>
      <c r="H1" s="698"/>
      <c r="I1" s="699" t="s">
        <v>4</v>
      </c>
      <c r="J1" s="700"/>
      <c r="K1" s="700"/>
      <c r="L1" s="700"/>
      <c r="M1" s="700"/>
      <c r="N1" s="698" t="s">
        <v>5</v>
      </c>
      <c r="O1" s="698"/>
      <c r="P1" s="698"/>
      <c r="Q1" s="698"/>
      <c r="R1" s="698"/>
    </row>
    <row r="2" spans="1:18" ht="16.5">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 r="A3" s="33" t="s">
        <v>23</v>
      </c>
      <c r="B3" s="73" t="s">
        <v>625</v>
      </c>
      <c r="C3" s="31"/>
      <c r="D3" s="31"/>
      <c r="E3" s="31"/>
      <c r="F3" s="31"/>
      <c r="G3" s="31"/>
      <c r="H3" s="31"/>
      <c r="I3" s="31"/>
      <c r="J3" s="31"/>
      <c r="K3" s="31"/>
      <c r="L3" s="31"/>
      <c r="M3" s="31"/>
      <c r="N3" s="31"/>
      <c r="O3" s="31"/>
      <c r="P3" s="31"/>
      <c r="Q3" s="31"/>
      <c r="R3" s="32"/>
    </row>
    <row r="4" spans="1:18" ht="16.5">
      <c r="A4" s="34">
        <v>1</v>
      </c>
      <c r="B4" s="730" t="s">
        <v>626</v>
      </c>
      <c r="C4" s="546">
        <v>10</v>
      </c>
      <c r="D4" s="87"/>
      <c r="E4" s="8"/>
      <c r="F4" s="88"/>
      <c r="G4" s="28"/>
      <c r="H4" s="28"/>
      <c r="I4" s="8"/>
      <c r="J4" s="8"/>
      <c r="K4" s="88"/>
      <c r="L4" s="28"/>
      <c r="M4" s="28"/>
      <c r="N4" s="8"/>
      <c r="O4" s="8"/>
      <c r="P4" s="88"/>
      <c r="Q4" s="28"/>
      <c r="R4" s="28"/>
    </row>
    <row r="5" spans="1:18" ht="16.5">
      <c r="A5" s="2"/>
      <c r="B5" s="731"/>
      <c r="C5" s="171" t="s">
        <v>127</v>
      </c>
      <c r="D5" s="87" t="s">
        <v>96</v>
      </c>
      <c r="E5" s="8" t="s">
        <v>81</v>
      </c>
      <c r="F5" s="88">
        <v>3.6</v>
      </c>
      <c r="G5" s="28">
        <f>sr</f>
        <v>1100</v>
      </c>
      <c r="H5" s="28">
        <f>F5*G5</f>
        <v>3960</v>
      </c>
      <c r="I5" s="89" t="s">
        <v>234</v>
      </c>
      <c r="J5" s="8" t="s">
        <v>127</v>
      </c>
      <c r="K5" s="88">
        <f>11/6</f>
        <v>1.8333333333333333</v>
      </c>
      <c r="L5" s="28">
        <f>plywood</f>
        <v>420.36</v>
      </c>
      <c r="M5" s="28">
        <f>K5*L5</f>
        <v>770.66</v>
      </c>
      <c r="N5" s="8"/>
      <c r="O5" s="8"/>
      <c r="P5" s="88"/>
      <c r="Q5" s="28"/>
      <c r="R5" s="28"/>
    </row>
    <row r="6" spans="1:18" ht="16.5">
      <c r="A6" s="2"/>
      <c r="B6" s="731"/>
      <c r="C6" s="8"/>
      <c r="D6" s="87" t="s">
        <v>97</v>
      </c>
      <c r="E6" s="8" t="s">
        <v>81</v>
      </c>
      <c r="F6" s="88">
        <v>3.3</v>
      </c>
      <c r="G6" s="28">
        <f>ur</f>
        <v>850</v>
      </c>
      <c r="H6" s="28">
        <f>F6*G6</f>
        <v>2805</v>
      </c>
      <c r="I6" s="89" t="s">
        <v>231</v>
      </c>
      <c r="J6" s="8" t="s">
        <v>11</v>
      </c>
      <c r="K6" s="88">
        <f>0.75/12</f>
        <v>6.25E-2</v>
      </c>
      <c r="L6" s="154">
        <f>AVERAGE(timber,planks)</f>
        <v>64135.06</v>
      </c>
      <c r="M6" s="28">
        <f>K6*L6</f>
        <v>4008.4412499999999</v>
      </c>
      <c r="N6" s="8"/>
      <c r="O6" s="8"/>
      <c r="P6" s="88"/>
      <c r="Q6" s="28"/>
      <c r="R6" s="28"/>
    </row>
    <row r="7" spans="1:18" ht="16.5">
      <c r="A7" s="2"/>
      <c r="B7" s="731"/>
      <c r="C7" s="8"/>
      <c r="D7" s="87"/>
      <c r="E7" s="8"/>
      <c r="F7" s="88"/>
      <c r="G7" s="28"/>
      <c r="H7" s="28"/>
      <c r="I7" s="89" t="s">
        <v>232</v>
      </c>
      <c r="J7" s="8" t="s">
        <v>28</v>
      </c>
      <c r="K7" s="88">
        <v>5</v>
      </c>
      <c r="L7" s="28">
        <f>nails/1000</f>
        <v>124.14419000000001</v>
      </c>
      <c r="M7" s="28">
        <f>K7*L7</f>
        <v>620.72095000000002</v>
      </c>
      <c r="N7" s="8"/>
      <c r="O7" s="8"/>
      <c r="P7" s="88"/>
      <c r="Q7" s="28"/>
      <c r="R7" s="28"/>
    </row>
    <row r="8" spans="1:18" ht="16.5">
      <c r="A8" s="2"/>
      <c r="B8" s="731"/>
      <c r="C8" s="8"/>
      <c r="D8" s="87"/>
      <c r="E8" s="8"/>
      <c r="F8" s="88"/>
      <c r="G8" s="28"/>
      <c r="H8" s="28"/>
      <c r="I8" s="89"/>
      <c r="J8" s="8"/>
      <c r="K8" s="88"/>
      <c r="L8" s="28"/>
      <c r="M8" s="28"/>
      <c r="N8" s="8"/>
      <c r="O8" s="8"/>
      <c r="P8" s="88"/>
      <c r="Q8" s="28"/>
      <c r="R8" s="28"/>
    </row>
    <row r="9" spans="1:18" ht="16.5">
      <c r="A9" s="2"/>
      <c r="B9" s="731"/>
      <c r="C9" s="8"/>
      <c r="D9" s="87"/>
      <c r="E9" s="8"/>
      <c r="F9" s="88"/>
      <c r="G9" s="28"/>
      <c r="H9" s="28"/>
      <c r="I9" s="89"/>
      <c r="J9" s="8"/>
      <c r="K9" s="88"/>
      <c r="L9" s="28"/>
      <c r="M9" s="28"/>
      <c r="N9" s="8"/>
      <c r="O9" s="8"/>
      <c r="P9" s="88"/>
      <c r="Q9" s="28"/>
      <c r="R9" s="28"/>
    </row>
    <row r="10" spans="1:18" ht="16.5">
      <c r="A10" s="2"/>
      <c r="B10" s="172"/>
      <c r="C10" s="8"/>
      <c r="D10" s="87"/>
      <c r="E10" s="10"/>
      <c r="F10" s="91"/>
      <c r="G10" s="92"/>
      <c r="H10" s="92"/>
      <c r="I10" s="10"/>
      <c r="J10" s="10"/>
      <c r="K10" s="91"/>
      <c r="L10" s="28"/>
      <c r="M10" s="28"/>
      <c r="N10" s="8"/>
      <c r="O10" s="8"/>
      <c r="P10" s="91"/>
      <c r="Q10" s="28"/>
      <c r="R10" s="28"/>
    </row>
    <row r="11" spans="1:18" ht="16.5">
      <c r="A11" s="2"/>
      <c r="B11" s="2"/>
      <c r="C11" s="8"/>
      <c r="D11" s="93"/>
      <c r="E11" s="563"/>
      <c r="F11" s="95"/>
      <c r="G11" s="95" t="s">
        <v>20</v>
      </c>
      <c r="H11" s="96">
        <f>SUM(H4:H10)</f>
        <v>6765</v>
      </c>
      <c r="I11" s="717"/>
      <c r="J11" s="717"/>
      <c r="K11" s="97"/>
      <c r="L11" s="95" t="s">
        <v>21</v>
      </c>
      <c r="M11" s="96">
        <f>SUM(M4:M10)</f>
        <v>5399.8221999999996</v>
      </c>
      <c r="N11" s="98"/>
      <c r="O11" s="97"/>
      <c r="P11" s="97"/>
      <c r="Q11" s="95" t="s">
        <v>22</v>
      </c>
      <c r="R11" s="96">
        <f>SUM(R4:R10)</f>
        <v>0</v>
      </c>
    </row>
    <row r="12" spans="1:18" ht="16.5">
      <c r="A12" s="2"/>
      <c r="B12" s="99" t="s">
        <v>13</v>
      </c>
      <c r="C12" s="97"/>
      <c r="D12" s="97"/>
      <c r="E12" s="97"/>
      <c r="F12" s="97"/>
      <c r="G12" s="95"/>
      <c r="H12" s="100">
        <f>M11+R11+H11</f>
        <v>12164.822199999999</v>
      </c>
      <c r="I12" s="101"/>
      <c r="J12" s="97"/>
      <c r="K12" s="97"/>
      <c r="L12" s="95"/>
      <c r="M12" s="102"/>
      <c r="N12" s="97"/>
      <c r="O12" s="97"/>
      <c r="P12" s="97"/>
      <c r="Q12" s="97"/>
      <c r="R12" s="101"/>
    </row>
    <row r="13" spans="1:18" ht="16.5">
      <c r="A13" s="2"/>
      <c r="B13" s="2" t="s">
        <v>25</v>
      </c>
      <c r="C13" s="4" t="s">
        <v>647</v>
      </c>
      <c r="D13" s="87"/>
      <c r="E13" s="87"/>
      <c r="F13" s="87"/>
      <c r="G13" s="103"/>
      <c r="H13" s="104">
        <f>20%*H11</f>
        <v>1353</v>
      </c>
      <c r="I13" s="105"/>
      <c r="J13" s="87" t="s">
        <v>26</v>
      </c>
      <c r="K13" s="87"/>
      <c r="L13" s="103"/>
      <c r="M13" s="106"/>
      <c r="N13" s="87"/>
      <c r="O13" s="87"/>
      <c r="P13" s="87"/>
      <c r="Q13" s="87"/>
      <c r="R13" s="105"/>
    </row>
    <row r="14" spans="1:18" ht="16.5">
      <c r="A14" s="23"/>
      <c r="B14" s="2" t="s">
        <v>14</v>
      </c>
      <c r="C14" s="87"/>
      <c r="D14" s="87"/>
      <c r="E14" s="87"/>
      <c r="F14" s="87"/>
      <c r="G14" s="103"/>
      <c r="H14" s="104">
        <f>SUM(H12:H13)</f>
        <v>13517.822199999999</v>
      </c>
      <c r="I14" s="105"/>
      <c r="J14" s="732"/>
      <c r="K14" s="733"/>
      <c r="L14" s="733"/>
      <c r="M14" s="733"/>
      <c r="N14" s="733"/>
      <c r="O14" s="733"/>
      <c r="P14" s="733"/>
      <c r="Q14" s="733"/>
      <c r="R14" s="734"/>
    </row>
    <row r="15" spans="1:18" ht="16.5">
      <c r="A15" s="23"/>
      <c r="B15" s="2" t="s">
        <v>24</v>
      </c>
      <c r="C15" s="87"/>
      <c r="D15" s="87"/>
      <c r="E15" s="87"/>
      <c r="F15" s="87"/>
      <c r="G15" s="103"/>
      <c r="H15" s="104">
        <f>H14*15%</f>
        <v>2027.6733299999996</v>
      </c>
      <c r="I15" s="105"/>
      <c r="J15" s="735"/>
      <c r="K15" s="736"/>
      <c r="L15" s="736"/>
      <c r="M15" s="736"/>
      <c r="N15" s="736"/>
      <c r="O15" s="736"/>
      <c r="P15" s="736"/>
      <c r="Q15" s="736"/>
      <c r="R15" s="737"/>
    </row>
    <row r="16" spans="1:18" ht="16.5">
      <c r="A16" s="23"/>
      <c r="B16" s="2" t="s">
        <v>15</v>
      </c>
      <c r="C16" s="87"/>
      <c r="D16" s="87"/>
      <c r="E16" s="87"/>
      <c r="F16" s="87"/>
      <c r="G16" s="107" t="s">
        <v>16</v>
      </c>
      <c r="H16" s="37">
        <f>H15+H14</f>
        <v>15545.495529999998</v>
      </c>
      <c r="I16" s="108" t="str">
        <f>CONCATENATE("per ",C4, C5)</f>
        <v>per 10sqm</v>
      </c>
      <c r="J16" s="735"/>
      <c r="K16" s="736"/>
      <c r="L16" s="736"/>
      <c r="M16" s="736"/>
      <c r="N16" s="736"/>
      <c r="O16" s="736"/>
      <c r="P16" s="736"/>
      <c r="Q16" s="736"/>
      <c r="R16" s="737"/>
    </row>
    <row r="17" spans="1:18" ht="16.5">
      <c r="A17" s="23"/>
      <c r="B17" s="2"/>
      <c r="C17" s="87"/>
      <c r="D17" s="87"/>
      <c r="E17" s="87"/>
      <c r="F17" s="87"/>
      <c r="G17" s="107" t="s">
        <v>16</v>
      </c>
      <c r="H17" s="37">
        <f>H16/C4</f>
        <v>1554.5495529999998</v>
      </c>
      <c r="I17" s="108" t="str">
        <f>CONCATENATE("per ",C5)</f>
        <v>per sqm</v>
      </c>
      <c r="J17" s="735"/>
      <c r="K17" s="736"/>
      <c r="L17" s="736"/>
      <c r="M17" s="736"/>
      <c r="N17" s="736"/>
      <c r="O17" s="736"/>
      <c r="P17" s="736"/>
      <c r="Q17" s="736"/>
      <c r="R17" s="737"/>
    </row>
    <row r="18" spans="1:18" ht="16.5">
      <c r="A18" s="23"/>
      <c r="B18" s="2" t="s">
        <v>18</v>
      </c>
      <c r="C18" s="87" t="s">
        <v>19</v>
      </c>
      <c r="D18" s="87"/>
      <c r="E18" s="87"/>
      <c r="F18" s="87"/>
      <c r="G18" s="107" t="s">
        <v>16</v>
      </c>
      <c r="H18" s="37">
        <f>CEILING(H17,0.5)</f>
        <v>1555</v>
      </c>
      <c r="I18" s="108" t="str">
        <f>CONCATENATE("per ",C5)</f>
        <v>per sqm</v>
      </c>
      <c r="J18" s="735"/>
      <c r="K18" s="736"/>
      <c r="L18" s="736"/>
      <c r="M18" s="736"/>
      <c r="N18" s="736"/>
      <c r="O18" s="736"/>
      <c r="P18" s="736"/>
      <c r="Q18" s="736"/>
      <c r="R18" s="737"/>
    </row>
    <row r="19" spans="1:18" ht="16.5">
      <c r="A19" s="23"/>
      <c r="B19" s="2"/>
      <c r="C19" s="87"/>
      <c r="D19" s="87"/>
      <c r="E19" s="87"/>
      <c r="F19" s="87"/>
      <c r="G19" s="109" t="s">
        <v>17</v>
      </c>
      <c r="H19" s="37">
        <f>H18/exr</f>
        <v>11.961538461538462</v>
      </c>
      <c r="I19" s="108" t="str">
        <f>CONCATENATE("per ",C5)</f>
        <v>per sqm</v>
      </c>
      <c r="J19" s="738"/>
      <c r="K19" s="739"/>
      <c r="L19" s="739"/>
      <c r="M19" s="739"/>
      <c r="N19" s="739"/>
      <c r="O19" s="739"/>
      <c r="P19" s="739"/>
      <c r="Q19" s="739"/>
      <c r="R19" s="740"/>
    </row>
    <row r="20" spans="1:18" ht="16.5">
      <c r="A20" s="39"/>
      <c r="B20" s="40"/>
      <c r="C20" s="41"/>
      <c r="D20" s="41"/>
      <c r="E20" s="41"/>
      <c r="F20" s="41"/>
      <c r="G20" s="149" t="s">
        <v>460</v>
      </c>
      <c r="H20" s="150">
        <f>CEILING(SUM(M7)/H12,0.0025)</f>
        <v>5.2499999999999998E-2</v>
      </c>
      <c r="I20" s="42"/>
      <c r="J20" s="43"/>
      <c r="K20" s="43"/>
      <c r="L20" s="43"/>
      <c r="M20" s="43"/>
      <c r="N20" s="43"/>
      <c r="O20" s="43"/>
      <c r="P20" s="43"/>
      <c r="Q20" s="43"/>
      <c r="R20" s="44"/>
    </row>
    <row r="21" spans="1:18" ht="16.5">
      <c r="A21" s="170"/>
      <c r="B21" s="170"/>
      <c r="C21" s="170"/>
      <c r="D21" s="170"/>
      <c r="E21" s="170"/>
      <c r="F21" s="170"/>
      <c r="G21" s="170"/>
      <c r="H21" s="170"/>
      <c r="I21" s="170"/>
      <c r="J21" s="170"/>
      <c r="K21" s="170"/>
      <c r="L21" s="170"/>
      <c r="M21" s="170"/>
      <c r="N21" s="170"/>
      <c r="O21" s="170"/>
      <c r="P21" s="170"/>
      <c r="Q21" s="170"/>
      <c r="R21" s="170"/>
    </row>
    <row r="22" spans="1:18" ht="16.5">
      <c r="A22" s="693" t="s">
        <v>0</v>
      </c>
      <c r="B22" s="695" t="s">
        <v>1</v>
      </c>
      <c r="C22" s="695" t="s">
        <v>2</v>
      </c>
      <c r="D22" s="697" t="s">
        <v>3</v>
      </c>
      <c r="E22" s="698"/>
      <c r="F22" s="698"/>
      <c r="G22" s="698"/>
      <c r="H22" s="698"/>
      <c r="I22" s="699" t="s">
        <v>4</v>
      </c>
      <c r="J22" s="700"/>
      <c r="K22" s="700"/>
      <c r="L22" s="700"/>
      <c r="M22" s="700"/>
      <c r="N22" s="698" t="s">
        <v>5</v>
      </c>
      <c r="O22" s="698"/>
      <c r="P22" s="698"/>
      <c r="Q22" s="698"/>
      <c r="R22" s="698"/>
    </row>
    <row r="23" spans="1:18" ht="16.5">
      <c r="A23" s="694"/>
      <c r="B23" s="696"/>
      <c r="C23" s="696"/>
      <c r="D23" s="45" t="s">
        <v>6</v>
      </c>
      <c r="E23" s="46" t="s">
        <v>2</v>
      </c>
      <c r="F23" s="46" t="s">
        <v>7</v>
      </c>
      <c r="G23" s="46" t="s">
        <v>8</v>
      </c>
      <c r="H23" s="46" t="s">
        <v>9</v>
      </c>
      <c r="I23" s="46" t="s">
        <v>10</v>
      </c>
      <c r="J23" s="46" t="s">
        <v>2</v>
      </c>
      <c r="K23" s="46" t="s">
        <v>7</v>
      </c>
      <c r="L23" s="46" t="s">
        <v>8</v>
      </c>
      <c r="M23" s="47" t="s">
        <v>9</v>
      </c>
      <c r="N23" s="46" t="s">
        <v>10</v>
      </c>
      <c r="O23" s="46" t="s">
        <v>2</v>
      </c>
      <c r="P23" s="46" t="s">
        <v>7</v>
      </c>
      <c r="Q23" s="46" t="s">
        <v>8</v>
      </c>
      <c r="R23" s="46" t="s">
        <v>9</v>
      </c>
    </row>
    <row r="24" spans="1:18" ht="15.75">
      <c r="A24" s="33" t="s">
        <v>23</v>
      </c>
      <c r="B24" s="73" t="s">
        <v>627</v>
      </c>
      <c r="C24" s="31"/>
      <c r="D24" s="31"/>
      <c r="E24" s="31"/>
      <c r="F24" s="31"/>
      <c r="G24" s="31"/>
      <c r="H24" s="31"/>
      <c r="I24" s="31"/>
      <c r="J24" s="31"/>
      <c r="K24" s="31"/>
      <c r="L24" s="31"/>
      <c r="M24" s="31"/>
      <c r="N24" s="31"/>
      <c r="O24" s="31"/>
      <c r="P24" s="31"/>
      <c r="Q24" s="31"/>
      <c r="R24" s="32"/>
    </row>
    <row r="25" spans="1:18" ht="16.5">
      <c r="A25" s="34">
        <f>A4+1</f>
        <v>2</v>
      </c>
      <c r="B25" s="730" t="s">
        <v>628</v>
      </c>
      <c r="C25" s="546">
        <v>10</v>
      </c>
      <c r="D25" s="87"/>
      <c r="E25" s="8"/>
      <c r="F25" s="88"/>
      <c r="G25" s="28"/>
      <c r="H25" s="28"/>
      <c r="I25" s="8"/>
      <c r="J25" s="8"/>
      <c r="K25" s="88"/>
      <c r="L25" s="28"/>
      <c r="M25" s="28"/>
      <c r="N25" s="8"/>
      <c r="O25" s="8"/>
      <c r="P25" s="88"/>
      <c r="Q25" s="28"/>
      <c r="R25" s="28"/>
    </row>
    <row r="26" spans="1:18" ht="16.5">
      <c r="A26" s="2"/>
      <c r="B26" s="731"/>
      <c r="C26" s="171" t="s">
        <v>127</v>
      </c>
      <c r="D26" s="87" t="s">
        <v>96</v>
      </c>
      <c r="E26" s="8" t="s">
        <v>81</v>
      </c>
      <c r="F26" s="88">
        <v>4.2</v>
      </c>
      <c r="G26" s="28">
        <f>sr</f>
        <v>1100</v>
      </c>
      <c r="H26" s="28">
        <f>F26*G26</f>
        <v>4620</v>
      </c>
      <c r="I26" s="89" t="s">
        <v>234</v>
      </c>
      <c r="J26" s="8" t="s">
        <v>127</v>
      </c>
      <c r="K26" s="88">
        <f>11/6</f>
        <v>1.8333333333333333</v>
      </c>
      <c r="L26" s="28">
        <f>plywood</f>
        <v>420.36</v>
      </c>
      <c r="M26" s="28">
        <f>K26*L26</f>
        <v>770.66</v>
      </c>
      <c r="N26" s="8"/>
      <c r="O26" s="8"/>
      <c r="P26" s="88"/>
      <c r="Q26" s="28"/>
      <c r="R26" s="28"/>
    </row>
    <row r="27" spans="1:18" ht="16.5">
      <c r="A27" s="2"/>
      <c r="B27" s="731"/>
      <c r="C27" s="8"/>
      <c r="D27" s="87" t="s">
        <v>97</v>
      </c>
      <c r="E27" s="8" t="s">
        <v>81</v>
      </c>
      <c r="F27" s="88">
        <v>4.2</v>
      </c>
      <c r="G27" s="28">
        <f>ur</f>
        <v>850</v>
      </c>
      <c r="H27" s="28">
        <f>F27*G27</f>
        <v>3570</v>
      </c>
      <c r="I27" s="89" t="s">
        <v>231</v>
      </c>
      <c r="J27" s="8" t="s">
        <v>11</v>
      </c>
      <c r="K27" s="88">
        <f>1/12</f>
        <v>8.3333333333333329E-2</v>
      </c>
      <c r="L27" s="154">
        <f>AVERAGE(timber,planks)</f>
        <v>64135.06</v>
      </c>
      <c r="M27" s="28">
        <f>K27*L27</f>
        <v>5344.5883333333331</v>
      </c>
      <c r="N27" s="8"/>
      <c r="O27" s="8"/>
      <c r="P27" s="88"/>
      <c r="Q27" s="28"/>
      <c r="R27" s="28"/>
    </row>
    <row r="28" spans="1:18" ht="16.5">
      <c r="A28" s="2"/>
      <c r="B28" s="731"/>
      <c r="C28" s="8"/>
      <c r="D28" s="87"/>
      <c r="E28" s="8"/>
      <c r="F28" s="88"/>
      <c r="G28" s="28"/>
      <c r="H28" s="28"/>
      <c r="I28" s="89" t="s">
        <v>232</v>
      </c>
      <c r="J28" s="8" t="s">
        <v>28</v>
      </c>
      <c r="K28" s="88">
        <v>6.5</v>
      </c>
      <c r="L28" s="28">
        <f>nails/1000</f>
        <v>124.14419000000001</v>
      </c>
      <c r="M28" s="28">
        <f>K28*L28</f>
        <v>806.9372350000001</v>
      </c>
      <c r="N28" s="8"/>
      <c r="O28" s="8"/>
      <c r="P28" s="88"/>
      <c r="Q28" s="28"/>
      <c r="R28" s="28"/>
    </row>
    <row r="29" spans="1:18" ht="16.5">
      <c r="A29" s="2"/>
      <c r="B29" s="731"/>
      <c r="C29" s="8"/>
      <c r="D29" s="87"/>
      <c r="E29" s="8"/>
      <c r="F29" s="88"/>
      <c r="G29" s="28"/>
      <c r="H29" s="28"/>
      <c r="I29" s="89"/>
      <c r="J29" s="8"/>
      <c r="K29" s="88"/>
      <c r="L29" s="28"/>
      <c r="M29" s="28"/>
      <c r="N29" s="8"/>
      <c r="O29" s="8"/>
      <c r="P29" s="88"/>
      <c r="Q29" s="28"/>
      <c r="R29" s="28"/>
    </row>
    <row r="30" spans="1:18" ht="16.5">
      <c r="A30" s="2"/>
      <c r="B30" s="731"/>
      <c r="C30" s="8"/>
      <c r="D30" s="87"/>
      <c r="E30" s="8"/>
      <c r="F30" s="88"/>
      <c r="G30" s="28"/>
      <c r="H30" s="28"/>
      <c r="I30" s="89"/>
      <c r="J30" s="8"/>
      <c r="K30" s="88"/>
      <c r="L30" s="28"/>
      <c r="M30" s="28"/>
      <c r="N30" s="8"/>
      <c r="O30" s="8"/>
      <c r="P30" s="88"/>
      <c r="Q30" s="28"/>
      <c r="R30" s="28"/>
    </row>
    <row r="31" spans="1:18" ht="16.5">
      <c r="A31" s="2"/>
      <c r="B31" s="172"/>
      <c r="C31" s="8"/>
      <c r="D31" s="87"/>
      <c r="E31" s="10"/>
      <c r="F31" s="91"/>
      <c r="G31" s="92"/>
      <c r="H31" s="92"/>
      <c r="I31" s="10"/>
      <c r="J31" s="10"/>
      <c r="K31" s="91"/>
      <c r="L31" s="28"/>
      <c r="M31" s="28"/>
      <c r="N31" s="8"/>
      <c r="O31" s="8"/>
      <c r="P31" s="91"/>
      <c r="Q31" s="28"/>
      <c r="R31" s="28"/>
    </row>
    <row r="32" spans="1:18" ht="16.5">
      <c r="A32" s="2"/>
      <c r="B32" s="2"/>
      <c r="C32" s="8"/>
      <c r="D32" s="93"/>
      <c r="E32" s="563"/>
      <c r="F32" s="95"/>
      <c r="G32" s="95" t="s">
        <v>20</v>
      </c>
      <c r="H32" s="96">
        <f>SUM(H25:H31)</f>
        <v>8190</v>
      </c>
      <c r="I32" s="717"/>
      <c r="J32" s="717"/>
      <c r="K32" s="97"/>
      <c r="L32" s="95" t="s">
        <v>21</v>
      </c>
      <c r="M32" s="96">
        <f>SUM(M25:M31)</f>
        <v>6922.1855683333333</v>
      </c>
      <c r="N32" s="98"/>
      <c r="O32" s="97"/>
      <c r="P32" s="97"/>
      <c r="Q32" s="95" t="s">
        <v>22</v>
      </c>
      <c r="R32" s="96">
        <f>SUM(R25:R31)</f>
        <v>0</v>
      </c>
    </row>
    <row r="33" spans="1:18" ht="16.5">
      <c r="A33" s="2"/>
      <c r="B33" s="99" t="s">
        <v>13</v>
      </c>
      <c r="C33" s="97"/>
      <c r="D33" s="97"/>
      <c r="E33" s="97"/>
      <c r="F33" s="97"/>
      <c r="G33" s="95"/>
      <c r="H33" s="100">
        <f>M32+R32+H32</f>
        <v>15112.185568333334</v>
      </c>
      <c r="I33" s="101"/>
      <c r="J33" s="97"/>
      <c r="K33" s="97"/>
      <c r="L33" s="95"/>
      <c r="M33" s="102"/>
      <c r="N33" s="97"/>
      <c r="O33" s="97"/>
      <c r="P33" s="97"/>
      <c r="Q33" s="97"/>
      <c r="R33" s="101"/>
    </row>
    <row r="34" spans="1:18" ht="16.5">
      <c r="A34" s="2"/>
      <c r="B34" s="2" t="s">
        <v>25</v>
      </c>
      <c r="C34" s="4" t="s">
        <v>647</v>
      </c>
      <c r="D34" s="87"/>
      <c r="E34" s="87"/>
      <c r="F34" s="87"/>
      <c r="G34" s="103"/>
      <c r="H34" s="104">
        <f>20%*H32</f>
        <v>1638</v>
      </c>
      <c r="I34" s="105"/>
      <c r="J34" s="87" t="s">
        <v>26</v>
      </c>
      <c r="K34" s="87"/>
      <c r="L34" s="103"/>
      <c r="M34" s="106"/>
      <c r="N34" s="87"/>
      <c r="O34" s="87"/>
      <c r="P34" s="87"/>
      <c r="Q34" s="87"/>
      <c r="R34" s="105"/>
    </row>
    <row r="35" spans="1:18" ht="16.5">
      <c r="A35" s="23"/>
      <c r="B35" s="2" t="s">
        <v>14</v>
      </c>
      <c r="C35" s="87"/>
      <c r="D35" s="87"/>
      <c r="E35" s="87"/>
      <c r="F35" s="87"/>
      <c r="G35" s="103"/>
      <c r="H35" s="104">
        <f>SUM(H33:H34)</f>
        <v>16750.185568333334</v>
      </c>
      <c r="I35" s="105"/>
      <c r="J35" s="732"/>
      <c r="K35" s="733"/>
      <c r="L35" s="733"/>
      <c r="M35" s="733"/>
      <c r="N35" s="733"/>
      <c r="O35" s="733"/>
      <c r="P35" s="733"/>
      <c r="Q35" s="733"/>
      <c r="R35" s="734"/>
    </row>
    <row r="36" spans="1:18" ht="16.5">
      <c r="A36" s="23"/>
      <c r="B36" s="2" t="s">
        <v>24</v>
      </c>
      <c r="C36" s="87"/>
      <c r="D36" s="87"/>
      <c r="E36" s="87"/>
      <c r="F36" s="87"/>
      <c r="G36" s="103"/>
      <c r="H36" s="104">
        <f>H35*15%</f>
        <v>2512.52783525</v>
      </c>
      <c r="I36" s="105"/>
      <c r="J36" s="735"/>
      <c r="K36" s="736"/>
      <c r="L36" s="736"/>
      <c r="M36" s="736"/>
      <c r="N36" s="736"/>
      <c r="O36" s="736"/>
      <c r="P36" s="736"/>
      <c r="Q36" s="736"/>
      <c r="R36" s="737"/>
    </row>
    <row r="37" spans="1:18" ht="16.5">
      <c r="A37" s="23"/>
      <c r="B37" s="2" t="s">
        <v>15</v>
      </c>
      <c r="C37" s="87"/>
      <c r="D37" s="87"/>
      <c r="E37" s="87"/>
      <c r="F37" s="87"/>
      <c r="G37" s="107" t="s">
        <v>16</v>
      </c>
      <c r="H37" s="37">
        <f>H36+H35</f>
        <v>19262.713403583333</v>
      </c>
      <c r="I37" s="108" t="str">
        <f>CONCATENATE("per ",C25, C26)</f>
        <v>per 10sqm</v>
      </c>
      <c r="J37" s="735"/>
      <c r="K37" s="736"/>
      <c r="L37" s="736"/>
      <c r="M37" s="736"/>
      <c r="N37" s="736"/>
      <c r="O37" s="736"/>
      <c r="P37" s="736"/>
      <c r="Q37" s="736"/>
      <c r="R37" s="737"/>
    </row>
    <row r="38" spans="1:18" ht="16.5">
      <c r="A38" s="23"/>
      <c r="B38" s="2"/>
      <c r="C38" s="87"/>
      <c r="D38" s="87"/>
      <c r="E38" s="87"/>
      <c r="F38" s="87"/>
      <c r="G38" s="107" t="s">
        <v>16</v>
      </c>
      <c r="H38" s="37">
        <f>H37/C25</f>
        <v>1926.2713403583334</v>
      </c>
      <c r="I38" s="108" t="str">
        <f>CONCATENATE("per ",C26)</f>
        <v>per sqm</v>
      </c>
      <c r="J38" s="735"/>
      <c r="K38" s="736"/>
      <c r="L38" s="736"/>
      <c r="M38" s="736"/>
      <c r="N38" s="736"/>
      <c r="O38" s="736"/>
      <c r="P38" s="736"/>
      <c r="Q38" s="736"/>
      <c r="R38" s="737"/>
    </row>
    <row r="39" spans="1:18" ht="16.5">
      <c r="A39" s="23"/>
      <c r="B39" s="2" t="s">
        <v>18</v>
      </c>
      <c r="C39" s="87" t="s">
        <v>19</v>
      </c>
      <c r="D39" s="87"/>
      <c r="E39" s="87"/>
      <c r="F39" s="87"/>
      <c r="G39" s="107" t="s">
        <v>16</v>
      </c>
      <c r="H39" s="37">
        <f>CEILING(H38,0.5)</f>
        <v>1926.5</v>
      </c>
      <c r="I39" s="108" t="str">
        <f>CONCATENATE("per ",C26)</f>
        <v>per sqm</v>
      </c>
      <c r="J39" s="735"/>
      <c r="K39" s="736"/>
      <c r="L39" s="736"/>
      <c r="M39" s="736"/>
      <c r="N39" s="736"/>
      <c r="O39" s="736"/>
      <c r="P39" s="736"/>
      <c r="Q39" s="736"/>
      <c r="R39" s="737"/>
    </row>
    <row r="40" spans="1:18" ht="16.5">
      <c r="A40" s="23"/>
      <c r="B40" s="2"/>
      <c r="C40" s="87"/>
      <c r="D40" s="87"/>
      <c r="E40" s="87"/>
      <c r="F40" s="87"/>
      <c r="G40" s="109" t="s">
        <v>17</v>
      </c>
      <c r="H40" s="37">
        <f>H39/exr</f>
        <v>14.819230769230769</v>
      </c>
      <c r="I40" s="108" t="str">
        <f>CONCATENATE("per ",C26)</f>
        <v>per sqm</v>
      </c>
      <c r="J40" s="738"/>
      <c r="K40" s="739"/>
      <c r="L40" s="739"/>
      <c r="M40" s="739"/>
      <c r="N40" s="739"/>
      <c r="O40" s="739"/>
      <c r="P40" s="739"/>
      <c r="Q40" s="739"/>
      <c r="R40" s="740"/>
    </row>
    <row r="41" spans="1:18" ht="16.5">
      <c r="A41" s="39"/>
      <c r="B41" s="40"/>
      <c r="C41" s="41"/>
      <c r="D41" s="41"/>
      <c r="E41" s="41"/>
      <c r="F41" s="41"/>
      <c r="G41" s="149" t="s">
        <v>460</v>
      </c>
      <c r="H41" s="150">
        <f>CEILING(SUM(M28)/H33,0.0025)</f>
        <v>5.5E-2</v>
      </c>
      <c r="I41" s="42"/>
      <c r="J41" s="43"/>
      <c r="K41" s="43"/>
      <c r="L41" s="43"/>
      <c r="M41" s="43"/>
      <c r="N41" s="43"/>
      <c r="O41" s="43"/>
      <c r="P41" s="43"/>
      <c r="Q41" s="43"/>
      <c r="R41" s="44"/>
    </row>
    <row r="42" spans="1:18" ht="16.5">
      <c r="A42" s="170"/>
      <c r="B42" s="170"/>
      <c r="C42" s="170"/>
      <c r="D42" s="170"/>
      <c r="E42" s="170"/>
      <c r="F42" s="170"/>
      <c r="G42" s="170"/>
      <c r="H42" s="170"/>
      <c r="I42" s="170"/>
      <c r="J42" s="170"/>
      <c r="K42" s="170"/>
      <c r="L42" s="170"/>
      <c r="M42" s="170"/>
      <c r="N42" s="170"/>
      <c r="O42" s="170"/>
      <c r="P42" s="170"/>
      <c r="Q42" s="170"/>
      <c r="R42" s="170"/>
    </row>
    <row r="43" spans="1:18" ht="16.5">
      <c r="A43" s="693" t="s">
        <v>0</v>
      </c>
      <c r="B43" s="695" t="s">
        <v>1</v>
      </c>
      <c r="C43" s="695" t="s">
        <v>2</v>
      </c>
      <c r="D43" s="697" t="s">
        <v>3</v>
      </c>
      <c r="E43" s="698"/>
      <c r="F43" s="698"/>
      <c r="G43" s="698"/>
      <c r="H43" s="698"/>
      <c r="I43" s="699" t="s">
        <v>4</v>
      </c>
      <c r="J43" s="700"/>
      <c r="K43" s="700"/>
      <c r="L43" s="700"/>
      <c r="M43" s="700"/>
      <c r="N43" s="698" t="s">
        <v>5</v>
      </c>
      <c r="O43" s="698"/>
      <c r="P43" s="698"/>
      <c r="Q43" s="698"/>
      <c r="R43" s="698"/>
    </row>
    <row r="44" spans="1:18" ht="16.5">
      <c r="A44" s="694"/>
      <c r="B44" s="696"/>
      <c r="C44" s="696"/>
      <c r="D44" s="45" t="s">
        <v>6</v>
      </c>
      <c r="E44" s="46" t="s">
        <v>2</v>
      </c>
      <c r="F44" s="46" t="s">
        <v>7</v>
      </c>
      <c r="G44" s="46" t="s">
        <v>8</v>
      </c>
      <c r="H44" s="46" t="s">
        <v>9</v>
      </c>
      <c r="I44" s="46" t="s">
        <v>10</v>
      </c>
      <c r="J44" s="46" t="s">
        <v>2</v>
      </c>
      <c r="K44" s="46" t="s">
        <v>7</v>
      </c>
      <c r="L44" s="46" t="s">
        <v>8</v>
      </c>
      <c r="M44" s="47" t="s">
        <v>9</v>
      </c>
      <c r="N44" s="46" t="s">
        <v>10</v>
      </c>
      <c r="O44" s="46" t="s">
        <v>2</v>
      </c>
      <c r="P44" s="46" t="s">
        <v>7</v>
      </c>
      <c r="Q44" s="46" t="s">
        <v>8</v>
      </c>
      <c r="R44" s="46" t="s">
        <v>9</v>
      </c>
    </row>
    <row r="45" spans="1:18" ht="15.75">
      <c r="A45" s="33" t="s">
        <v>23</v>
      </c>
      <c r="B45" s="73" t="s">
        <v>629</v>
      </c>
      <c r="C45" s="31"/>
      <c r="D45" s="31"/>
      <c r="E45" s="31"/>
      <c r="F45" s="31"/>
      <c r="G45" s="31"/>
      <c r="H45" s="31"/>
      <c r="I45" s="31"/>
      <c r="J45" s="31"/>
      <c r="K45" s="31"/>
      <c r="L45" s="31"/>
      <c r="M45" s="31"/>
      <c r="N45" s="31"/>
      <c r="O45" s="31"/>
      <c r="P45" s="31"/>
      <c r="Q45" s="31"/>
      <c r="R45" s="32"/>
    </row>
    <row r="46" spans="1:18" ht="16.5">
      <c r="A46" s="34">
        <f>A25+1</f>
        <v>3</v>
      </c>
      <c r="B46" s="730" t="s">
        <v>630</v>
      </c>
      <c r="C46" s="546">
        <v>10</v>
      </c>
      <c r="D46" s="87"/>
      <c r="E46" s="8"/>
      <c r="F46" s="88"/>
      <c r="G46" s="28"/>
      <c r="H46" s="28"/>
      <c r="I46" s="8"/>
      <c r="J46" s="8"/>
      <c r="K46" s="88"/>
      <c r="L46" s="28"/>
      <c r="M46" s="28"/>
      <c r="N46" s="8"/>
      <c r="O46" s="8"/>
      <c r="P46" s="88"/>
      <c r="Q46" s="28"/>
      <c r="R46" s="28"/>
    </row>
    <row r="47" spans="1:18" ht="16.5">
      <c r="A47" s="2"/>
      <c r="B47" s="731"/>
      <c r="C47" s="171" t="s">
        <v>127</v>
      </c>
      <c r="D47" s="87" t="s">
        <v>96</v>
      </c>
      <c r="E47" s="8" t="s">
        <v>81</v>
      </c>
      <c r="F47" s="88">
        <v>5.2</v>
      </c>
      <c r="G47" s="28">
        <f>sr</f>
        <v>1100</v>
      </c>
      <c r="H47" s="28">
        <f>F47*G47</f>
        <v>5720</v>
      </c>
      <c r="I47" s="89" t="s">
        <v>234</v>
      </c>
      <c r="J47" s="8" t="s">
        <v>127</v>
      </c>
      <c r="K47" s="88">
        <f>11/6</f>
        <v>1.8333333333333333</v>
      </c>
      <c r="L47" s="28">
        <f>plywood</f>
        <v>420.36</v>
      </c>
      <c r="M47" s="28">
        <f>K47*L47</f>
        <v>770.66</v>
      </c>
      <c r="N47" s="8"/>
      <c r="O47" s="8"/>
      <c r="P47" s="88"/>
      <c r="Q47" s="28"/>
      <c r="R47" s="28"/>
    </row>
    <row r="48" spans="1:18" ht="16.5">
      <c r="A48" s="2"/>
      <c r="B48" s="731"/>
      <c r="C48" s="8"/>
      <c r="D48" s="87" t="s">
        <v>97</v>
      </c>
      <c r="E48" s="8" t="s">
        <v>81</v>
      </c>
      <c r="F48" s="88">
        <v>5.9</v>
      </c>
      <c r="G48" s="28">
        <f>ur</f>
        <v>850</v>
      </c>
      <c r="H48" s="28">
        <f>F48*G48</f>
        <v>5015</v>
      </c>
      <c r="I48" s="89" t="s">
        <v>231</v>
      </c>
      <c r="J48" s="8" t="s">
        <v>11</v>
      </c>
      <c r="K48" s="88">
        <f>1.2/12</f>
        <v>9.9999999999999992E-2</v>
      </c>
      <c r="L48" s="154">
        <f>AVERAGE(timber,planks)</f>
        <v>64135.06</v>
      </c>
      <c r="M48" s="28">
        <f>K48*L48</f>
        <v>6413.5059999999994</v>
      </c>
      <c r="N48" s="8"/>
      <c r="O48" s="8"/>
      <c r="P48" s="88"/>
      <c r="Q48" s="28"/>
      <c r="R48" s="28"/>
    </row>
    <row r="49" spans="1:18" ht="16.5">
      <c r="A49" s="2"/>
      <c r="B49" s="731"/>
      <c r="C49" s="8"/>
      <c r="D49" s="87"/>
      <c r="E49" s="8"/>
      <c r="F49" s="88"/>
      <c r="G49" s="28"/>
      <c r="H49" s="28"/>
      <c r="I49" s="89" t="s">
        <v>232</v>
      </c>
      <c r="J49" s="8" t="s">
        <v>28</v>
      </c>
      <c r="K49" s="88">
        <v>8</v>
      </c>
      <c r="L49" s="28">
        <f>nails/1000</f>
        <v>124.14419000000001</v>
      </c>
      <c r="M49" s="28">
        <f>K49*L49</f>
        <v>993.15352000000007</v>
      </c>
      <c r="N49" s="8"/>
      <c r="O49" s="8"/>
      <c r="P49" s="88"/>
      <c r="Q49" s="28"/>
      <c r="R49" s="28"/>
    </row>
    <row r="50" spans="1:18" ht="16.5">
      <c r="A50" s="2"/>
      <c r="B50" s="731"/>
      <c r="C50" s="8"/>
      <c r="D50" s="87"/>
      <c r="E50" s="8"/>
      <c r="F50" s="88"/>
      <c r="G50" s="28"/>
      <c r="H50" s="28"/>
      <c r="I50" s="89"/>
      <c r="J50" s="8"/>
      <c r="K50" s="88"/>
      <c r="L50" s="28"/>
      <c r="M50" s="28"/>
      <c r="N50" s="8"/>
      <c r="O50" s="8"/>
      <c r="P50" s="88"/>
      <c r="Q50" s="28"/>
      <c r="R50" s="28"/>
    </row>
    <row r="51" spans="1:18" ht="16.5">
      <c r="A51" s="2"/>
      <c r="B51" s="731"/>
      <c r="C51" s="8"/>
      <c r="D51" s="87"/>
      <c r="E51" s="8"/>
      <c r="F51" s="88"/>
      <c r="G51" s="28"/>
      <c r="H51" s="28"/>
      <c r="I51" s="89"/>
      <c r="J51" s="8"/>
      <c r="K51" s="88"/>
      <c r="L51" s="28"/>
      <c r="M51" s="28"/>
      <c r="N51" s="8"/>
      <c r="O51" s="8"/>
      <c r="P51" s="88"/>
      <c r="Q51" s="28"/>
      <c r="R51" s="28"/>
    </row>
    <row r="52" spans="1:18" ht="16.5">
      <c r="A52" s="2"/>
      <c r="B52" s="172"/>
      <c r="C52" s="8"/>
      <c r="D52" s="87"/>
      <c r="E52" s="10"/>
      <c r="F52" s="91"/>
      <c r="G52" s="92"/>
      <c r="H52" s="92"/>
      <c r="I52" s="10"/>
      <c r="J52" s="10"/>
      <c r="K52" s="91"/>
      <c r="L52" s="28"/>
      <c r="M52" s="28"/>
      <c r="N52" s="8"/>
      <c r="O52" s="8"/>
      <c r="P52" s="91"/>
      <c r="Q52" s="28"/>
      <c r="R52" s="28"/>
    </row>
    <row r="53" spans="1:18" ht="16.5">
      <c r="A53" s="2"/>
      <c r="B53" s="2"/>
      <c r="C53" s="8"/>
      <c r="D53" s="93"/>
      <c r="E53" s="563"/>
      <c r="F53" s="95"/>
      <c r="G53" s="95" t="s">
        <v>20</v>
      </c>
      <c r="H53" s="96">
        <f>SUM(H46:H52)</f>
        <v>10735</v>
      </c>
      <c r="I53" s="717"/>
      <c r="J53" s="717"/>
      <c r="K53" s="97"/>
      <c r="L53" s="95" t="s">
        <v>21</v>
      </c>
      <c r="M53" s="96">
        <f>SUM(M46:M52)</f>
        <v>8177.3195199999991</v>
      </c>
      <c r="N53" s="98"/>
      <c r="O53" s="97"/>
      <c r="P53" s="97"/>
      <c r="Q53" s="95" t="s">
        <v>22</v>
      </c>
      <c r="R53" s="96">
        <f>SUM(R46:R52)</f>
        <v>0</v>
      </c>
    </row>
    <row r="54" spans="1:18" ht="16.5">
      <c r="A54" s="2"/>
      <c r="B54" s="99" t="s">
        <v>13</v>
      </c>
      <c r="C54" s="97"/>
      <c r="D54" s="97"/>
      <c r="E54" s="97"/>
      <c r="F54" s="97"/>
      <c r="G54" s="95"/>
      <c r="H54" s="100">
        <f>H53+M53+R53</f>
        <v>18912.319519999997</v>
      </c>
      <c r="I54" s="101"/>
      <c r="J54" s="97"/>
      <c r="K54" s="97"/>
      <c r="L54" s="95"/>
      <c r="M54" s="102"/>
      <c r="N54" s="97"/>
      <c r="O54" s="97"/>
      <c r="P54" s="97"/>
      <c r="Q54" s="97"/>
      <c r="R54" s="101"/>
    </row>
    <row r="55" spans="1:18" ht="16.5">
      <c r="A55" s="2"/>
      <c r="B55" s="2" t="s">
        <v>25</v>
      </c>
      <c r="C55" s="4" t="s">
        <v>647</v>
      </c>
      <c r="D55" s="87"/>
      <c r="E55" s="87"/>
      <c r="F55" s="87"/>
      <c r="G55" s="103"/>
      <c r="H55" s="104">
        <f>20%*H53</f>
        <v>2147</v>
      </c>
      <c r="I55" s="105"/>
      <c r="J55" s="87" t="s">
        <v>26</v>
      </c>
      <c r="K55" s="87"/>
      <c r="L55" s="103"/>
      <c r="M55" s="106"/>
      <c r="N55" s="87"/>
      <c r="O55" s="87"/>
      <c r="P55" s="87"/>
      <c r="Q55" s="87"/>
      <c r="R55" s="105"/>
    </row>
    <row r="56" spans="1:18" ht="16.5">
      <c r="A56" s="23"/>
      <c r="B56" s="2" t="s">
        <v>14</v>
      </c>
      <c r="C56" s="87"/>
      <c r="D56" s="87"/>
      <c r="E56" s="87"/>
      <c r="F56" s="87"/>
      <c r="G56" s="103"/>
      <c r="H56" s="104">
        <f>SUM(H54:H55)</f>
        <v>21059.319519999997</v>
      </c>
      <c r="I56" s="105"/>
      <c r="J56" s="732"/>
      <c r="K56" s="733"/>
      <c r="L56" s="733"/>
      <c r="M56" s="733"/>
      <c r="N56" s="733"/>
      <c r="O56" s="733"/>
      <c r="P56" s="733"/>
      <c r="Q56" s="733"/>
      <c r="R56" s="734"/>
    </row>
    <row r="57" spans="1:18" ht="16.5">
      <c r="A57" s="23"/>
      <c r="B57" s="2" t="s">
        <v>24</v>
      </c>
      <c r="C57" s="87"/>
      <c r="D57" s="87"/>
      <c r="E57" s="87"/>
      <c r="F57" s="87"/>
      <c r="G57" s="103"/>
      <c r="H57" s="104">
        <f>H56*15%</f>
        <v>3158.8979279999994</v>
      </c>
      <c r="I57" s="105"/>
      <c r="J57" s="735"/>
      <c r="K57" s="736"/>
      <c r="L57" s="736"/>
      <c r="M57" s="736"/>
      <c r="N57" s="736"/>
      <c r="O57" s="736"/>
      <c r="P57" s="736"/>
      <c r="Q57" s="736"/>
      <c r="R57" s="737"/>
    </row>
    <row r="58" spans="1:18" ht="16.5">
      <c r="A58" s="23"/>
      <c r="B58" s="2" t="s">
        <v>15</v>
      </c>
      <c r="C58" s="87"/>
      <c r="D58" s="87"/>
      <c r="E58" s="87"/>
      <c r="F58" s="87"/>
      <c r="G58" s="107" t="s">
        <v>16</v>
      </c>
      <c r="H58" s="37">
        <f>H57+H56</f>
        <v>24218.217447999996</v>
      </c>
      <c r="I58" s="108" t="str">
        <f>CONCATENATE("per ",C46, C47)</f>
        <v>per 10sqm</v>
      </c>
      <c r="J58" s="735"/>
      <c r="K58" s="736"/>
      <c r="L58" s="736"/>
      <c r="M58" s="736"/>
      <c r="N58" s="736"/>
      <c r="O58" s="736"/>
      <c r="P58" s="736"/>
      <c r="Q58" s="736"/>
      <c r="R58" s="737"/>
    </row>
    <row r="59" spans="1:18" ht="16.5">
      <c r="A59" s="23"/>
      <c r="B59" s="2"/>
      <c r="C59" s="87"/>
      <c r="D59" s="87"/>
      <c r="E59" s="87"/>
      <c r="F59" s="87"/>
      <c r="G59" s="107" t="s">
        <v>16</v>
      </c>
      <c r="H59" s="37">
        <f>H58/C46</f>
        <v>2421.8217447999996</v>
      </c>
      <c r="I59" s="108" t="str">
        <f>CONCATENATE("per ",C47)</f>
        <v>per sqm</v>
      </c>
      <c r="J59" s="735"/>
      <c r="K59" s="736"/>
      <c r="L59" s="736"/>
      <c r="M59" s="736"/>
      <c r="N59" s="736"/>
      <c r="O59" s="736"/>
      <c r="P59" s="736"/>
      <c r="Q59" s="736"/>
      <c r="R59" s="737"/>
    </row>
    <row r="60" spans="1:18" ht="16.5">
      <c r="A60" s="23"/>
      <c r="B60" s="2" t="s">
        <v>18</v>
      </c>
      <c r="C60" s="87" t="s">
        <v>19</v>
      </c>
      <c r="D60" s="87"/>
      <c r="E60" s="87"/>
      <c r="F60" s="87"/>
      <c r="G60" s="107" t="s">
        <v>16</v>
      </c>
      <c r="H60" s="37">
        <f>CEILING(H59,0.5)</f>
        <v>2422</v>
      </c>
      <c r="I60" s="108" t="str">
        <f>CONCATENATE("per ",C47)</f>
        <v>per sqm</v>
      </c>
      <c r="J60" s="735"/>
      <c r="K60" s="736"/>
      <c r="L60" s="736"/>
      <c r="M60" s="736"/>
      <c r="N60" s="736"/>
      <c r="O60" s="736"/>
      <c r="P60" s="736"/>
      <c r="Q60" s="736"/>
      <c r="R60" s="737"/>
    </row>
    <row r="61" spans="1:18" ht="16.5">
      <c r="A61" s="23"/>
      <c r="B61" s="2"/>
      <c r="C61" s="87"/>
      <c r="D61" s="87"/>
      <c r="E61" s="87"/>
      <c r="F61" s="87"/>
      <c r="G61" s="109" t="s">
        <v>17</v>
      </c>
      <c r="H61" s="37">
        <f>H60/exr</f>
        <v>18.630769230769232</v>
      </c>
      <c r="I61" s="108" t="str">
        <f>CONCATENATE("per ",C47)</f>
        <v>per sqm</v>
      </c>
      <c r="J61" s="738"/>
      <c r="K61" s="739"/>
      <c r="L61" s="739"/>
      <c r="M61" s="739"/>
      <c r="N61" s="739"/>
      <c r="O61" s="739"/>
      <c r="P61" s="739"/>
      <c r="Q61" s="739"/>
      <c r="R61" s="740"/>
    </row>
    <row r="62" spans="1:18" ht="16.5">
      <c r="A62" s="39"/>
      <c r="B62" s="40"/>
      <c r="C62" s="41"/>
      <c r="D62" s="41"/>
      <c r="E62" s="41"/>
      <c r="F62" s="41"/>
      <c r="G62" s="149" t="s">
        <v>460</v>
      </c>
      <c r="H62" s="150">
        <f>CEILING(SUM(M49)/H54,0.0025)</f>
        <v>5.5E-2</v>
      </c>
      <c r="I62" s="42"/>
      <c r="J62" s="43"/>
      <c r="K62" s="43"/>
      <c r="L62" s="43"/>
      <c r="M62" s="43"/>
      <c r="N62" s="43"/>
      <c r="O62" s="43"/>
      <c r="P62" s="43"/>
      <c r="Q62" s="43"/>
      <c r="R62" s="44"/>
    </row>
    <row r="64" spans="1:18" ht="16.5">
      <c r="A64" s="693" t="s">
        <v>0</v>
      </c>
      <c r="B64" s="695" t="s">
        <v>1</v>
      </c>
      <c r="C64" s="695" t="s">
        <v>2</v>
      </c>
      <c r="D64" s="697" t="s">
        <v>3</v>
      </c>
      <c r="E64" s="698"/>
      <c r="F64" s="698"/>
      <c r="G64" s="698"/>
      <c r="H64" s="698"/>
      <c r="I64" s="699" t="s">
        <v>4</v>
      </c>
      <c r="J64" s="700"/>
      <c r="K64" s="700"/>
      <c r="L64" s="700"/>
      <c r="M64" s="700"/>
      <c r="N64" s="698" t="s">
        <v>5</v>
      </c>
      <c r="O64" s="698"/>
      <c r="P64" s="698"/>
      <c r="Q64" s="698"/>
      <c r="R64" s="698"/>
    </row>
    <row r="65" spans="1:18" ht="16.5">
      <c r="A65" s="694"/>
      <c r="B65" s="696"/>
      <c r="C65" s="696"/>
      <c r="D65" s="45" t="s">
        <v>6</v>
      </c>
      <c r="E65" s="46" t="s">
        <v>2</v>
      </c>
      <c r="F65" s="46" t="s">
        <v>7</v>
      </c>
      <c r="G65" s="46" t="s">
        <v>8</v>
      </c>
      <c r="H65" s="46" t="s">
        <v>9</v>
      </c>
      <c r="I65" s="46" t="s">
        <v>10</v>
      </c>
      <c r="J65" s="46" t="s">
        <v>2</v>
      </c>
      <c r="K65" s="46" t="s">
        <v>7</v>
      </c>
      <c r="L65" s="46" t="s">
        <v>8</v>
      </c>
      <c r="M65" s="47" t="s">
        <v>9</v>
      </c>
      <c r="N65" s="46" t="s">
        <v>10</v>
      </c>
      <c r="O65" s="46" t="s">
        <v>2</v>
      </c>
      <c r="P65" s="46" t="s">
        <v>7</v>
      </c>
      <c r="Q65" s="46" t="s">
        <v>8</v>
      </c>
      <c r="R65" s="46" t="s">
        <v>9</v>
      </c>
    </row>
    <row r="66" spans="1:18" ht="15.75">
      <c r="A66" s="33" t="s">
        <v>23</v>
      </c>
      <c r="B66" s="73" t="s">
        <v>922</v>
      </c>
      <c r="C66" s="31"/>
      <c r="D66" s="31"/>
      <c r="E66" s="31"/>
      <c r="F66" s="31"/>
      <c r="G66" s="31"/>
      <c r="H66" s="31"/>
      <c r="I66" s="31"/>
      <c r="J66" s="31"/>
      <c r="K66" s="31"/>
      <c r="L66" s="31"/>
      <c r="M66" s="31"/>
      <c r="N66" s="31"/>
      <c r="O66" s="31"/>
      <c r="P66" s="31"/>
      <c r="Q66" s="31"/>
      <c r="R66" s="32"/>
    </row>
    <row r="67" spans="1:18" ht="16.5">
      <c r="A67" s="34">
        <f>A46+1</f>
        <v>4</v>
      </c>
      <c r="B67" s="730" t="s">
        <v>626</v>
      </c>
      <c r="C67" s="546">
        <v>10</v>
      </c>
      <c r="D67" s="87"/>
      <c r="E67" s="8"/>
      <c r="F67" s="88"/>
      <c r="G67" s="28"/>
      <c r="H67" s="28"/>
      <c r="I67" s="8"/>
      <c r="J67" s="8"/>
      <c r="K67" s="88"/>
      <c r="L67" s="28"/>
      <c r="M67" s="28"/>
      <c r="N67" s="8"/>
      <c r="O67" s="8"/>
      <c r="P67" s="88"/>
      <c r="Q67" s="28"/>
      <c r="R67" s="28"/>
    </row>
    <row r="68" spans="1:18" ht="16.5">
      <c r="A68" s="2"/>
      <c r="B68" s="731"/>
      <c r="C68" s="171" t="s">
        <v>127</v>
      </c>
      <c r="D68" s="87" t="s">
        <v>96</v>
      </c>
      <c r="E68" s="8" t="s">
        <v>81</v>
      </c>
      <c r="F68" s="88">
        <v>2.4</v>
      </c>
      <c r="G68" s="28">
        <f>sr</f>
        <v>1100</v>
      </c>
      <c r="H68" s="28">
        <f>F68*G68</f>
        <v>2640</v>
      </c>
      <c r="I68" s="89" t="s">
        <v>919</v>
      </c>
      <c r="J68" s="8" t="s">
        <v>28</v>
      </c>
      <c r="K68" s="88">
        <f>530/50</f>
        <v>10.6</v>
      </c>
      <c r="L68" s="28">
        <f>ms_sheet</f>
        <v>278.83999999999997</v>
      </c>
      <c r="M68" s="28">
        <f>K68*L68</f>
        <v>2955.7039999999997</v>
      </c>
      <c r="N68" s="8"/>
      <c r="O68" s="8"/>
      <c r="P68" s="88"/>
      <c r="Q68" s="28"/>
      <c r="R68" s="28"/>
    </row>
    <row r="69" spans="1:18" ht="16.5">
      <c r="A69" s="2"/>
      <c r="B69" s="731"/>
      <c r="C69" s="8"/>
      <c r="D69" s="87" t="s">
        <v>97</v>
      </c>
      <c r="E69" s="8" t="s">
        <v>81</v>
      </c>
      <c r="F69" s="88">
        <v>3.3</v>
      </c>
      <c r="G69" s="28">
        <f>ur</f>
        <v>850</v>
      </c>
      <c r="H69" s="28">
        <f>F69*G69</f>
        <v>2805</v>
      </c>
      <c r="I69" s="89" t="s">
        <v>921</v>
      </c>
      <c r="J69" s="8" t="s">
        <v>47</v>
      </c>
      <c r="K69" s="88">
        <f>135/90</f>
        <v>1.5</v>
      </c>
      <c r="L69" s="154">
        <f>ms_pipe</f>
        <v>381.1</v>
      </c>
      <c r="M69" s="28">
        <f>K69*L69</f>
        <v>571.65000000000009</v>
      </c>
      <c r="N69" s="8"/>
      <c r="O69" s="8"/>
      <c r="P69" s="88"/>
      <c r="Q69" s="28"/>
      <c r="R69" s="28"/>
    </row>
    <row r="70" spans="1:18" ht="16.5">
      <c r="A70" s="2"/>
      <c r="B70" s="731"/>
      <c r="C70" s="8"/>
      <c r="D70" s="87"/>
      <c r="E70" s="8"/>
      <c r="F70" s="88"/>
      <c r="G70" s="28"/>
      <c r="H70" s="28"/>
      <c r="I70" s="89" t="s">
        <v>799</v>
      </c>
      <c r="J70" s="8" t="s">
        <v>800</v>
      </c>
      <c r="K70" s="88">
        <f>77/50</f>
        <v>1.54</v>
      </c>
      <c r="L70" s="28">
        <f>Clamps</f>
        <v>3248.94</v>
      </c>
      <c r="M70" s="28">
        <f>K70*L70</f>
        <v>5003.3676000000005</v>
      </c>
      <c r="N70" s="8"/>
      <c r="O70" s="8"/>
      <c r="P70" s="88"/>
      <c r="Q70" s="28"/>
      <c r="R70" s="28"/>
    </row>
    <row r="71" spans="1:18" ht="16.5">
      <c r="A71" s="2"/>
      <c r="B71" s="731"/>
      <c r="C71" s="8"/>
      <c r="D71" s="87"/>
      <c r="E71" s="8"/>
      <c r="F71" s="88"/>
      <c r="G71" s="28"/>
      <c r="H71" s="28"/>
      <c r="I71" s="89" t="s">
        <v>920</v>
      </c>
      <c r="J71" s="8" t="s">
        <v>800</v>
      </c>
      <c r="K71" s="88">
        <f>178/35</f>
        <v>5.0857142857142854</v>
      </c>
      <c r="L71" s="28">
        <f>Nuts_Bolts</f>
        <v>274.48</v>
      </c>
      <c r="M71" s="28">
        <f>K71*L71</f>
        <v>1395.9268571428572</v>
      </c>
      <c r="N71" s="8"/>
      <c r="O71" s="8"/>
      <c r="P71" s="88"/>
      <c r="Q71" s="28"/>
      <c r="R71" s="28"/>
    </row>
    <row r="72" spans="1:18" ht="16.5">
      <c r="A72" s="2"/>
      <c r="B72" s="731"/>
      <c r="C72" s="8"/>
      <c r="D72" s="87"/>
      <c r="E72" s="8"/>
      <c r="F72" s="88"/>
      <c r="G72" s="28"/>
      <c r="H72" s="28"/>
      <c r="I72" s="89"/>
      <c r="J72" s="8"/>
      <c r="K72" s="88"/>
      <c r="L72" s="28"/>
      <c r="M72" s="28"/>
      <c r="N72" s="8"/>
      <c r="O72" s="8"/>
      <c r="P72" s="88"/>
      <c r="Q72" s="28"/>
      <c r="R72" s="28"/>
    </row>
    <row r="73" spans="1:18" ht="16.5">
      <c r="A73" s="2"/>
      <c r="B73" s="172"/>
      <c r="C73" s="8"/>
      <c r="D73" s="87"/>
      <c r="E73" s="10"/>
      <c r="F73" s="91"/>
      <c r="G73" s="92"/>
      <c r="H73" s="92"/>
      <c r="I73" s="10"/>
      <c r="J73" s="10"/>
      <c r="K73" s="91"/>
      <c r="L73" s="28"/>
      <c r="M73" s="28"/>
      <c r="N73" s="8"/>
      <c r="O73" s="8"/>
      <c r="P73" s="91"/>
      <c r="Q73" s="28"/>
      <c r="R73" s="28"/>
    </row>
    <row r="74" spans="1:18" ht="16.5">
      <c r="A74" s="2"/>
      <c r="B74" s="2"/>
      <c r="C74" s="8"/>
      <c r="D74" s="93"/>
      <c r="E74" s="563"/>
      <c r="F74" s="95"/>
      <c r="G74" s="95" t="s">
        <v>20</v>
      </c>
      <c r="H74" s="96">
        <f>SUM(H67:H73)</f>
        <v>5445</v>
      </c>
      <c r="I74" s="717"/>
      <c r="J74" s="717"/>
      <c r="K74" s="97"/>
      <c r="L74" s="95" t="s">
        <v>21</v>
      </c>
      <c r="M74" s="96">
        <f>SUM(M67:M73)</f>
        <v>9926.6484571428573</v>
      </c>
      <c r="N74" s="98"/>
      <c r="O74" s="97"/>
      <c r="P74" s="97"/>
      <c r="Q74" s="95" t="s">
        <v>22</v>
      </c>
      <c r="R74" s="96">
        <f>SUM(R67:R73)</f>
        <v>0</v>
      </c>
    </row>
    <row r="75" spans="1:18" ht="16.5">
      <c r="A75" s="2"/>
      <c r="B75" s="99" t="s">
        <v>13</v>
      </c>
      <c r="C75" s="97"/>
      <c r="D75" s="97"/>
      <c r="E75" s="97"/>
      <c r="F75" s="97"/>
      <c r="G75" s="95"/>
      <c r="H75" s="100">
        <f>M74+R74+H74</f>
        <v>15371.648457142857</v>
      </c>
      <c r="I75" s="101"/>
      <c r="J75" s="97"/>
      <c r="K75" s="97"/>
      <c r="L75" s="95"/>
      <c r="M75" s="102"/>
      <c r="N75" s="97"/>
      <c r="O75" s="97"/>
      <c r="P75" s="97"/>
      <c r="Q75" s="97"/>
      <c r="R75" s="101"/>
    </row>
    <row r="76" spans="1:18" ht="16.5">
      <c r="A76" s="2"/>
      <c r="B76" s="2" t="s">
        <v>25</v>
      </c>
      <c r="C76" s="4" t="s">
        <v>647</v>
      </c>
      <c r="D76" s="87"/>
      <c r="E76" s="87"/>
      <c r="F76" s="87"/>
      <c r="G76" s="103"/>
      <c r="H76" s="104">
        <f>20%*H74</f>
        <v>1089</v>
      </c>
      <c r="I76" s="105"/>
      <c r="J76" s="87" t="s">
        <v>26</v>
      </c>
      <c r="K76" s="87"/>
      <c r="L76" s="103"/>
      <c r="M76" s="106"/>
      <c r="N76" s="87"/>
      <c r="O76" s="87"/>
      <c r="P76" s="87"/>
      <c r="Q76" s="87"/>
      <c r="R76" s="105"/>
    </row>
    <row r="77" spans="1:18" ht="16.5">
      <c r="A77" s="23"/>
      <c r="B77" s="2" t="s">
        <v>14</v>
      </c>
      <c r="C77" s="87"/>
      <c r="D77" s="87"/>
      <c r="E77" s="87"/>
      <c r="F77" s="87"/>
      <c r="G77" s="103"/>
      <c r="H77" s="104">
        <f>SUM(H75:H76)</f>
        <v>16460.648457142859</v>
      </c>
      <c r="I77" s="105"/>
      <c r="J77" s="732"/>
      <c r="K77" s="733"/>
      <c r="L77" s="733"/>
      <c r="M77" s="733"/>
      <c r="N77" s="733"/>
      <c r="O77" s="733"/>
      <c r="P77" s="733"/>
      <c r="Q77" s="733"/>
      <c r="R77" s="734"/>
    </row>
    <row r="78" spans="1:18" ht="16.5">
      <c r="A78" s="23"/>
      <c r="B78" s="2" t="s">
        <v>24</v>
      </c>
      <c r="C78" s="87"/>
      <c r="D78" s="87"/>
      <c r="E78" s="87"/>
      <c r="F78" s="87"/>
      <c r="G78" s="103"/>
      <c r="H78" s="104">
        <f>H77*15%</f>
        <v>2469.0972685714287</v>
      </c>
      <c r="I78" s="105"/>
      <c r="J78" s="735"/>
      <c r="K78" s="736"/>
      <c r="L78" s="736"/>
      <c r="M78" s="736"/>
      <c r="N78" s="736"/>
      <c r="O78" s="736"/>
      <c r="P78" s="736"/>
      <c r="Q78" s="736"/>
      <c r="R78" s="737"/>
    </row>
    <row r="79" spans="1:18" ht="16.5">
      <c r="A79" s="23"/>
      <c r="B79" s="2" t="s">
        <v>15</v>
      </c>
      <c r="C79" s="87"/>
      <c r="D79" s="87"/>
      <c r="E79" s="87"/>
      <c r="F79" s="87"/>
      <c r="G79" s="107" t="s">
        <v>16</v>
      </c>
      <c r="H79" s="37">
        <f>H78+H77</f>
        <v>18929.745725714289</v>
      </c>
      <c r="I79" s="108" t="str">
        <f>CONCATENATE("per ",C67, C68)</f>
        <v>per 10sqm</v>
      </c>
      <c r="J79" s="735"/>
      <c r="K79" s="736"/>
      <c r="L79" s="736"/>
      <c r="M79" s="736"/>
      <c r="N79" s="736"/>
      <c r="O79" s="736"/>
      <c r="P79" s="736"/>
      <c r="Q79" s="736"/>
      <c r="R79" s="737"/>
    </row>
    <row r="80" spans="1:18" ht="16.5">
      <c r="A80" s="23"/>
      <c r="B80" s="2"/>
      <c r="C80" s="87"/>
      <c r="D80" s="87"/>
      <c r="E80" s="87"/>
      <c r="F80" s="87"/>
      <c r="G80" s="107" t="s">
        <v>16</v>
      </c>
      <c r="H80" s="37">
        <f>H79/C67</f>
        <v>1892.9745725714288</v>
      </c>
      <c r="I80" s="108" t="str">
        <f>CONCATENATE("per ",C68)</f>
        <v>per sqm</v>
      </c>
      <c r="J80" s="735"/>
      <c r="K80" s="736"/>
      <c r="L80" s="736"/>
      <c r="M80" s="736"/>
      <c r="N80" s="736"/>
      <c r="O80" s="736"/>
      <c r="P80" s="736"/>
      <c r="Q80" s="736"/>
      <c r="R80" s="737"/>
    </row>
    <row r="81" spans="1:18" ht="16.5">
      <c r="A81" s="23"/>
      <c r="B81" s="2" t="s">
        <v>18</v>
      </c>
      <c r="C81" s="87" t="s">
        <v>19</v>
      </c>
      <c r="D81" s="87"/>
      <c r="E81" s="87"/>
      <c r="F81" s="87"/>
      <c r="G81" s="107" t="s">
        <v>16</v>
      </c>
      <c r="H81" s="37">
        <f>CEILING(H80,0.5)</f>
        <v>1893</v>
      </c>
      <c r="I81" s="108" t="str">
        <f>CONCATENATE("per ",C68)</f>
        <v>per sqm</v>
      </c>
      <c r="J81" s="735"/>
      <c r="K81" s="736"/>
      <c r="L81" s="736"/>
      <c r="M81" s="736"/>
      <c r="N81" s="736"/>
      <c r="O81" s="736"/>
      <c r="P81" s="736"/>
      <c r="Q81" s="736"/>
      <c r="R81" s="737"/>
    </row>
    <row r="82" spans="1:18" ht="16.5">
      <c r="A82" s="23"/>
      <c r="B82" s="2"/>
      <c r="C82" s="87"/>
      <c r="D82" s="87"/>
      <c r="E82" s="87"/>
      <c r="F82" s="87"/>
      <c r="G82" s="109" t="s">
        <v>17</v>
      </c>
      <c r="H82" s="37">
        <f>H81/exr</f>
        <v>14.561538461538461</v>
      </c>
      <c r="I82" s="108" t="str">
        <f>CONCATENATE("per ",C68)</f>
        <v>per sqm</v>
      </c>
      <c r="J82" s="738"/>
      <c r="K82" s="739"/>
      <c r="L82" s="739"/>
      <c r="M82" s="739"/>
      <c r="N82" s="739"/>
      <c r="O82" s="739"/>
      <c r="P82" s="739"/>
      <c r="Q82" s="739"/>
      <c r="R82" s="740"/>
    </row>
    <row r="83" spans="1:18" ht="16.5">
      <c r="A83" s="39"/>
      <c r="B83" s="40"/>
      <c r="C83" s="41"/>
      <c r="D83" s="41"/>
      <c r="E83" s="41"/>
      <c r="F83" s="41"/>
      <c r="G83" s="149" t="s">
        <v>460</v>
      </c>
      <c r="H83" s="150">
        <f>CEILING(SUM(M70)/H75,0.0025)</f>
        <v>0.32750000000000001</v>
      </c>
      <c r="I83" s="42"/>
      <c r="J83" s="43"/>
      <c r="K83" s="43"/>
      <c r="L83" s="43"/>
      <c r="M83" s="43"/>
      <c r="N83" s="43"/>
      <c r="O83" s="43"/>
      <c r="P83" s="43"/>
      <c r="Q83" s="43"/>
      <c r="R83" s="44"/>
    </row>
    <row r="84" spans="1:18" ht="16.5">
      <c r="A84" s="170"/>
      <c r="B84" s="170"/>
      <c r="C84" s="170"/>
      <c r="D84" s="170"/>
      <c r="E84" s="170"/>
      <c r="F84" s="170"/>
      <c r="G84" s="170"/>
      <c r="H84" s="170"/>
      <c r="I84" s="170"/>
      <c r="J84" s="170"/>
      <c r="K84" s="170"/>
      <c r="L84" s="170"/>
      <c r="M84" s="170"/>
      <c r="N84" s="170"/>
      <c r="O84" s="170"/>
      <c r="P84" s="170"/>
      <c r="Q84" s="170"/>
      <c r="R84" s="170"/>
    </row>
    <row r="85" spans="1:18" ht="16.5">
      <c r="A85" s="693" t="s">
        <v>0</v>
      </c>
      <c r="B85" s="695" t="s">
        <v>1</v>
      </c>
      <c r="C85" s="695" t="s">
        <v>2</v>
      </c>
      <c r="D85" s="697" t="s">
        <v>3</v>
      </c>
      <c r="E85" s="698"/>
      <c r="F85" s="698"/>
      <c r="G85" s="698"/>
      <c r="H85" s="698"/>
      <c r="I85" s="699" t="s">
        <v>4</v>
      </c>
      <c r="J85" s="700"/>
      <c r="K85" s="700"/>
      <c r="L85" s="700"/>
      <c r="M85" s="700"/>
      <c r="N85" s="698" t="s">
        <v>5</v>
      </c>
      <c r="O85" s="698"/>
      <c r="P85" s="698"/>
      <c r="Q85" s="698"/>
      <c r="R85" s="698"/>
    </row>
    <row r="86" spans="1:18" ht="16.5">
      <c r="A86" s="694"/>
      <c r="B86" s="696"/>
      <c r="C86" s="696"/>
      <c r="D86" s="45" t="s">
        <v>6</v>
      </c>
      <c r="E86" s="46" t="s">
        <v>2</v>
      </c>
      <c r="F86" s="46" t="s">
        <v>7</v>
      </c>
      <c r="G86" s="46" t="s">
        <v>8</v>
      </c>
      <c r="H86" s="46" t="s">
        <v>9</v>
      </c>
      <c r="I86" s="46" t="s">
        <v>10</v>
      </c>
      <c r="J86" s="46" t="s">
        <v>2</v>
      </c>
      <c r="K86" s="46" t="s">
        <v>7</v>
      </c>
      <c r="L86" s="46" t="s">
        <v>8</v>
      </c>
      <c r="M86" s="47" t="s">
        <v>9</v>
      </c>
      <c r="N86" s="46" t="s">
        <v>10</v>
      </c>
      <c r="O86" s="46" t="s">
        <v>2</v>
      </c>
      <c r="P86" s="46" t="s">
        <v>7</v>
      </c>
      <c r="Q86" s="46" t="s">
        <v>8</v>
      </c>
      <c r="R86" s="46" t="s">
        <v>9</v>
      </c>
    </row>
    <row r="87" spans="1:18" ht="15.75">
      <c r="A87" s="33" t="s">
        <v>23</v>
      </c>
      <c r="B87" s="73" t="s">
        <v>923</v>
      </c>
      <c r="C87" s="31"/>
      <c r="D87" s="31"/>
      <c r="E87" s="31"/>
      <c r="F87" s="31"/>
      <c r="G87" s="31"/>
      <c r="H87" s="31"/>
      <c r="I87" s="31"/>
      <c r="J87" s="31"/>
      <c r="K87" s="31"/>
      <c r="L87" s="31"/>
      <c r="M87" s="31"/>
      <c r="N87" s="31"/>
      <c r="O87" s="31"/>
      <c r="P87" s="31"/>
      <c r="Q87" s="31"/>
      <c r="R87" s="32"/>
    </row>
    <row r="88" spans="1:18" ht="16.5">
      <c r="A88" s="34">
        <f>A67+1</f>
        <v>5</v>
      </c>
      <c r="B88" s="730" t="s">
        <v>628</v>
      </c>
      <c r="C88" s="546">
        <v>10</v>
      </c>
      <c r="D88" s="87"/>
      <c r="E88" s="8"/>
      <c r="F88" s="88"/>
      <c r="G88" s="28"/>
      <c r="H88" s="28"/>
      <c r="I88" s="8"/>
      <c r="J88" s="8"/>
      <c r="K88" s="88"/>
      <c r="L88" s="28"/>
      <c r="M88" s="28"/>
      <c r="N88" s="8"/>
      <c r="O88" s="8"/>
      <c r="P88" s="88"/>
      <c r="Q88" s="28"/>
      <c r="R88" s="28"/>
    </row>
    <row r="89" spans="1:18" ht="16.5">
      <c r="A89" s="2"/>
      <c r="B89" s="731"/>
      <c r="C89" s="171" t="s">
        <v>127</v>
      </c>
      <c r="D89" s="87" t="s">
        <v>96</v>
      </c>
      <c r="E89" s="8" t="s">
        <v>81</v>
      </c>
      <c r="F89" s="88">
        <v>2.9</v>
      </c>
      <c r="G89" s="28">
        <f>sr</f>
        <v>1100</v>
      </c>
      <c r="H89" s="28">
        <f>F89*G89</f>
        <v>3190</v>
      </c>
      <c r="I89" s="89" t="s">
        <v>919</v>
      </c>
      <c r="J89" s="8" t="s">
        <v>28</v>
      </c>
      <c r="K89" s="88">
        <f>530/50</f>
        <v>10.6</v>
      </c>
      <c r="L89" s="28">
        <f>ms_sheet</f>
        <v>278.83999999999997</v>
      </c>
      <c r="M89" s="28">
        <f>K89*L89</f>
        <v>2955.7039999999997</v>
      </c>
      <c r="N89" s="8"/>
      <c r="O89" s="8"/>
      <c r="P89" s="88"/>
      <c r="Q89" s="28"/>
      <c r="R89" s="28"/>
    </row>
    <row r="90" spans="1:18" ht="16.5">
      <c r="A90" s="2"/>
      <c r="B90" s="731"/>
      <c r="C90" s="8"/>
      <c r="D90" s="87" t="s">
        <v>97</v>
      </c>
      <c r="E90" s="8" t="s">
        <v>81</v>
      </c>
      <c r="F90" s="88">
        <v>4.2</v>
      </c>
      <c r="G90" s="28">
        <f>ur</f>
        <v>850</v>
      </c>
      <c r="H90" s="28">
        <f>F90*G90</f>
        <v>3570</v>
      </c>
      <c r="I90" s="89" t="s">
        <v>921</v>
      </c>
      <c r="J90" s="8" t="s">
        <v>47</v>
      </c>
      <c r="K90" s="88">
        <f>162/90</f>
        <v>1.8</v>
      </c>
      <c r="L90" s="154">
        <f>ms_pipe</f>
        <v>381.1</v>
      </c>
      <c r="M90" s="28">
        <f t="shared" ref="M90:M92" si="0">K90*L90</f>
        <v>685.98</v>
      </c>
      <c r="N90" s="8"/>
      <c r="O90" s="8"/>
      <c r="P90" s="88"/>
      <c r="Q90" s="28"/>
      <c r="R90" s="28"/>
    </row>
    <row r="91" spans="1:18" ht="16.5">
      <c r="A91" s="2"/>
      <c r="B91" s="731"/>
      <c r="C91" s="8"/>
      <c r="D91" s="87"/>
      <c r="E91" s="8"/>
      <c r="F91" s="88"/>
      <c r="G91" s="28"/>
      <c r="H91" s="28"/>
      <c r="I91" s="89" t="s">
        <v>799</v>
      </c>
      <c r="J91" s="8" t="s">
        <v>800</v>
      </c>
      <c r="K91" s="88">
        <f>93/50</f>
        <v>1.86</v>
      </c>
      <c r="L91" s="28">
        <f>Clamps</f>
        <v>3248.94</v>
      </c>
      <c r="M91" s="28">
        <f t="shared" si="0"/>
        <v>6043.0284000000001</v>
      </c>
      <c r="N91" s="8"/>
      <c r="O91" s="8"/>
      <c r="P91" s="88"/>
      <c r="Q91" s="28"/>
      <c r="R91" s="28"/>
    </row>
    <row r="92" spans="1:18" ht="16.5">
      <c r="A92" s="2"/>
      <c r="B92" s="731"/>
      <c r="C92" s="8"/>
      <c r="D92" s="87"/>
      <c r="E92" s="8"/>
      <c r="F92" s="88"/>
      <c r="G92" s="28"/>
      <c r="H92" s="28"/>
      <c r="I92" s="89" t="s">
        <v>920</v>
      </c>
      <c r="J92" s="8" t="s">
        <v>800</v>
      </c>
      <c r="K92" s="88">
        <f>178/35</f>
        <v>5.0857142857142854</v>
      </c>
      <c r="L92" s="28">
        <f>Nuts_Bolts</f>
        <v>274.48</v>
      </c>
      <c r="M92" s="28">
        <f t="shared" si="0"/>
        <v>1395.9268571428572</v>
      </c>
      <c r="N92" s="8"/>
      <c r="O92" s="8"/>
      <c r="P92" s="88"/>
      <c r="Q92" s="28"/>
      <c r="R92" s="28"/>
    </row>
    <row r="93" spans="1:18" ht="16.5">
      <c r="A93" s="2"/>
      <c r="B93" s="731"/>
      <c r="C93" s="8"/>
      <c r="D93" s="87"/>
      <c r="E93" s="8"/>
      <c r="F93" s="88"/>
      <c r="G93" s="28"/>
      <c r="H93" s="28"/>
      <c r="I93" s="89"/>
      <c r="J93" s="8"/>
      <c r="K93" s="88"/>
      <c r="L93" s="28"/>
      <c r="M93" s="28"/>
      <c r="N93" s="8"/>
      <c r="O93" s="8"/>
      <c r="P93" s="88"/>
      <c r="Q93" s="28"/>
      <c r="R93" s="28"/>
    </row>
    <row r="94" spans="1:18" ht="16.5">
      <c r="A94" s="2"/>
      <c r="B94" s="172"/>
      <c r="C94" s="8"/>
      <c r="D94" s="87"/>
      <c r="E94" s="10"/>
      <c r="F94" s="91"/>
      <c r="G94" s="92"/>
      <c r="H94" s="92"/>
      <c r="I94" s="10"/>
      <c r="J94" s="10"/>
      <c r="K94" s="91"/>
      <c r="L94" s="28"/>
      <c r="M94" s="28"/>
      <c r="N94" s="8"/>
      <c r="O94" s="8"/>
      <c r="P94" s="91"/>
      <c r="Q94" s="28"/>
      <c r="R94" s="28"/>
    </row>
    <row r="95" spans="1:18" ht="16.5">
      <c r="A95" s="2"/>
      <c r="B95" s="2"/>
      <c r="C95" s="8"/>
      <c r="D95" s="93"/>
      <c r="E95" s="563"/>
      <c r="F95" s="95"/>
      <c r="G95" s="95" t="s">
        <v>20</v>
      </c>
      <c r="H95" s="96">
        <f>SUM(H88:H94)</f>
        <v>6760</v>
      </c>
      <c r="I95" s="717"/>
      <c r="J95" s="717"/>
      <c r="K95" s="97"/>
      <c r="L95" s="95" t="s">
        <v>21</v>
      </c>
      <c r="M95" s="96">
        <f>SUM(M88:M94)</f>
        <v>11080.639257142857</v>
      </c>
      <c r="N95" s="98"/>
      <c r="O95" s="97"/>
      <c r="P95" s="97"/>
      <c r="Q95" s="95" t="s">
        <v>22</v>
      </c>
      <c r="R95" s="96">
        <f>SUM(R88:R94)</f>
        <v>0</v>
      </c>
    </row>
    <row r="96" spans="1:18" ht="16.5">
      <c r="A96" s="2"/>
      <c r="B96" s="99" t="s">
        <v>13</v>
      </c>
      <c r="C96" s="97"/>
      <c r="D96" s="97"/>
      <c r="E96" s="97"/>
      <c r="F96" s="97"/>
      <c r="G96" s="95"/>
      <c r="H96" s="100">
        <f>M95+R95+H95</f>
        <v>17840.639257142859</v>
      </c>
      <c r="I96" s="101"/>
      <c r="J96" s="97"/>
      <c r="K96" s="97"/>
      <c r="L96" s="95"/>
      <c r="M96" s="102"/>
      <c r="N96" s="97"/>
      <c r="O96" s="97"/>
      <c r="P96" s="97"/>
      <c r="Q96" s="97"/>
      <c r="R96" s="101"/>
    </row>
    <row r="97" spans="1:18" ht="16.5">
      <c r="A97" s="2"/>
      <c r="B97" s="2" t="s">
        <v>25</v>
      </c>
      <c r="C97" s="4" t="s">
        <v>647</v>
      </c>
      <c r="D97" s="87"/>
      <c r="E97" s="87"/>
      <c r="F97" s="87"/>
      <c r="G97" s="103"/>
      <c r="H97" s="104">
        <f>20%*H95</f>
        <v>1352</v>
      </c>
      <c r="I97" s="105"/>
      <c r="J97" s="87" t="s">
        <v>26</v>
      </c>
      <c r="K97" s="87"/>
      <c r="L97" s="103"/>
      <c r="M97" s="106"/>
      <c r="N97" s="87"/>
      <c r="O97" s="87"/>
      <c r="P97" s="87"/>
      <c r="Q97" s="87"/>
      <c r="R97" s="105"/>
    </row>
    <row r="98" spans="1:18" ht="16.5">
      <c r="A98" s="23"/>
      <c r="B98" s="2" t="s">
        <v>14</v>
      </c>
      <c r="C98" s="87"/>
      <c r="D98" s="87"/>
      <c r="E98" s="87"/>
      <c r="F98" s="87"/>
      <c r="G98" s="103"/>
      <c r="H98" s="104">
        <f>SUM(H96:H97)</f>
        <v>19192.639257142859</v>
      </c>
      <c r="I98" s="105"/>
      <c r="J98" s="732"/>
      <c r="K98" s="733"/>
      <c r="L98" s="733"/>
      <c r="M98" s="733"/>
      <c r="N98" s="733"/>
      <c r="O98" s="733"/>
      <c r="P98" s="733"/>
      <c r="Q98" s="733"/>
      <c r="R98" s="734"/>
    </row>
    <row r="99" spans="1:18" ht="16.5">
      <c r="A99" s="23"/>
      <c r="B99" s="2" t="s">
        <v>24</v>
      </c>
      <c r="C99" s="87"/>
      <c r="D99" s="87"/>
      <c r="E99" s="87"/>
      <c r="F99" s="87"/>
      <c r="G99" s="103"/>
      <c r="H99" s="104">
        <f>H98*15%</f>
        <v>2878.8958885714287</v>
      </c>
      <c r="I99" s="105"/>
      <c r="J99" s="735"/>
      <c r="K99" s="736"/>
      <c r="L99" s="736"/>
      <c r="M99" s="736"/>
      <c r="N99" s="736"/>
      <c r="O99" s="736"/>
      <c r="P99" s="736"/>
      <c r="Q99" s="736"/>
      <c r="R99" s="737"/>
    </row>
    <row r="100" spans="1:18" ht="16.5">
      <c r="A100" s="23"/>
      <c r="B100" s="2" t="s">
        <v>15</v>
      </c>
      <c r="C100" s="87"/>
      <c r="D100" s="87"/>
      <c r="E100" s="87"/>
      <c r="F100" s="87"/>
      <c r="G100" s="107" t="s">
        <v>16</v>
      </c>
      <c r="H100" s="37">
        <f>H99+H98</f>
        <v>22071.535145714286</v>
      </c>
      <c r="I100" s="108" t="str">
        <f>CONCATENATE("per ",C88, C89)</f>
        <v>per 10sqm</v>
      </c>
      <c r="J100" s="735"/>
      <c r="K100" s="736"/>
      <c r="L100" s="736"/>
      <c r="M100" s="736"/>
      <c r="N100" s="736"/>
      <c r="O100" s="736"/>
      <c r="P100" s="736"/>
      <c r="Q100" s="736"/>
      <c r="R100" s="737"/>
    </row>
    <row r="101" spans="1:18" ht="16.5">
      <c r="A101" s="23"/>
      <c r="B101" s="2"/>
      <c r="C101" s="87"/>
      <c r="D101" s="87"/>
      <c r="E101" s="87"/>
      <c r="F101" s="87"/>
      <c r="G101" s="107" t="s">
        <v>16</v>
      </c>
      <c r="H101" s="37">
        <f>H100/C88</f>
        <v>2207.1535145714288</v>
      </c>
      <c r="I101" s="108" t="str">
        <f>CONCATENATE("per ",C89)</f>
        <v>per sqm</v>
      </c>
      <c r="J101" s="735"/>
      <c r="K101" s="736"/>
      <c r="L101" s="736"/>
      <c r="M101" s="736"/>
      <c r="N101" s="736"/>
      <c r="O101" s="736"/>
      <c r="P101" s="736"/>
      <c r="Q101" s="736"/>
      <c r="R101" s="737"/>
    </row>
    <row r="102" spans="1:18" ht="16.5">
      <c r="A102" s="23"/>
      <c r="B102" s="2" t="s">
        <v>18</v>
      </c>
      <c r="C102" s="87" t="s">
        <v>19</v>
      </c>
      <c r="D102" s="87"/>
      <c r="E102" s="87"/>
      <c r="F102" s="87"/>
      <c r="G102" s="107" t="s">
        <v>16</v>
      </c>
      <c r="H102" s="37">
        <f>CEILING(H101,0.5)</f>
        <v>2207.5</v>
      </c>
      <c r="I102" s="108" t="str">
        <f>CONCATENATE("per ",C89)</f>
        <v>per sqm</v>
      </c>
      <c r="J102" s="735"/>
      <c r="K102" s="736"/>
      <c r="L102" s="736"/>
      <c r="M102" s="736"/>
      <c r="N102" s="736"/>
      <c r="O102" s="736"/>
      <c r="P102" s="736"/>
      <c r="Q102" s="736"/>
      <c r="R102" s="737"/>
    </row>
    <row r="103" spans="1:18" ht="16.5">
      <c r="A103" s="23"/>
      <c r="B103" s="2"/>
      <c r="C103" s="87"/>
      <c r="D103" s="87"/>
      <c r="E103" s="87"/>
      <c r="F103" s="87"/>
      <c r="G103" s="109" t="s">
        <v>17</v>
      </c>
      <c r="H103" s="37">
        <f>H102/exr</f>
        <v>16.98076923076923</v>
      </c>
      <c r="I103" s="108" t="str">
        <f>CONCATENATE("per ",C89)</f>
        <v>per sqm</v>
      </c>
      <c r="J103" s="738"/>
      <c r="K103" s="739"/>
      <c r="L103" s="739"/>
      <c r="M103" s="739"/>
      <c r="N103" s="739"/>
      <c r="O103" s="739"/>
      <c r="P103" s="739"/>
      <c r="Q103" s="739"/>
      <c r="R103" s="740"/>
    </row>
    <row r="104" spans="1:18" ht="16.5">
      <c r="A104" s="39"/>
      <c r="B104" s="40"/>
      <c r="C104" s="41"/>
      <c r="D104" s="41"/>
      <c r="E104" s="41"/>
      <c r="F104" s="41"/>
      <c r="G104" s="149" t="s">
        <v>460</v>
      </c>
      <c r="H104" s="150">
        <f>CEILING(SUM(M91)/H96,0.0025)</f>
        <v>0.34</v>
      </c>
      <c r="I104" s="42"/>
      <c r="J104" s="43"/>
      <c r="K104" s="43"/>
      <c r="L104" s="43"/>
      <c r="M104" s="43"/>
      <c r="N104" s="43"/>
      <c r="O104" s="43"/>
      <c r="P104" s="43"/>
      <c r="Q104" s="43"/>
      <c r="R104" s="44"/>
    </row>
    <row r="105" spans="1:18" ht="16.5">
      <c r="A105" s="170"/>
      <c r="B105" s="170"/>
      <c r="C105" s="170"/>
      <c r="D105" s="170"/>
      <c r="E105" s="170"/>
      <c r="F105" s="170"/>
      <c r="G105" s="170"/>
      <c r="H105" s="170"/>
      <c r="I105" s="170"/>
      <c r="J105" s="170"/>
      <c r="K105" s="170"/>
      <c r="L105" s="170"/>
      <c r="M105" s="170"/>
      <c r="N105" s="170"/>
      <c r="O105" s="170"/>
      <c r="P105" s="170"/>
      <c r="Q105" s="170"/>
      <c r="R105" s="170"/>
    </row>
    <row r="106" spans="1:18" ht="16.5">
      <c r="A106" s="693" t="s">
        <v>0</v>
      </c>
      <c r="B106" s="695" t="s">
        <v>1</v>
      </c>
      <c r="C106" s="695" t="s">
        <v>2</v>
      </c>
      <c r="D106" s="697" t="s">
        <v>3</v>
      </c>
      <c r="E106" s="698"/>
      <c r="F106" s="698"/>
      <c r="G106" s="698"/>
      <c r="H106" s="698"/>
      <c r="I106" s="699" t="s">
        <v>4</v>
      </c>
      <c r="J106" s="700"/>
      <c r="K106" s="700"/>
      <c r="L106" s="700"/>
      <c r="M106" s="700"/>
      <c r="N106" s="698" t="s">
        <v>5</v>
      </c>
      <c r="O106" s="698"/>
      <c r="P106" s="698"/>
      <c r="Q106" s="698"/>
      <c r="R106" s="698"/>
    </row>
    <row r="107" spans="1:18" ht="16.5">
      <c r="A107" s="694"/>
      <c r="B107" s="696"/>
      <c r="C107" s="696"/>
      <c r="D107" s="45" t="s">
        <v>6</v>
      </c>
      <c r="E107" s="46" t="s">
        <v>2</v>
      </c>
      <c r="F107" s="46" t="s">
        <v>7</v>
      </c>
      <c r="G107" s="46" t="s">
        <v>8</v>
      </c>
      <c r="H107" s="46" t="s">
        <v>9</v>
      </c>
      <c r="I107" s="46" t="s">
        <v>10</v>
      </c>
      <c r="J107" s="46" t="s">
        <v>2</v>
      </c>
      <c r="K107" s="46" t="s">
        <v>7</v>
      </c>
      <c r="L107" s="46" t="s">
        <v>8</v>
      </c>
      <c r="M107" s="47" t="s">
        <v>9</v>
      </c>
      <c r="N107" s="46" t="s">
        <v>10</v>
      </c>
      <c r="O107" s="46" t="s">
        <v>2</v>
      </c>
      <c r="P107" s="46" t="s">
        <v>7</v>
      </c>
      <c r="Q107" s="46" t="s">
        <v>8</v>
      </c>
      <c r="R107" s="46" t="s">
        <v>9</v>
      </c>
    </row>
    <row r="108" spans="1:18" ht="15.75">
      <c r="A108" s="33" t="s">
        <v>23</v>
      </c>
      <c r="B108" s="73" t="s">
        <v>924</v>
      </c>
      <c r="C108" s="31"/>
      <c r="D108" s="31"/>
      <c r="E108" s="31"/>
      <c r="F108" s="31"/>
      <c r="G108" s="31"/>
      <c r="H108" s="31"/>
      <c r="I108" s="31"/>
      <c r="J108" s="31"/>
      <c r="K108" s="31"/>
      <c r="L108" s="31"/>
      <c r="M108" s="31"/>
      <c r="N108" s="31"/>
      <c r="O108" s="31"/>
      <c r="P108" s="31"/>
      <c r="Q108" s="31"/>
      <c r="R108" s="32"/>
    </row>
    <row r="109" spans="1:18" ht="16.5">
      <c r="A109" s="34">
        <f>A88+1</f>
        <v>6</v>
      </c>
      <c r="B109" s="730" t="s">
        <v>630</v>
      </c>
      <c r="C109" s="546">
        <v>10</v>
      </c>
      <c r="D109" s="87"/>
      <c r="E109" s="8"/>
      <c r="F109" s="88"/>
      <c r="G109" s="28"/>
      <c r="H109" s="28"/>
      <c r="I109" s="8"/>
      <c r="J109" s="8"/>
      <c r="K109" s="88"/>
      <c r="L109" s="28"/>
      <c r="M109" s="28"/>
      <c r="N109" s="8"/>
      <c r="O109" s="8"/>
      <c r="P109" s="88"/>
      <c r="Q109" s="28"/>
      <c r="R109" s="28"/>
    </row>
    <row r="110" spans="1:18" ht="16.5">
      <c r="A110" s="2"/>
      <c r="B110" s="731"/>
      <c r="C110" s="171" t="s">
        <v>127</v>
      </c>
      <c r="D110" s="87" t="s">
        <v>96</v>
      </c>
      <c r="E110" s="8" t="s">
        <v>81</v>
      </c>
      <c r="F110" s="88">
        <v>3.6</v>
      </c>
      <c r="G110" s="28">
        <f>sr</f>
        <v>1100</v>
      </c>
      <c r="H110" s="28">
        <f>F110*G110</f>
        <v>3960</v>
      </c>
      <c r="I110" s="89" t="s">
        <v>919</v>
      </c>
      <c r="J110" s="8" t="s">
        <v>28</v>
      </c>
      <c r="K110" s="88">
        <f>530/50</f>
        <v>10.6</v>
      </c>
      <c r="L110" s="28">
        <f>ms_sheet</f>
        <v>278.83999999999997</v>
      </c>
      <c r="M110" s="28">
        <f>K110*L110</f>
        <v>2955.7039999999997</v>
      </c>
      <c r="N110" s="8"/>
      <c r="O110" s="8"/>
      <c r="P110" s="88"/>
      <c r="Q110" s="28"/>
      <c r="R110" s="28"/>
    </row>
    <row r="111" spans="1:18" ht="16.5">
      <c r="A111" s="2"/>
      <c r="B111" s="731"/>
      <c r="C111" s="8"/>
      <c r="D111" s="87" t="s">
        <v>97</v>
      </c>
      <c r="E111" s="8" t="s">
        <v>81</v>
      </c>
      <c r="F111" s="88">
        <v>2.9</v>
      </c>
      <c r="G111" s="28">
        <f>ur</f>
        <v>850</v>
      </c>
      <c r="H111" s="28">
        <f>F111*G111</f>
        <v>2465</v>
      </c>
      <c r="I111" s="89" t="s">
        <v>921</v>
      </c>
      <c r="J111" s="8" t="s">
        <v>47</v>
      </c>
      <c r="K111" s="88">
        <f>206/90</f>
        <v>2.2888888888888888</v>
      </c>
      <c r="L111" s="154">
        <f>ms_pipe</f>
        <v>381.1</v>
      </c>
      <c r="M111" s="28">
        <f t="shared" ref="M111:M113" si="1">K111*L111</f>
        <v>872.29555555555555</v>
      </c>
      <c r="N111" s="8"/>
      <c r="O111" s="8"/>
      <c r="P111" s="88"/>
      <c r="Q111" s="28"/>
      <c r="R111" s="28"/>
    </row>
    <row r="112" spans="1:18" ht="16.5">
      <c r="A112" s="2"/>
      <c r="B112" s="731"/>
      <c r="C112" s="8"/>
      <c r="D112" s="87"/>
      <c r="E112" s="8"/>
      <c r="F112" s="88"/>
      <c r="G112" s="28"/>
      <c r="H112" s="28"/>
      <c r="I112" s="89" t="s">
        <v>799</v>
      </c>
      <c r="J112" s="8" t="s">
        <v>800</v>
      </c>
      <c r="K112" s="88">
        <f>118/50</f>
        <v>2.36</v>
      </c>
      <c r="L112" s="28">
        <f>Clamps</f>
        <v>3248.94</v>
      </c>
      <c r="M112" s="28">
        <f t="shared" si="1"/>
        <v>7667.4983999999995</v>
      </c>
      <c r="N112" s="8"/>
      <c r="O112" s="8"/>
      <c r="P112" s="88"/>
      <c r="Q112" s="28"/>
      <c r="R112" s="28"/>
    </row>
    <row r="113" spans="1:18" ht="16.5">
      <c r="A113" s="2"/>
      <c r="B113" s="731"/>
      <c r="C113" s="8"/>
      <c r="D113" s="87"/>
      <c r="E113" s="8"/>
      <c r="F113" s="88"/>
      <c r="G113" s="28"/>
      <c r="H113" s="28"/>
      <c r="I113" s="89" t="s">
        <v>920</v>
      </c>
      <c r="J113" s="8" t="s">
        <v>800</v>
      </c>
      <c r="K113" s="88">
        <f>178/35</f>
        <v>5.0857142857142854</v>
      </c>
      <c r="L113" s="28">
        <f>Nuts_Bolts</f>
        <v>274.48</v>
      </c>
      <c r="M113" s="28">
        <f t="shared" si="1"/>
        <v>1395.9268571428572</v>
      </c>
      <c r="N113" s="8"/>
      <c r="O113" s="8"/>
      <c r="P113" s="88"/>
      <c r="Q113" s="28"/>
      <c r="R113" s="28"/>
    </row>
    <row r="114" spans="1:18" ht="16.5">
      <c r="A114" s="2"/>
      <c r="B114" s="731"/>
      <c r="C114" s="8"/>
      <c r="D114" s="87"/>
      <c r="E114" s="8"/>
      <c r="F114" s="88"/>
      <c r="G114" s="28"/>
      <c r="H114" s="28"/>
      <c r="I114" s="89"/>
      <c r="J114" s="8"/>
      <c r="K114" s="88"/>
      <c r="L114" s="28"/>
      <c r="M114" s="28"/>
      <c r="N114" s="8"/>
      <c r="O114" s="8"/>
      <c r="P114" s="88"/>
      <c r="Q114" s="28"/>
      <c r="R114" s="28"/>
    </row>
    <row r="115" spans="1:18" ht="16.5">
      <c r="A115" s="2"/>
      <c r="B115" s="172"/>
      <c r="C115" s="8"/>
      <c r="D115" s="87"/>
      <c r="E115" s="10"/>
      <c r="F115" s="91"/>
      <c r="G115" s="92"/>
      <c r="H115" s="92"/>
      <c r="I115" s="10"/>
      <c r="J115" s="10"/>
      <c r="K115" s="91"/>
      <c r="L115" s="28"/>
      <c r="M115" s="28"/>
      <c r="N115" s="8"/>
      <c r="O115" s="8"/>
      <c r="P115" s="91"/>
      <c r="Q115" s="28"/>
      <c r="R115" s="28"/>
    </row>
    <row r="116" spans="1:18" ht="16.5">
      <c r="A116" s="2"/>
      <c r="B116" s="2"/>
      <c r="C116" s="8"/>
      <c r="D116" s="93"/>
      <c r="E116" s="563"/>
      <c r="F116" s="95"/>
      <c r="G116" s="95" t="s">
        <v>20</v>
      </c>
      <c r="H116" s="96">
        <f>SUM(H109:H115)</f>
        <v>6425</v>
      </c>
      <c r="I116" s="717"/>
      <c r="J116" s="717"/>
      <c r="K116" s="97"/>
      <c r="L116" s="95" t="s">
        <v>21</v>
      </c>
      <c r="M116" s="96">
        <f>SUM(M109:M115)</f>
        <v>12891.424812698411</v>
      </c>
      <c r="N116" s="98"/>
      <c r="O116" s="97"/>
      <c r="P116" s="97"/>
      <c r="Q116" s="95" t="s">
        <v>22</v>
      </c>
      <c r="R116" s="96">
        <f>SUM(R109:R115)</f>
        <v>0</v>
      </c>
    </row>
    <row r="117" spans="1:18" ht="16.5">
      <c r="A117" s="2"/>
      <c r="B117" s="99" t="s">
        <v>13</v>
      </c>
      <c r="C117" s="97"/>
      <c r="D117" s="97"/>
      <c r="E117" s="97"/>
      <c r="F117" s="97"/>
      <c r="G117" s="95"/>
      <c r="H117" s="100">
        <f>H116+M116+R116</f>
        <v>19316.424812698409</v>
      </c>
      <c r="I117" s="101"/>
      <c r="J117" s="97"/>
      <c r="K117" s="97"/>
      <c r="L117" s="95"/>
      <c r="M117" s="102"/>
      <c r="N117" s="97"/>
      <c r="O117" s="97"/>
      <c r="P117" s="97"/>
      <c r="Q117" s="97"/>
      <c r="R117" s="101"/>
    </row>
    <row r="118" spans="1:18" ht="16.5">
      <c r="A118" s="2"/>
      <c r="B118" s="2" t="s">
        <v>25</v>
      </c>
      <c r="C118" s="4" t="s">
        <v>647</v>
      </c>
      <c r="D118" s="87"/>
      <c r="E118" s="87"/>
      <c r="F118" s="87"/>
      <c r="G118" s="103"/>
      <c r="H118" s="104">
        <f>20%*H116</f>
        <v>1285</v>
      </c>
      <c r="I118" s="105"/>
      <c r="J118" s="87" t="s">
        <v>26</v>
      </c>
      <c r="K118" s="87"/>
      <c r="L118" s="103"/>
      <c r="M118" s="106"/>
      <c r="N118" s="87"/>
      <c r="O118" s="87"/>
      <c r="P118" s="87"/>
      <c r="Q118" s="87"/>
      <c r="R118" s="105"/>
    </row>
    <row r="119" spans="1:18" ht="16.5">
      <c r="A119" s="23"/>
      <c r="B119" s="2" t="s">
        <v>14</v>
      </c>
      <c r="C119" s="87"/>
      <c r="D119" s="87"/>
      <c r="E119" s="87"/>
      <c r="F119" s="87"/>
      <c r="G119" s="103"/>
      <c r="H119" s="104">
        <f>SUM(H117:H118)</f>
        <v>20601.424812698409</v>
      </c>
      <c r="I119" s="105"/>
      <c r="J119" s="732"/>
      <c r="K119" s="733"/>
      <c r="L119" s="733"/>
      <c r="M119" s="733"/>
      <c r="N119" s="733"/>
      <c r="O119" s="733"/>
      <c r="P119" s="733"/>
      <c r="Q119" s="733"/>
      <c r="R119" s="734"/>
    </row>
    <row r="120" spans="1:18" ht="16.5">
      <c r="A120" s="23"/>
      <c r="B120" s="2" t="s">
        <v>24</v>
      </c>
      <c r="C120" s="87"/>
      <c r="D120" s="87"/>
      <c r="E120" s="87"/>
      <c r="F120" s="87"/>
      <c r="G120" s="103"/>
      <c r="H120" s="104">
        <f>H119*15%</f>
        <v>3090.2137219047613</v>
      </c>
      <c r="I120" s="105"/>
      <c r="J120" s="735"/>
      <c r="K120" s="736"/>
      <c r="L120" s="736"/>
      <c r="M120" s="736"/>
      <c r="N120" s="736"/>
      <c r="O120" s="736"/>
      <c r="P120" s="736"/>
      <c r="Q120" s="736"/>
      <c r="R120" s="737"/>
    </row>
    <row r="121" spans="1:18" ht="16.5">
      <c r="A121" s="23"/>
      <c r="B121" s="2" t="s">
        <v>15</v>
      </c>
      <c r="C121" s="87"/>
      <c r="D121" s="87"/>
      <c r="E121" s="87"/>
      <c r="F121" s="87"/>
      <c r="G121" s="107" t="s">
        <v>16</v>
      </c>
      <c r="H121" s="37">
        <f>H120+H119</f>
        <v>23691.638534603171</v>
      </c>
      <c r="I121" s="108" t="str">
        <f>CONCATENATE("per ",C109, C110)</f>
        <v>per 10sqm</v>
      </c>
      <c r="J121" s="735"/>
      <c r="K121" s="736"/>
      <c r="L121" s="736"/>
      <c r="M121" s="736"/>
      <c r="N121" s="736"/>
      <c r="O121" s="736"/>
      <c r="P121" s="736"/>
      <c r="Q121" s="736"/>
      <c r="R121" s="737"/>
    </row>
    <row r="122" spans="1:18" ht="16.5">
      <c r="A122" s="23"/>
      <c r="B122" s="2"/>
      <c r="C122" s="87"/>
      <c r="D122" s="87"/>
      <c r="E122" s="87"/>
      <c r="F122" s="87"/>
      <c r="G122" s="107" t="s">
        <v>16</v>
      </c>
      <c r="H122" s="37">
        <f>H121/C109</f>
        <v>2369.1638534603171</v>
      </c>
      <c r="I122" s="108" t="str">
        <f>CONCATENATE("per ",C110)</f>
        <v>per sqm</v>
      </c>
      <c r="J122" s="735"/>
      <c r="K122" s="736"/>
      <c r="L122" s="736"/>
      <c r="M122" s="736"/>
      <c r="N122" s="736"/>
      <c r="O122" s="736"/>
      <c r="P122" s="736"/>
      <c r="Q122" s="736"/>
      <c r="R122" s="737"/>
    </row>
    <row r="123" spans="1:18" ht="16.5">
      <c r="A123" s="23"/>
      <c r="B123" s="2" t="s">
        <v>18</v>
      </c>
      <c r="C123" s="87" t="s">
        <v>19</v>
      </c>
      <c r="D123" s="87"/>
      <c r="E123" s="87"/>
      <c r="F123" s="87"/>
      <c r="G123" s="107" t="s">
        <v>16</v>
      </c>
      <c r="H123" s="37">
        <f>CEILING(H122,0.5)</f>
        <v>2369.5</v>
      </c>
      <c r="I123" s="108" t="str">
        <f>CONCATENATE("per ",C110)</f>
        <v>per sqm</v>
      </c>
      <c r="J123" s="735"/>
      <c r="K123" s="736"/>
      <c r="L123" s="736"/>
      <c r="M123" s="736"/>
      <c r="N123" s="736"/>
      <c r="O123" s="736"/>
      <c r="P123" s="736"/>
      <c r="Q123" s="736"/>
      <c r="R123" s="737"/>
    </row>
    <row r="124" spans="1:18" ht="16.5">
      <c r="A124" s="23"/>
      <c r="B124" s="2"/>
      <c r="C124" s="87"/>
      <c r="D124" s="87"/>
      <c r="E124" s="87"/>
      <c r="F124" s="87"/>
      <c r="G124" s="109" t="s">
        <v>17</v>
      </c>
      <c r="H124" s="37">
        <f>H123/exr</f>
        <v>18.226923076923075</v>
      </c>
      <c r="I124" s="108" t="str">
        <f>CONCATENATE("per ",C110)</f>
        <v>per sqm</v>
      </c>
      <c r="J124" s="738"/>
      <c r="K124" s="739"/>
      <c r="L124" s="739"/>
      <c r="M124" s="739"/>
      <c r="N124" s="739"/>
      <c r="O124" s="739"/>
      <c r="P124" s="739"/>
      <c r="Q124" s="739"/>
      <c r="R124" s="740"/>
    </row>
    <row r="125" spans="1:18" ht="16.5">
      <c r="A125" s="39"/>
      <c r="B125" s="40"/>
      <c r="C125" s="41"/>
      <c r="D125" s="41"/>
      <c r="E125" s="41"/>
      <c r="F125" s="41"/>
      <c r="G125" s="149" t="s">
        <v>460</v>
      </c>
      <c r="H125" s="150">
        <f>CEILING(SUM(M112)/H117,0.0025)</f>
        <v>0.39750000000000002</v>
      </c>
      <c r="I125" s="42"/>
      <c r="J125" s="43"/>
      <c r="K125" s="43"/>
      <c r="L125" s="43"/>
      <c r="M125" s="43"/>
      <c r="N125" s="43"/>
      <c r="O125" s="43"/>
      <c r="P125" s="43"/>
      <c r="Q125" s="43"/>
      <c r="R125" s="44"/>
    </row>
  </sheetData>
  <mergeCells count="54">
    <mergeCell ref="N1:R1"/>
    <mergeCell ref="A1:A2"/>
    <mergeCell ref="B1:B2"/>
    <mergeCell ref="C1:C2"/>
    <mergeCell ref="D1:H1"/>
    <mergeCell ref="I1:M1"/>
    <mergeCell ref="B4:B9"/>
    <mergeCell ref="I11:J11"/>
    <mergeCell ref="J14:R19"/>
    <mergeCell ref="A22:A23"/>
    <mergeCell ref="B22:B23"/>
    <mergeCell ref="C22:C23"/>
    <mergeCell ref="D22:H22"/>
    <mergeCell ref="I22:M22"/>
    <mergeCell ref="N22:R22"/>
    <mergeCell ref="B25:B30"/>
    <mergeCell ref="I32:J32"/>
    <mergeCell ref="J35:R40"/>
    <mergeCell ref="A43:A44"/>
    <mergeCell ref="B43:B44"/>
    <mergeCell ref="C43:C44"/>
    <mergeCell ref="D43:H43"/>
    <mergeCell ref="I43:M43"/>
    <mergeCell ref="N43:R43"/>
    <mergeCell ref="B46:B51"/>
    <mergeCell ref="I53:J53"/>
    <mergeCell ref="J56:R61"/>
    <mergeCell ref="A64:A65"/>
    <mergeCell ref="B64:B65"/>
    <mergeCell ref="C64:C65"/>
    <mergeCell ref="D64:H64"/>
    <mergeCell ref="I64:M64"/>
    <mergeCell ref="N64:R64"/>
    <mergeCell ref="B67:B72"/>
    <mergeCell ref="I74:J74"/>
    <mergeCell ref="J77:R82"/>
    <mergeCell ref="A85:A86"/>
    <mergeCell ref="B85:B86"/>
    <mergeCell ref="C85:C86"/>
    <mergeCell ref="D85:H85"/>
    <mergeCell ref="I85:M85"/>
    <mergeCell ref="N85:R85"/>
    <mergeCell ref="A106:A107"/>
    <mergeCell ref="B106:B107"/>
    <mergeCell ref="C106:C107"/>
    <mergeCell ref="D106:H106"/>
    <mergeCell ref="I106:M106"/>
    <mergeCell ref="B109:B114"/>
    <mergeCell ref="I116:J116"/>
    <mergeCell ref="J119:R124"/>
    <mergeCell ref="B88:B93"/>
    <mergeCell ref="I95:J95"/>
    <mergeCell ref="J98:R103"/>
    <mergeCell ref="N106:R106"/>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R336"/>
  <sheetViews>
    <sheetView workbookViewId="0"/>
  </sheetViews>
  <sheetFormatPr defaultColWidth="9.140625" defaultRowHeight="15.75"/>
  <cols>
    <col min="1" max="1" width="10.7109375" style="1" customWidth="1"/>
    <col min="2" max="2" width="25.42578125" style="1" customWidth="1"/>
    <col min="3" max="3" width="5.28515625" style="1" customWidth="1"/>
    <col min="4" max="4" width="9.140625" style="1"/>
    <col min="5" max="5" width="5.28515625" style="1" customWidth="1"/>
    <col min="6" max="7" width="9.140625" style="1"/>
    <col min="8" max="8" width="10.7109375" style="1" customWidth="1"/>
    <col min="9" max="9" width="20.140625" style="1" customWidth="1"/>
    <col min="10" max="10" width="5.28515625" style="1" customWidth="1"/>
    <col min="11" max="11" width="9.140625" style="1"/>
    <col min="12" max="12" width="9.85546875" style="1" bestFit="1" customWidth="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2" spans="1:18">
      <c r="A2" s="693" t="s">
        <v>0</v>
      </c>
      <c r="B2" s="695" t="s">
        <v>1</v>
      </c>
      <c r="C2" s="695" t="s">
        <v>2</v>
      </c>
      <c r="D2" s="697" t="s">
        <v>3</v>
      </c>
      <c r="E2" s="698"/>
      <c r="F2" s="698"/>
      <c r="G2" s="698"/>
      <c r="H2" s="698"/>
      <c r="I2" s="699" t="s">
        <v>4</v>
      </c>
      <c r="J2" s="700"/>
      <c r="K2" s="700"/>
      <c r="L2" s="700"/>
      <c r="M2" s="700"/>
      <c r="N2" s="698" t="s">
        <v>5</v>
      </c>
      <c r="O2" s="698"/>
      <c r="P2" s="698"/>
      <c r="Q2" s="698"/>
      <c r="R2" s="698"/>
    </row>
    <row r="3" spans="1:18">
      <c r="A3" s="694"/>
      <c r="B3" s="696"/>
      <c r="C3" s="696"/>
      <c r="D3" s="45" t="s">
        <v>6</v>
      </c>
      <c r="E3" s="46" t="s">
        <v>2</v>
      </c>
      <c r="F3" s="46" t="s">
        <v>7</v>
      </c>
      <c r="G3" s="46" t="s">
        <v>8</v>
      </c>
      <c r="H3" s="46" t="s">
        <v>9</v>
      </c>
      <c r="I3" s="46" t="s">
        <v>10</v>
      </c>
      <c r="J3" s="46" t="s">
        <v>2</v>
      </c>
      <c r="K3" s="46" t="s">
        <v>7</v>
      </c>
      <c r="L3" s="46" t="s">
        <v>8</v>
      </c>
      <c r="M3" s="47" t="s">
        <v>9</v>
      </c>
      <c r="N3" s="46" t="s">
        <v>10</v>
      </c>
      <c r="O3" s="46" t="s">
        <v>2</v>
      </c>
      <c r="P3" s="46" t="s">
        <v>7</v>
      </c>
      <c r="Q3" s="46" t="s">
        <v>8</v>
      </c>
      <c r="R3" s="46" t="s">
        <v>9</v>
      </c>
    </row>
    <row r="4" spans="1:18">
      <c r="A4" s="33" t="s">
        <v>23</v>
      </c>
      <c r="B4" s="73" t="s">
        <v>237</v>
      </c>
      <c r="C4" s="31"/>
      <c r="D4" s="31"/>
      <c r="E4" s="31"/>
      <c r="F4" s="31"/>
      <c r="G4" s="31"/>
      <c r="H4" s="31"/>
      <c r="I4" s="31"/>
      <c r="J4" s="31"/>
      <c r="K4" s="31"/>
      <c r="L4" s="31"/>
      <c r="M4" s="31"/>
      <c r="N4" s="31"/>
      <c r="O4" s="31"/>
      <c r="P4" s="31"/>
      <c r="Q4" s="31"/>
      <c r="R4" s="32"/>
    </row>
    <row r="5" spans="1:18">
      <c r="A5" s="34" t="e">
        <f>#REF!+1</f>
        <v>#REF!</v>
      </c>
      <c r="B5" s="713" t="s">
        <v>611</v>
      </c>
      <c r="C5" s="66">
        <v>10</v>
      </c>
      <c r="D5" s="4"/>
      <c r="E5" s="6"/>
      <c r="F5" s="29"/>
      <c r="G5" s="26"/>
      <c r="H5" s="26"/>
      <c r="I5" s="6"/>
      <c r="J5" s="6"/>
      <c r="K5" s="29"/>
      <c r="L5" s="26"/>
      <c r="M5" s="26"/>
      <c r="N5" s="6"/>
      <c r="O5" s="6"/>
      <c r="P5" s="29"/>
      <c r="Q5" s="26"/>
      <c r="R5" s="26"/>
    </row>
    <row r="6" spans="1:18">
      <c r="A6" s="2"/>
      <c r="B6" s="714"/>
      <c r="C6" s="124" t="s">
        <v>127</v>
      </c>
      <c r="D6" s="4" t="s">
        <v>96</v>
      </c>
      <c r="E6" s="6" t="s">
        <v>81</v>
      </c>
      <c r="F6" s="29">
        <v>3.2</v>
      </c>
      <c r="G6" s="26">
        <f>sr</f>
        <v>1100</v>
      </c>
      <c r="H6" s="26">
        <f>F6*G6</f>
        <v>3520</v>
      </c>
      <c r="I6" s="7" t="s">
        <v>234</v>
      </c>
      <c r="J6" s="8" t="s">
        <v>127</v>
      </c>
      <c r="K6" s="29">
        <f>11/8</f>
        <v>1.375</v>
      </c>
      <c r="L6" s="28">
        <f>plywood</f>
        <v>420.36</v>
      </c>
      <c r="M6" s="26">
        <f>K6*L6</f>
        <v>577.995</v>
      </c>
      <c r="N6" s="8"/>
      <c r="O6" s="6"/>
      <c r="P6" s="29"/>
      <c r="Q6" s="28"/>
      <c r="R6" s="26"/>
    </row>
    <row r="7" spans="1:18">
      <c r="A7" s="2"/>
      <c r="B7" s="714"/>
      <c r="C7" s="6"/>
      <c r="D7" s="4" t="s">
        <v>97</v>
      </c>
      <c r="E7" s="6" t="s">
        <v>81</v>
      </c>
      <c r="F7" s="29">
        <v>4</v>
      </c>
      <c r="G7" s="26">
        <f>ur</f>
        <v>850</v>
      </c>
      <c r="H7" s="26">
        <f>F7*G7</f>
        <v>3400</v>
      </c>
      <c r="I7" s="7" t="s">
        <v>231</v>
      </c>
      <c r="J7" s="8" t="s">
        <v>11</v>
      </c>
      <c r="K7" s="29">
        <f>0.6/12</f>
        <v>4.9999999999999996E-2</v>
      </c>
      <c r="L7" s="154">
        <f>AVERAGE(timber,planks)</f>
        <v>64135.06</v>
      </c>
      <c r="M7" s="26">
        <f>K7*L7</f>
        <v>3206.7529999999997</v>
      </c>
      <c r="N7" s="8"/>
      <c r="O7" s="6"/>
      <c r="P7" s="29"/>
      <c r="Q7" s="28"/>
      <c r="R7" s="26"/>
    </row>
    <row r="8" spans="1:18">
      <c r="A8" s="2"/>
      <c r="B8" s="714"/>
      <c r="C8" s="6"/>
      <c r="D8" s="4"/>
      <c r="E8" s="6"/>
      <c r="F8" s="29"/>
      <c r="G8" s="26"/>
      <c r="H8" s="26"/>
      <c r="I8" s="7" t="s">
        <v>232</v>
      </c>
      <c r="J8" s="8" t="s">
        <v>28</v>
      </c>
      <c r="K8" s="29">
        <v>4.5</v>
      </c>
      <c r="L8" s="28">
        <f>nails/1000</f>
        <v>124.14419000000001</v>
      </c>
      <c r="M8" s="26">
        <f>K8*L8</f>
        <v>558.64885500000003</v>
      </c>
      <c r="N8" s="8"/>
      <c r="O8" s="6"/>
      <c r="P8" s="29"/>
      <c r="Q8" s="28"/>
      <c r="R8" s="26"/>
    </row>
    <row r="9" spans="1:18">
      <c r="A9" s="2"/>
      <c r="B9" s="714"/>
      <c r="C9" s="6"/>
      <c r="D9" s="4"/>
      <c r="E9" s="6"/>
      <c r="F9" s="29"/>
      <c r="G9" s="26"/>
      <c r="H9" s="26"/>
      <c r="I9" s="7"/>
      <c r="J9" s="8"/>
      <c r="K9" s="29"/>
      <c r="L9" s="28"/>
      <c r="M9" s="26"/>
      <c r="N9" s="8"/>
      <c r="O9" s="6"/>
      <c r="P9" s="29"/>
      <c r="Q9" s="28"/>
      <c r="R9" s="26"/>
    </row>
    <row r="10" spans="1:18">
      <c r="A10" s="2"/>
      <c r="B10" s="714"/>
      <c r="C10" s="6"/>
      <c r="D10" s="4"/>
      <c r="E10" s="6"/>
      <c r="F10" s="29"/>
      <c r="G10" s="26"/>
      <c r="H10" s="26"/>
      <c r="I10" s="7"/>
      <c r="J10" s="8"/>
      <c r="K10" s="29"/>
      <c r="L10" s="28"/>
      <c r="M10" s="28"/>
      <c r="N10" s="8"/>
      <c r="O10" s="6"/>
      <c r="P10" s="29"/>
      <c r="Q10" s="28"/>
      <c r="R10" s="28"/>
    </row>
    <row r="11" spans="1:18">
      <c r="A11" s="2"/>
      <c r="B11" s="5"/>
      <c r="C11" s="6"/>
      <c r="D11" s="4"/>
      <c r="E11" s="9"/>
      <c r="F11" s="30"/>
      <c r="G11" s="27"/>
      <c r="H11" s="27"/>
      <c r="I11" s="9"/>
      <c r="J11" s="10"/>
      <c r="K11" s="30"/>
      <c r="L11" s="28"/>
      <c r="M11" s="28"/>
      <c r="N11" s="8"/>
      <c r="O11" s="6"/>
      <c r="P11" s="30"/>
      <c r="Q11" s="28"/>
      <c r="R11" s="28"/>
    </row>
    <row r="12" spans="1:18">
      <c r="A12" s="2"/>
      <c r="B12" s="11"/>
      <c r="C12" s="6"/>
      <c r="D12" s="12"/>
      <c r="E12" s="544"/>
      <c r="F12" s="13"/>
      <c r="G12" s="13" t="s">
        <v>20</v>
      </c>
      <c r="H12" s="25">
        <f>SUM(H5:H11)</f>
        <v>6920</v>
      </c>
      <c r="I12" s="703"/>
      <c r="J12" s="703"/>
      <c r="K12" s="14"/>
      <c r="L12" s="13" t="s">
        <v>21</v>
      </c>
      <c r="M12" s="25">
        <f>SUM(M5:M11)</f>
        <v>4343.396855</v>
      </c>
      <c r="N12" s="3"/>
      <c r="O12" s="14"/>
      <c r="P12" s="14"/>
      <c r="Q12" s="13" t="s">
        <v>22</v>
      </c>
      <c r="R12" s="25">
        <f>SUM(R5:R11)</f>
        <v>0</v>
      </c>
    </row>
    <row r="13" spans="1:18">
      <c r="A13" s="2"/>
      <c r="B13" s="16" t="s">
        <v>13</v>
      </c>
      <c r="C13" s="14"/>
      <c r="D13" s="14"/>
      <c r="E13" s="14"/>
      <c r="F13" s="14"/>
      <c r="G13" s="13"/>
      <c r="H13" s="35">
        <f>M12+R12+H12</f>
        <v>11263.396854999999</v>
      </c>
      <c r="I13" s="17"/>
      <c r="J13" s="14"/>
      <c r="K13" s="14"/>
      <c r="L13" s="13"/>
      <c r="M13" s="15"/>
      <c r="N13" s="14"/>
      <c r="O13" s="14"/>
      <c r="P13" s="14"/>
      <c r="Q13" s="14"/>
      <c r="R13" s="17"/>
    </row>
    <row r="14" spans="1:18">
      <c r="A14" s="2"/>
      <c r="B14" s="11" t="s">
        <v>25</v>
      </c>
      <c r="C14" s="4"/>
      <c r="D14" s="4"/>
      <c r="E14" s="4"/>
      <c r="F14" s="4"/>
      <c r="G14" s="18"/>
      <c r="H14" s="36">
        <v>0</v>
      </c>
      <c r="I14" s="20"/>
      <c r="J14" s="4" t="s">
        <v>26</v>
      </c>
      <c r="K14" s="4"/>
      <c r="L14" s="18"/>
      <c r="M14" s="19"/>
      <c r="N14" s="4"/>
      <c r="O14" s="4"/>
      <c r="P14" s="4"/>
      <c r="Q14" s="4"/>
      <c r="R14" s="20"/>
    </row>
    <row r="15" spans="1:18">
      <c r="A15" s="23"/>
      <c r="B15" s="11" t="s">
        <v>14</v>
      </c>
      <c r="C15" s="4"/>
      <c r="D15" s="4"/>
      <c r="E15" s="4"/>
      <c r="F15" s="4"/>
      <c r="G15" s="18"/>
      <c r="H15" s="36">
        <f>SUM(H13:H14)</f>
        <v>11263.396854999999</v>
      </c>
      <c r="I15" s="20"/>
      <c r="J15" s="741"/>
      <c r="K15" s="742"/>
      <c r="L15" s="742"/>
      <c r="M15" s="742"/>
      <c r="N15" s="742"/>
      <c r="O15" s="742"/>
      <c r="P15" s="742"/>
      <c r="Q15" s="742"/>
      <c r="R15" s="743"/>
    </row>
    <row r="16" spans="1:18">
      <c r="A16" s="23"/>
      <c r="B16" s="11" t="s">
        <v>24</v>
      </c>
      <c r="C16" s="4"/>
      <c r="D16" s="4"/>
      <c r="E16" s="4"/>
      <c r="F16" s="4"/>
      <c r="G16" s="18"/>
      <c r="H16" s="36">
        <f>H15*15%</f>
        <v>1689.5095282499999</v>
      </c>
      <c r="I16" s="20"/>
      <c r="J16" s="744"/>
      <c r="K16" s="745"/>
      <c r="L16" s="745"/>
      <c r="M16" s="745"/>
      <c r="N16" s="745"/>
      <c r="O16" s="745"/>
      <c r="P16" s="745"/>
      <c r="Q16" s="745"/>
      <c r="R16" s="746"/>
    </row>
    <row r="17" spans="1:18">
      <c r="A17" s="23"/>
      <c r="B17" s="11" t="s">
        <v>15</v>
      </c>
      <c r="C17" s="4"/>
      <c r="D17" s="4"/>
      <c r="E17" s="4"/>
      <c r="F17" s="4"/>
      <c r="G17" s="21" t="s">
        <v>16</v>
      </c>
      <c r="H17" s="37">
        <f>H16+H15</f>
        <v>12952.90638325</v>
      </c>
      <c r="I17" s="38" t="str">
        <f>CONCATENATE("per ",C5, C6)</f>
        <v>per 10sqm</v>
      </c>
      <c r="J17" s="744"/>
      <c r="K17" s="745"/>
      <c r="L17" s="745"/>
      <c r="M17" s="745"/>
      <c r="N17" s="745"/>
      <c r="O17" s="745"/>
      <c r="P17" s="745"/>
      <c r="Q17" s="745"/>
      <c r="R17" s="746"/>
    </row>
    <row r="18" spans="1:18">
      <c r="A18" s="23"/>
      <c r="B18" s="11"/>
      <c r="C18" s="4"/>
      <c r="D18" s="4"/>
      <c r="E18" s="4"/>
      <c r="F18" s="4"/>
      <c r="G18" s="21" t="s">
        <v>16</v>
      </c>
      <c r="H18" s="37">
        <f>H17/C5</f>
        <v>1295.2906383249999</v>
      </c>
      <c r="I18" s="38" t="str">
        <f>CONCATENATE("per ",C6)</f>
        <v>per sqm</v>
      </c>
      <c r="J18" s="744"/>
      <c r="K18" s="745"/>
      <c r="L18" s="745"/>
      <c r="M18" s="745"/>
      <c r="N18" s="745"/>
      <c r="O18" s="745"/>
      <c r="P18" s="745"/>
      <c r="Q18" s="745"/>
      <c r="R18" s="746"/>
    </row>
    <row r="19" spans="1:18">
      <c r="A19" s="23"/>
      <c r="B19" s="11" t="s">
        <v>18</v>
      </c>
      <c r="C19" s="4" t="s">
        <v>19</v>
      </c>
      <c r="D19" s="4"/>
      <c r="E19" s="4"/>
      <c r="F19" s="4"/>
      <c r="G19" s="21" t="s">
        <v>16</v>
      </c>
      <c r="H19" s="37">
        <f>CEILING(H18,0.5)</f>
        <v>1295.5</v>
      </c>
      <c r="I19" s="38" t="str">
        <f>CONCATENATE("per ",C6)</f>
        <v>per sqm</v>
      </c>
      <c r="J19" s="744"/>
      <c r="K19" s="745"/>
      <c r="L19" s="745"/>
      <c r="M19" s="745"/>
      <c r="N19" s="745"/>
      <c r="O19" s="745"/>
      <c r="P19" s="745"/>
      <c r="Q19" s="745"/>
      <c r="R19" s="746"/>
    </row>
    <row r="20" spans="1:18">
      <c r="A20" s="23"/>
      <c r="B20" s="11"/>
      <c r="C20" s="4"/>
      <c r="D20" s="4"/>
      <c r="E20" s="4"/>
      <c r="F20" s="4"/>
      <c r="G20" s="24" t="s">
        <v>17</v>
      </c>
      <c r="H20" s="37">
        <f>H19/exr</f>
        <v>9.9653846153846146</v>
      </c>
      <c r="I20" s="38" t="str">
        <f>CONCATENATE("per ",C6)</f>
        <v>per sqm</v>
      </c>
      <c r="J20" s="747"/>
      <c r="K20" s="748"/>
      <c r="L20" s="748"/>
      <c r="M20" s="748"/>
      <c r="N20" s="748"/>
      <c r="O20" s="748"/>
      <c r="P20" s="748"/>
      <c r="Q20" s="748"/>
      <c r="R20" s="749"/>
    </row>
    <row r="21" spans="1:18">
      <c r="A21" s="39"/>
      <c r="B21" s="40"/>
      <c r="C21" s="41"/>
      <c r="D21" s="41"/>
      <c r="E21" s="41"/>
      <c r="F21" s="41"/>
      <c r="G21" s="149" t="s">
        <v>460</v>
      </c>
      <c r="H21" s="150">
        <f>CEILING(SUM(M8)/H13,0.0025)</f>
        <v>0.05</v>
      </c>
      <c r="I21" s="42"/>
      <c r="J21" s="43"/>
      <c r="K21" s="43"/>
      <c r="L21" s="43"/>
      <c r="M21" s="43"/>
      <c r="N21" s="43"/>
      <c r="O21" s="43"/>
      <c r="P21" s="43"/>
      <c r="Q21" s="43"/>
      <c r="R21" s="44"/>
    </row>
    <row r="23" spans="1:18">
      <c r="A23" s="693" t="s">
        <v>0</v>
      </c>
      <c r="B23" s="695" t="s">
        <v>1</v>
      </c>
      <c r="C23" s="695" t="s">
        <v>2</v>
      </c>
      <c r="D23" s="697" t="s">
        <v>3</v>
      </c>
      <c r="E23" s="698"/>
      <c r="F23" s="698"/>
      <c r="G23" s="698"/>
      <c r="H23" s="698"/>
      <c r="I23" s="699" t="s">
        <v>4</v>
      </c>
      <c r="J23" s="700"/>
      <c r="K23" s="700"/>
      <c r="L23" s="700"/>
      <c r="M23" s="700"/>
      <c r="N23" s="698" t="s">
        <v>5</v>
      </c>
      <c r="O23" s="698"/>
      <c r="P23" s="698"/>
      <c r="Q23" s="698"/>
      <c r="R23" s="698"/>
    </row>
    <row r="24" spans="1:18">
      <c r="A24" s="694"/>
      <c r="B24" s="696"/>
      <c r="C24" s="696"/>
      <c r="D24" s="45" t="s">
        <v>6</v>
      </c>
      <c r="E24" s="46" t="s">
        <v>2</v>
      </c>
      <c r="F24" s="46" t="s">
        <v>7</v>
      </c>
      <c r="G24" s="46" t="s">
        <v>8</v>
      </c>
      <c r="H24" s="46" t="s">
        <v>9</v>
      </c>
      <c r="I24" s="46" t="s">
        <v>10</v>
      </c>
      <c r="J24" s="46" t="s">
        <v>2</v>
      </c>
      <c r="K24" s="46" t="s">
        <v>7</v>
      </c>
      <c r="L24" s="46" t="s">
        <v>8</v>
      </c>
      <c r="M24" s="47" t="s">
        <v>9</v>
      </c>
      <c r="N24" s="46" t="s">
        <v>10</v>
      </c>
      <c r="O24" s="46" t="s">
        <v>2</v>
      </c>
      <c r="P24" s="46" t="s">
        <v>7</v>
      </c>
      <c r="Q24" s="46" t="s">
        <v>8</v>
      </c>
      <c r="R24" s="46" t="s">
        <v>9</v>
      </c>
    </row>
    <row r="25" spans="1:18">
      <c r="A25" s="33" t="s">
        <v>23</v>
      </c>
      <c r="B25" s="73" t="s">
        <v>238</v>
      </c>
      <c r="C25" s="31"/>
      <c r="D25" s="31"/>
      <c r="E25" s="31"/>
      <c r="F25" s="31"/>
      <c r="G25" s="31"/>
      <c r="H25" s="31"/>
      <c r="I25" s="31"/>
      <c r="J25" s="31"/>
      <c r="K25" s="31"/>
      <c r="L25" s="31"/>
      <c r="M25" s="31"/>
      <c r="N25" s="31"/>
      <c r="O25" s="31"/>
      <c r="P25" s="31"/>
      <c r="Q25" s="31"/>
      <c r="R25" s="32"/>
    </row>
    <row r="26" spans="1:18">
      <c r="A26" s="34" t="e">
        <f>A5+1</f>
        <v>#REF!</v>
      </c>
      <c r="B26" s="713" t="s">
        <v>612</v>
      </c>
      <c r="C26" s="66">
        <v>10</v>
      </c>
      <c r="D26" s="4"/>
      <c r="E26" s="6"/>
      <c r="F26" s="29"/>
      <c r="G26" s="26"/>
      <c r="H26" s="26"/>
      <c r="I26" s="6"/>
      <c r="J26" s="6"/>
      <c r="K26" s="29"/>
      <c r="L26" s="26"/>
      <c r="M26" s="26"/>
      <c r="N26" s="6"/>
      <c r="O26" s="6"/>
      <c r="P26" s="29"/>
      <c r="Q26" s="26"/>
      <c r="R26" s="26"/>
    </row>
    <row r="27" spans="1:18">
      <c r="A27" s="2"/>
      <c r="B27" s="714"/>
      <c r="C27" s="124" t="s">
        <v>127</v>
      </c>
      <c r="D27" s="4"/>
      <c r="E27" s="6"/>
      <c r="F27" s="29"/>
      <c r="G27" s="26"/>
      <c r="H27" s="26"/>
      <c r="I27" s="7"/>
      <c r="J27" s="8"/>
      <c r="K27" s="29"/>
      <c r="L27" s="28"/>
      <c r="M27" s="26"/>
      <c r="N27" s="8"/>
      <c r="O27" s="6"/>
      <c r="P27" s="29"/>
      <c r="Q27" s="28"/>
      <c r="R27" s="26"/>
    </row>
    <row r="28" spans="1:18">
      <c r="A28" s="2"/>
      <c r="B28" s="714"/>
      <c r="C28" s="6"/>
      <c r="D28" s="4"/>
      <c r="E28" s="6"/>
      <c r="F28" s="29"/>
      <c r="G28" s="26"/>
      <c r="H28" s="26"/>
      <c r="I28" s="7"/>
      <c r="J28" s="8"/>
      <c r="K28" s="29"/>
      <c r="L28" s="28"/>
      <c r="M28" s="26"/>
      <c r="N28" s="8"/>
      <c r="O28" s="6"/>
      <c r="P28" s="29"/>
      <c r="Q28" s="28"/>
      <c r="R28" s="26"/>
    </row>
    <row r="29" spans="1:18">
      <c r="A29" s="2"/>
      <c r="B29" s="714"/>
      <c r="C29" s="6"/>
      <c r="D29" s="4"/>
      <c r="E29" s="6"/>
      <c r="F29" s="29"/>
      <c r="G29" s="26"/>
      <c r="H29" s="26"/>
      <c r="I29" s="7"/>
      <c r="J29" s="8"/>
      <c r="K29" s="29"/>
      <c r="L29" s="28"/>
      <c r="M29" s="26"/>
      <c r="N29" s="8"/>
      <c r="O29" s="6"/>
      <c r="P29" s="29"/>
      <c r="Q29" s="28"/>
      <c r="R29" s="26"/>
    </row>
    <row r="30" spans="1:18">
      <c r="A30" s="2"/>
      <c r="B30" s="714"/>
      <c r="C30" s="6"/>
      <c r="D30" s="4"/>
      <c r="E30" s="6"/>
      <c r="F30" s="29"/>
      <c r="G30" s="26"/>
      <c r="H30" s="26"/>
      <c r="I30" s="7"/>
      <c r="J30" s="8"/>
      <c r="K30" s="29"/>
      <c r="L30" s="28"/>
      <c r="M30" s="26"/>
      <c r="N30" s="8"/>
      <c r="O30" s="6"/>
      <c r="P30" s="29"/>
      <c r="Q30" s="28"/>
      <c r="R30" s="26"/>
    </row>
    <row r="31" spans="1:18">
      <c r="A31" s="2"/>
      <c r="B31" s="714"/>
      <c r="C31" s="6"/>
      <c r="D31" s="4"/>
      <c r="E31" s="6"/>
      <c r="F31" s="29"/>
      <c r="G31" s="26"/>
      <c r="H31" s="26"/>
      <c r="I31" s="7"/>
      <c r="J31" s="8"/>
      <c r="K31" s="29"/>
      <c r="L31" s="28"/>
      <c r="M31" s="28"/>
      <c r="N31" s="8"/>
      <c r="O31" s="6"/>
      <c r="P31" s="29"/>
      <c r="Q31" s="28"/>
      <c r="R31" s="28"/>
    </row>
    <row r="32" spans="1:18">
      <c r="A32" s="2"/>
      <c r="B32" s="5"/>
      <c r="C32" s="6"/>
      <c r="D32" s="4"/>
      <c r="E32" s="9"/>
      <c r="F32" s="30"/>
      <c r="G32" s="27"/>
      <c r="H32" s="27"/>
      <c r="I32" s="9"/>
      <c r="J32" s="10"/>
      <c r="K32" s="30"/>
      <c r="L32" s="28"/>
      <c r="M32" s="28"/>
      <c r="N32" s="8"/>
      <c r="O32" s="6"/>
      <c r="P32" s="30"/>
      <c r="Q32" s="28"/>
      <c r="R32" s="28"/>
    </row>
    <row r="33" spans="1:18">
      <c r="A33" s="2"/>
      <c r="B33" s="11"/>
      <c r="C33" s="6"/>
      <c r="D33" s="12"/>
      <c r="E33" s="544"/>
      <c r="F33" s="13"/>
      <c r="G33" s="13" t="s">
        <v>20</v>
      </c>
      <c r="H33" s="25">
        <f>SUM(H26:H32)</f>
        <v>0</v>
      </c>
      <c r="I33" s="703"/>
      <c r="J33" s="703"/>
      <c r="K33" s="14"/>
      <c r="L33" s="13" t="s">
        <v>21</v>
      </c>
      <c r="M33" s="25">
        <f>SUM(M26:M32)</f>
        <v>0</v>
      </c>
      <c r="N33" s="3"/>
      <c r="O33" s="14"/>
      <c r="P33" s="14"/>
      <c r="Q33" s="13" t="s">
        <v>22</v>
      </c>
      <c r="R33" s="25">
        <f>SUM(R26:R32)</f>
        <v>0</v>
      </c>
    </row>
    <row r="34" spans="1:18">
      <c r="A34" s="2"/>
      <c r="B34" s="16" t="s">
        <v>13</v>
      </c>
      <c r="C34" s="14"/>
      <c r="D34" s="14"/>
      <c r="E34" s="14"/>
      <c r="F34" s="14"/>
      <c r="G34" s="13"/>
      <c r="H34" s="35">
        <f>M33+R33+H33</f>
        <v>0</v>
      </c>
      <c r="I34" s="17"/>
      <c r="J34" s="14"/>
      <c r="K34" s="14"/>
      <c r="L34" s="13"/>
      <c r="M34" s="15"/>
      <c r="N34" s="14"/>
      <c r="O34" s="14"/>
      <c r="P34" s="14"/>
      <c r="Q34" s="14"/>
      <c r="R34" s="17"/>
    </row>
    <row r="35" spans="1:18">
      <c r="A35" s="2"/>
      <c r="B35" s="11" t="s">
        <v>25</v>
      </c>
      <c r="C35" s="4"/>
      <c r="D35" s="4"/>
      <c r="E35" s="4"/>
      <c r="F35" s="4"/>
      <c r="G35" s="18"/>
      <c r="H35" s="36">
        <v>0</v>
      </c>
      <c r="I35" s="20"/>
      <c r="J35" s="4" t="s">
        <v>26</v>
      </c>
      <c r="K35" s="4"/>
      <c r="L35" s="18"/>
      <c r="M35" s="19"/>
      <c r="N35" s="4"/>
      <c r="O35" s="4"/>
      <c r="P35" s="4"/>
      <c r="Q35" s="4"/>
      <c r="R35" s="20"/>
    </row>
    <row r="36" spans="1:18">
      <c r="A36" s="23"/>
      <c r="B36" s="11" t="s">
        <v>14</v>
      </c>
      <c r="C36" s="4"/>
      <c r="D36" s="4"/>
      <c r="E36" s="4"/>
      <c r="F36" s="4"/>
      <c r="G36" s="18"/>
      <c r="H36" s="36">
        <f>SUM(H34:H35)</f>
        <v>0</v>
      </c>
      <c r="I36" s="20"/>
      <c r="J36" s="741" t="s">
        <v>239</v>
      </c>
      <c r="K36" s="742"/>
      <c r="L36" s="742"/>
      <c r="M36" s="742"/>
      <c r="N36" s="742"/>
      <c r="O36" s="742"/>
      <c r="P36" s="742"/>
      <c r="Q36" s="742"/>
      <c r="R36" s="743"/>
    </row>
    <row r="37" spans="1:18">
      <c r="A37" s="23"/>
      <c r="B37" s="11" t="s">
        <v>24</v>
      </c>
      <c r="C37" s="4"/>
      <c r="D37" s="4"/>
      <c r="E37" s="4"/>
      <c r="F37" s="4"/>
      <c r="G37" s="18"/>
      <c r="H37" s="36">
        <f>H36*15%</f>
        <v>0</v>
      </c>
      <c r="I37" s="20"/>
      <c r="J37" s="744"/>
      <c r="K37" s="745"/>
      <c r="L37" s="745"/>
      <c r="M37" s="745"/>
      <c r="N37" s="745"/>
      <c r="O37" s="745"/>
      <c r="P37" s="745"/>
      <c r="Q37" s="745"/>
      <c r="R37" s="746"/>
    </row>
    <row r="38" spans="1:18">
      <c r="A38" s="23"/>
      <c r="B38" s="11" t="s">
        <v>15</v>
      </c>
      <c r="C38" s="4"/>
      <c r="D38" s="4"/>
      <c r="E38" s="4"/>
      <c r="F38" s="4"/>
      <c r="G38" s="21" t="s">
        <v>16</v>
      </c>
      <c r="H38" s="37">
        <f>H37+H36</f>
        <v>0</v>
      </c>
      <c r="I38" s="38" t="str">
        <f>CONCATENATE("per ",C26, C27)</f>
        <v>per 10sqm</v>
      </c>
      <c r="J38" s="744"/>
      <c r="K38" s="745"/>
      <c r="L38" s="745"/>
      <c r="M38" s="745"/>
      <c r="N38" s="745"/>
      <c r="O38" s="745"/>
      <c r="P38" s="745"/>
      <c r="Q38" s="745"/>
      <c r="R38" s="746"/>
    </row>
    <row r="39" spans="1:18">
      <c r="A39" s="23"/>
      <c r="B39" s="11"/>
      <c r="C39" s="4"/>
      <c r="D39" s="4"/>
      <c r="E39" s="4"/>
      <c r="F39" s="4"/>
      <c r="G39" s="21" t="s">
        <v>16</v>
      </c>
      <c r="H39" s="37">
        <f>H38/C26</f>
        <v>0</v>
      </c>
      <c r="I39" s="38" t="str">
        <f>CONCATENATE("per ",C27)</f>
        <v>per sqm</v>
      </c>
      <c r="J39" s="744"/>
      <c r="K39" s="745"/>
      <c r="L39" s="745"/>
      <c r="M39" s="745"/>
      <c r="N39" s="745"/>
      <c r="O39" s="745"/>
      <c r="P39" s="745"/>
      <c r="Q39" s="745"/>
      <c r="R39" s="746"/>
    </row>
    <row r="40" spans="1:18">
      <c r="A40" s="23"/>
      <c r="B40" s="11" t="s">
        <v>18</v>
      </c>
      <c r="C40" s="4" t="s">
        <v>19</v>
      </c>
      <c r="D40" s="4"/>
      <c r="E40" s="4"/>
      <c r="F40" s="4"/>
      <c r="G40" s="21" t="s">
        <v>16</v>
      </c>
      <c r="H40" s="37">
        <f>CEILING(H39,0.5)</f>
        <v>0</v>
      </c>
      <c r="I40" s="38" t="str">
        <f>CONCATENATE("per ",C27)</f>
        <v>per sqm</v>
      </c>
      <c r="J40" s="744"/>
      <c r="K40" s="745"/>
      <c r="L40" s="745"/>
      <c r="M40" s="745"/>
      <c r="N40" s="745"/>
      <c r="O40" s="745"/>
      <c r="P40" s="745"/>
      <c r="Q40" s="745"/>
      <c r="R40" s="746"/>
    </row>
    <row r="41" spans="1:18">
      <c r="A41" s="23"/>
      <c r="B41" s="11"/>
      <c r="C41" s="4"/>
      <c r="D41" s="4"/>
      <c r="E41" s="4"/>
      <c r="F41" s="4"/>
      <c r="G41" s="24" t="s">
        <v>17</v>
      </c>
      <c r="H41" s="37">
        <f>H40/exr</f>
        <v>0</v>
      </c>
      <c r="I41" s="38" t="str">
        <f>CONCATENATE("per ",C27)</f>
        <v>per sqm</v>
      </c>
      <c r="J41" s="747"/>
      <c r="K41" s="748"/>
      <c r="L41" s="748"/>
      <c r="M41" s="748"/>
      <c r="N41" s="748"/>
      <c r="O41" s="748"/>
      <c r="P41" s="748"/>
      <c r="Q41" s="748"/>
      <c r="R41" s="749"/>
    </row>
    <row r="42" spans="1:18">
      <c r="A42" s="39"/>
      <c r="B42" s="40"/>
      <c r="C42" s="41"/>
      <c r="D42" s="41"/>
      <c r="E42" s="41"/>
      <c r="F42" s="41"/>
      <c r="G42" s="149" t="s">
        <v>460</v>
      </c>
      <c r="H42" s="150">
        <f>CEILING(0,0.0025)</f>
        <v>0</v>
      </c>
      <c r="I42" s="42"/>
      <c r="J42" s="43"/>
      <c r="K42" s="43"/>
      <c r="L42" s="43"/>
      <c r="M42" s="43"/>
      <c r="N42" s="43"/>
      <c r="O42" s="43"/>
      <c r="P42" s="43"/>
      <c r="Q42" s="43"/>
      <c r="R42" s="44"/>
    </row>
    <row r="44" spans="1:18" s="170" customFormat="1">
      <c r="A44" s="693" t="s">
        <v>0</v>
      </c>
      <c r="B44" s="695" t="s">
        <v>1</v>
      </c>
      <c r="C44" s="695" t="s">
        <v>2</v>
      </c>
      <c r="D44" s="697" t="s">
        <v>3</v>
      </c>
      <c r="E44" s="698"/>
      <c r="F44" s="698"/>
      <c r="G44" s="698"/>
      <c r="H44" s="698"/>
      <c r="I44" s="699" t="s">
        <v>4</v>
      </c>
      <c r="J44" s="700"/>
      <c r="K44" s="700"/>
      <c r="L44" s="700"/>
      <c r="M44" s="700"/>
      <c r="N44" s="698" t="s">
        <v>5</v>
      </c>
      <c r="O44" s="698"/>
      <c r="P44" s="698"/>
      <c r="Q44" s="698"/>
      <c r="R44" s="698"/>
    </row>
    <row r="45" spans="1:18" s="170" customFormat="1">
      <c r="A45" s="694"/>
      <c r="B45" s="696"/>
      <c r="C45" s="696"/>
      <c r="D45" s="45" t="s">
        <v>6</v>
      </c>
      <c r="E45" s="46" t="s">
        <v>2</v>
      </c>
      <c r="F45" s="46" t="s">
        <v>7</v>
      </c>
      <c r="G45" s="46" t="s">
        <v>8</v>
      </c>
      <c r="H45" s="46" t="s">
        <v>9</v>
      </c>
      <c r="I45" s="46" t="s">
        <v>10</v>
      </c>
      <c r="J45" s="46" t="s">
        <v>2</v>
      </c>
      <c r="K45" s="46" t="s">
        <v>7</v>
      </c>
      <c r="L45" s="46" t="s">
        <v>8</v>
      </c>
      <c r="M45" s="47" t="s">
        <v>9</v>
      </c>
      <c r="N45" s="46" t="s">
        <v>10</v>
      </c>
      <c r="O45" s="46" t="s">
        <v>2</v>
      </c>
      <c r="P45" s="46" t="s">
        <v>7</v>
      </c>
      <c r="Q45" s="46" t="s">
        <v>8</v>
      </c>
      <c r="R45" s="46" t="s">
        <v>9</v>
      </c>
    </row>
    <row r="46" spans="1:18" s="170" customFormat="1">
      <c r="A46" s="33" t="s">
        <v>23</v>
      </c>
      <c r="B46" s="73" t="s">
        <v>613</v>
      </c>
      <c r="C46" s="31"/>
      <c r="D46" s="31"/>
      <c r="E46" s="31"/>
      <c r="F46" s="31"/>
      <c r="G46" s="31"/>
      <c r="H46" s="31"/>
      <c r="I46" s="31"/>
      <c r="J46" s="31"/>
      <c r="K46" s="31"/>
      <c r="L46" s="31"/>
      <c r="M46" s="31"/>
      <c r="N46" s="31"/>
      <c r="O46" s="31"/>
      <c r="P46" s="31"/>
      <c r="Q46" s="31"/>
      <c r="R46" s="32"/>
    </row>
    <row r="47" spans="1:18" s="170" customFormat="1">
      <c r="A47" s="34" t="e">
        <f>A26+1</f>
        <v>#REF!</v>
      </c>
      <c r="B47" s="730" t="s">
        <v>617</v>
      </c>
      <c r="C47" s="546">
        <v>10</v>
      </c>
      <c r="D47" s="87"/>
      <c r="E47" s="8"/>
      <c r="F47" s="88"/>
      <c r="G47" s="28"/>
      <c r="H47" s="28"/>
      <c r="I47" s="8"/>
      <c r="J47" s="8"/>
      <c r="K47" s="88"/>
      <c r="L47" s="28"/>
      <c r="M47" s="28"/>
      <c r="N47" s="8"/>
      <c r="O47" s="8"/>
      <c r="P47" s="88"/>
      <c r="Q47" s="28"/>
      <c r="R47" s="28"/>
    </row>
    <row r="48" spans="1:18" s="170" customFormat="1">
      <c r="A48" s="2"/>
      <c r="B48" s="731"/>
      <c r="C48" s="171" t="s">
        <v>127</v>
      </c>
      <c r="D48" s="87" t="s">
        <v>96</v>
      </c>
      <c r="E48" s="8" t="s">
        <v>81</v>
      </c>
      <c r="F48" s="88">
        <v>3</v>
      </c>
      <c r="G48" s="28">
        <f>sr</f>
        <v>1100</v>
      </c>
      <c r="H48" s="28">
        <f>F48*G48</f>
        <v>3300</v>
      </c>
      <c r="I48" s="89" t="s">
        <v>234</v>
      </c>
      <c r="J48" s="8" t="s">
        <v>127</v>
      </c>
      <c r="K48" s="88">
        <f>11/8</f>
        <v>1.375</v>
      </c>
      <c r="L48" s="28">
        <f>plywood</f>
        <v>420.36</v>
      </c>
      <c r="M48" s="28">
        <f>K48*L48</f>
        <v>577.995</v>
      </c>
      <c r="N48" s="8"/>
      <c r="O48" s="8"/>
      <c r="P48" s="88"/>
      <c r="Q48" s="28"/>
      <c r="R48" s="28"/>
    </row>
    <row r="49" spans="1:18" s="170" customFormat="1">
      <c r="A49" s="2"/>
      <c r="B49" s="731"/>
      <c r="C49" s="8"/>
      <c r="D49" s="87" t="s">
        <v>97</v>
      </c>
      <c r="E49" s="8" t="s">
        <v>81</v>
      </c>
      <c r="F49" s="88">
        <v>3</v>
      </c>
      <c r="G49" s="28">
        <f>ur</f>
        <v>850</v>
      </c>
      <c r="H49" s="28">
        <f>F49*G49</f>
        <v>2550</v>
      </c>
      <c r="I49" s="89" t="s">
        <v>231</v>
      </c>
      <c r="J49" s="8" t="s">
        <v>11</v>
      </c>
      <c r="K49" s="88">
        <f>0.6/12</f>
        <v>4.9999999999999996E-2</v>
      </c>
      <c r="L49" s="154">
        <f>AVERAGE(timber,planks)</f>
        <v>64135.06</v>
      </c>
      <c r="M49" s="28">
        <f>K49*L49</f>
        <v>3206.7529999999997</v>
      </c>
      <c r="N49" s="8"/>
      <c r="O49" s="8"/>
      <c r="P49" s="88"/>
      <c r="Q49" s="28"/>
      <c r="R49" s="28"/>
    </row>
    <row r="50" spans="1:18" s="170" customFormat="1">
      <c r="A50" s="2"/>
      <c r="B50" s="731"/>
      <c r="C50" s="8"/>
      <c r="D50" s="87"/>
      <c r="E50" s="8"/>
      <c r="F50" s="88"/>
      <c r="G50" s="28"/>
      <c r="H50" s="28"/>
      <c r="I50" s="89" t="s">
        <v>232</v>
      </c>
      <c r="J50" s="8" t="s">
        <v>28</v>
      </c>
      <c r="K50" s="88">
        <v>4</v>
      </c>
      <c r="L50" s="28">
        <f>nails/1000</f>
        <v>124.14419000000001</v>
      </c>
      <c r="M50" s="28">
        <f>K50*L50</f>
        <v>496.57676000000004</v>
      </c>
      <c r="N50" s="8"/>
      <c r="O50" s="8"/>
      <c r="P50" s="88"/>
      <c r="Q50" s="28"/>
      <c r="R50" s="28"/>
    </row>
    <row r="51" spans="1:18" s="170" customFormat="1">
      <c r="A51" s="2"/>
      <c r="B51" s="731"/>
      <c r="C51" s="8"/>
      <c r="D51" s="87"/>
      <c r="E51" s="8"/>
      <c r="F51" s="88"/>
      <c r="G51" s="28"/>
      <c r="H51" s="28"/>
      <c r="I51" s="89"/>
      <c r="J51" s="8"/>
      <c r="K51" s="88"/>
      <c r="L51" s="28"/>
      <c r="M51" s="28"/>
      <c r="N51" s="8"/>
      <c r="O51" s="8"/>
      <c r="P51" s="88"/>
      <c r="Q51" s="28"/>
      <c r="R51" s="28"/>
    </row>
    <row r="52" spans="1:18" s="170" customFormat="1" ht="31.5" customHeight="1">
      <c r="A52" s="2"/>
      <c r="B52" s="731"/>
      <c r="C52" s="8"/>
      <c r="D52" s="87"/>
      <c r="E52" s="8"/>
      <c r="F52" s="88"/>
      <c r="G52" s="28"/>
      <c r="H52" s="28"/>
      <c r="I52" s="89"/>
      <c r="J52" s="8"/>
      <c r="K52" s="88"/>
      <c r="L52" s="28"/>
      <c r="M52" s="28"/>
      <c r="N52" s="8"/>
      <c r="O52" s="8"/>
      <c r="P52" s="88"/>
      <c r="Q52" s="28"/>
      <c r="R52" s="28"/>
    </row>
    <row r="53" spans="1:18" s="170" customFormat="1">
      <c r="A53" s="2"/>
      <c r="B53" s="172"/>
      <c r="C53" s="8"/>
      <c r="D53" s="87"/>
      <c r="E53" s="10"/>
      <c r="F53" s="91"/>
      <c r="G53" s="92"/>
      <c r="H53" s="92"/>
      <c r="I53" s="10"/>
      <c r="J53" s="10"/>
      <c r="K53" s="91"/>
      <c r="L53" s="28"/>
      <c r="M53" s="28"/>
      <c r="N53" s="8"/>
      <c r="O53" s="8"/>
      <c r="P53" s="91"/>
      <c r="Q53" s="28"/>
      <c r="R53" s="28"/>
    </row>
    <row r="54" spans="1:18" s="170" customFormat="1">
      <c r="A54" s="2"/>
      <c r="B54" s="2"/>
      <c r="C54" s="8"/>
      <c r="D54" s="93"/>
      <c r="E54" s="545"/>
      <c r="F54" s="95"/>
      <c r="G54" s="95" t="s">
        <v>20</v>
      </c>
      <c r="H54" s="96">
        <f>SUM(H47:H53)</f>
        <v>5850</v>
      </c>
      <c r="I54" s="717"/>
      <c r="J54" s="717"/>
      <c r="K54" s="97"/>
      <c r="L54" s="95" t="s">
        <v>21</v>
      </c>
      <c r="M54" s="96">
        <f>SUM(M47:M53)</f>
        <v>4281.3247599999995</v>
      </c>
      <c r="N54" s="98"/>
      <c r="O54" s="97"/>
      <c r="P54" s="97"/>
      <c r="Q54" s="95" t="s">
        <v>22</v>
      </c>
      <c r="R54" s="96">
        <f>SUM(R47:R53)</f>
        <v>0</v>
      </c>
    </row>
    <row r="55" spans="1:18" s="170" customFormat="1">
      <c r="A55" s="2"/>
      <c r="B55" s="99" t="s">
        <v>13</v>
      </c>
      <c r="C55" s="97"/>
      <c r="D55" s="97"/>
      <c r="E55" s="97"/>
      <c r="F55" s="97"/>
      <c r="G55" s="95"/>
      <c r="H55" s="100">
        <f>M54+R54+H54</f>
        <v>10131.32476</v>
      </c>
      <c r="I55" s="101"/>
      <c r="J55" s="97"/>
      <c r="K55" s="97"/>
      <c r="L55" s="95"/>
      <c r="M55" s="102"/>
      <c r="N55" s="97"/>
      <c r="O55" s="97"/>
      <c r="P55" s="97"/>
      <c r="Q55" s="97"/>
      <c r="R55" s="101"/>
    </row>
    <row r="56" spans="1:18" s="170" customFormat="1">
      <c r="A56" s="2"/>
      <c r="B56" s="2" t="s">
        <v>25</v>
      </c>
      <c r="C56" s="87"/>
      <c r="D56" s="87"/>
      <c r="E56" s="87"/>
      <c r="F56" s="87"/>
      <c r="G56" s="103"/>
      <c r="H56" s="104">
        <v>0</v>
      </c>
      <c r="I56" s="105"/>
      <c r="J56" s="87" t="s">
        <v>26</v>
      </c>
      <c r="K56" s="87"/>
      <c r="L56" s="103"/>
      <c r="M56" s="106"/>
      <c r="N56" s="87"/>
      <c r="O56" s="87"/>
      <c r="P56" s="87"/>
      <c r="Q56" s="87"/>
      <c r="R56" s="105"/>
    </row>
    <row r="57" spans="1:18" s="170" customFormat="1">
      <c r="A57" s="23"/>
      <c r="B57" s="2" t="s">
        <v>14</v>
      </c>
      <c r="C57" s="87"/>
      <c r="D57" s="87"/>
      <c r="E57" s="87"/>
      <c r="F57" s="87"/>
      <c r="G57" s="103"/>
      <c r="H57" s="104">
        <f>SUM(H55:H56)</f>
        <v>10131.32476</v>
      </c>
      <c r="I57" s="105"/>
      <c r="J57" s="732"/>
      <c r="K57" s="733"/>
      <c r="L57" s="733"/>
      <c r="M57" s="733"/>
      <c r="N57" s="733"/>
      <c r="O57" s="733"/>
      <c r="P57" s="733"/>
      <c r="Q57" s="733"/>
      <c r="R57" s="734"/>
    </row>
    <row r="58" spans="1:18" s="170" customFormat="1">
      <c r="A58" s="23"/>
      <c r="B58" s="2" t="s">
        <v>24</v>
      </c>
      <c r="C58" s="87"/>
      <c r="D58" s="87"/>
      <c r="E58" s="87"/>
      <c r="F58" s="87"/>
      <c r="G58" s="103"/>
      <c r="H58" s="104">
        <f>H57*15%</f>
        <v>1519.6987139999999</v>
      </c>
      <c r="I58" s="105"/>
      <c r="J58" s="735"/>
      <c r="K58" s="736"/>
      <c r="L58" s="736"/>
      <c r="M58" s="736"/>
      <c r="N58" s="736"/>
      <c r="O58" s="736"/>
      <c r="P58" s="736"/>
      <c r="Q58" s="736"/>
      <c r="R58" s="737"/>
    </row>
    <row r="59" spans="1:18" s="170" customFormat="1">
      <c r="A59" s="23"/>
      <c r="B59" s="2" t="s">
        <v>15</v>
      </c>
      <c r="C59" s="87"/>
      <c r="D59" s="87"/>
      <c r="E59" s="87"/>
      <c r="F59" s="87"/>
      <c r="G59" s="107" t="s">
        <v>16</v>
      </c>
      <c r="H59" s="37">
        <f>H58+H57</f>
        <v>11651.023474</v>
      </c>
      <c r="I59" s="108" t="str">
        <f>CONCATENATE("per ",C47, C48)</f>
        <v>per 10sqm</v>
      </c>
      <c r="J59" s="735"/>
      <c r="K59" s="736"/>
      <c r="L59" s="736"/>
      <c r="M59" s="736"/>
      <c r="N59" s="736"/>
      <c r="O59" s="736"/>
      <c r="P59" s="736"/>
      <c r="Q59" s="736"/>
      <c r="R59" s="737"/>
    </row>
    <row r="60" spans="1:18" s="170" customFormat="1">
      <c r="A60" s="23"/>
      <c r="B60" s="2"/>
      <c r="C60" s="87"/>
      <c r="D60" s="87"/>
      <c r="E60" s="87"/>
      <c r="F60" s="87"/>
      <c r="G60" s="107" t="s">
        <v>16</v>
      </c>
      <c r="H60" s="37">
        <f>H59/C47</f>
        <v>1165.1023473999999</v>
      </c>
      <c r="I60" s="108" t="str">
        <f>CONCATENATE("per ",C48)</f>
        <v>per sqm</v>
      </c>
      <c r="J60" s="735"/>
      <c r="K60" s="736"/>
      <c r="L60" s="736"/>
      <c r="M60" s="736"/>
      <c r="N60" s="736"/>
      <c r="O60" s="736"/>
      <c r="P60" s="736"/>
      <c r="Q60" s="736"/>
      <c r="R60" s="737"/>
    </row>
    <row r="61" spans="1:18" s="170" customFormat="1">
      <c r="A61" s="23"/>
      <c r="B61" s="2" t="s">
        <v>18</v>
      </c>
      <c r="C61" s="87" t="s">
        <v>19</v>
      </c>
      <c r="D61" s="87"/>
      <c r="E61" s="87"/>
      <c r="F61" s="87"/>
      <c r="G61" s="107" t="s">
        <v>16</v>
      </c>
      <c r="H61" s="37">
        <f>CEILING(H60,0.5)</f>
        <v>1165.5</v>
      </c>
      <c r="I61" s="108" t="str">
        <f>CONCATENATE("per ",C48)</f>
        <v>per sqm</v>
      </c>
      <c r="J61" s="735"/>
      <c r="K61" s="736"/>
      <c r="L61" s="736"/>
      <c r="M61" s="736"/>
      <c r="N61" s="736"/>
      <c r="O61" s="736"/>
      <c r="P61" s="736"/>
      <c r="Q61" s="736"/>
      <c r="R61" s="737"/>
    </row>
    <row r="62" spans="1:18" s="170" customFormat="1">
      <c r="A62" s="23"/>
      <c r="B62" s="2"/>
      <c r="C62" s="87"/>
      <c r="D62" s="87"/>
      <c r="E62" s="87"/>
      <c r="F62" s="87"/>
      <c r="G62" s="109" t="s">
        <v>17</v>
      </c>
      <c r="H62" s="37">
        <f>H61/exr</f>
        <v>8.9653846153846146</v>
      </c>
      <c r="I62" s="108" t="str">
        <f>CONCATENATE("per ",C48)</f>
        <v>per sqm</v>
      </c>
      <c r="J62" s="738"/>
      <c r="K62" s="739"/>
      <c r="L62" s="739"/>
      <c r="M62" s="739"/>
      <c r="N62" s="739"/>
      <c r="O62" s="739"/>
      <c r="P62" s="739"/>
      <c r="Q62" s="739"/>
      <c r="R62" s="740"/>
    </row>
    <row r="63" spans="1:18" s="170" customFormat="1">
      <c r="A63" s="39"/>
      <c r="B63" s="40"/>
      <c r="C63" s="41"/>
      <c r="D63" s="41"/>
      <c r="E63" s="41"/>
      <c r="F63" s="41"/>
      <c r="G63" s="149" t="s">
        <v>460</v>
      </c>
      <c r="H63" s="150">
        <f>CEILING(SUM(M50)/H55,0.0025)</f>
        <v>0.05</v>
      </c>
      <c r="I63" s="42"/>
      <c r="J63" s="43"/>
      <c r="K63" s="43"/>
      <c r="L63" s="43"/>
      <c r="M63" s="43"/>
      <c r="N63" s="43"/>
      <c r="O63" s="43"/>
      <c r="P63" s="43"/>
      <c r="Q63" s="43"/>
      <c r="R63" s="44"/>
    </row>
    <row r="64" spans="1:18" s="170" customFormat="1"/>
    <row r="65" spans="1:18" s="170" customFormat="1">
      <c r="A65" s="693" t="s">
        <v>0</v>
      </c>
      <c r="B65" s="695" t="s">
        <v>1</v>
      </c>
      <c r="C65" s="695" t="s">
        <v>2</v>
      </c>
      <c r="D65" s="697" t="s">
        <v>3</v>
      </c>
      <c r="E65" s="698"/>
      <c r="F65" s="698"/>
      <c r="G65" s="698"/>
      <c r="H65" s="698"/>
      <c r="I65" s="699" t="s">
        <v>4</v>
      </c>
      <c r="J65" s="700"/>
      <c r="K65" s="700"/>
      <c r="L65" s="700"/>
      <c r="M65" s="700"/>
      <c r="N65" s="698" t="s">
        <v>5</v>
      </c>
      <c r="O65" s="698"/>
      <c r="P65" s="698"/>
      <c r="Q65" s="698"/>
      <c r="R65" s="698"/>
    </row>
    <row r="66" spans="1:18" s="170" customFormat="1">
      <c r="A66" s="694"/>
      <c r="B66" s="696"/>
      <c r="C66" s="696"/>
      <c r="D66" s="45" t="s">
        <v>6</v>
      </c>
      <c r="E66" s="46" t="s">
        <v>2</v>
      </c>
      <c r="F66" s="46" t="s">
        <v>7</v>
      </c>
      <c r="G66" s="46" t="s">
        <v>8</v>
      </c>
      <c r="H66" s="46" t="s">
        <v>9</v>
      </c>
      <c r="I66" s="46" t="s">
        <v>10</v>
      </c>
      <c r="J66" s="46" t="s">
        <v>2</v>
      </c>
      <c r="K66" s="46" t="s">
        <v>7</v>
      </c>
      <c r="L66" s="46" t="s">
        <v>8</v>
      </c>
      <c r="M66" s="47" t="s">
        <v>9</v>
      </c>
      <c r="N66" s="46" t="s">
        <v>10</v>
      </c>
      <c r="O66" s="46" t="s">
        <v>2</v>
      </c>
      <c r="P66" s="46" t="s">
        <v>7</v>
      </c>
      <c r="Q66" s="46" t="s">
        <v>8</v>
      </c>
      <c r="R66" s="46" t="s">
        <v>9</v>
      </c>
    </row>
    <row r="67" spans="1:18" s="170" customFormat="1">
      <c r="A67" s="33" t="s">
        <v>23</v>
      </c>
      <c r="B67" s="73" t="s">
        <v>614</v>
      </c>
      <c r="C67" s="31"/>
      <c r="D67" s="31"/>
      <c r="E67" s="31"/>
      <c r="F67" s="31"/>
      <c r="G67" s="31"/>
      <c r="H67" s="31"/>
      <c r="I67" s="31"/>
      <c r="J67" s="31"/>
      <c r="K67" s="31"/>
      <c r="L67" s="31"/>
      <c r="M67" s="31"/>
      <c r="N67" s="31"/>
      <c r="O67" s="31"/>
      <c r="P67" s="31"/>
      <c r="Q67" s="31"/>
      <c r="R67" s="32"/>
    </row>
    <row r="68" spans="1:18" s="170" customFormat="1">
      <c r="A68" s="34" t="e">
        <f>A47+1</f>
        <v>#REF!</v>
      </c>
      <c r="B68" s="730" t="s">
        <v>618</v>
      </c>
      <c r="C68" s="546">
        <v>10</v>
      </c>
      <c r="D68" s="87"/>
      <c r="E68" s="8"/>
      <c r="F68" s="88"/>
      <c r="G68" s="28"/>
      <c r="H68" s="28"/>
      <c r="I68" s="8"/>
      <c r="J68" s="8"/>
      <c r="K68" s="88"/>
      <c r="L68" s="28"/>
      <c r="M68" s="28"/>
      <c r="N68" s="8"/>
      <c r="O68" s="8"/>
      <c r="P68" s="88"/>
      <c r="Q68" s="28"/>
      <c r="R68" s="28"/>
    </row>
    <row r="69" spans="1:18" s="170" customFormat="1">
      <c r="A69" s="2"/>
      <c r="B69" s="731"/>
      <c r="C69" s="171" t="s">
        <v>127</v>
      </c>
      <c r="D69" s="87" t="s">
        <v>96</v>
      </c>
      <c r="E69" s="8" t="s">
        <v>81</v>
      </c>
      <c r="F69" s="88">
        <v>3.5</v>
      </c>
      <c r="G69" s="28">
        <f>sr</f>
        <v>1100</v>
      </c>
      <c r="H69" s="28">
        <f>F69*G69</f>
        <v>3850</v>
      </c>
      <c r="I69" s="89" t="s">
        <v>234</v>
      </c>
      <c r="J69" s="8" t="s">
        <v>127</v>
      </c>
      <c r="K69" s="88">
        <f>11/8</f>
        <v>1.375</v>
      </c>
      <c r="L69" s="28">
        <f>plywood</f>
        <v>420.36</v>
      </c>
      <c r="M69" s="28">
        <f>K69*L69</f>
        <v>577.995</v>
      </c>
      <c r="N69" s="8"/>
      <c r="O69" s="8"/>
      <c r="P69" s="88"/>
      <c r="Q69" s="28"/>
      <c r="R69" s="28"/>
    </row>
    <row r="70" spans="1:18" s="170" customFormat="1">
      <c r="A70" s="2"/>
      <c r="B70" s="731"/>
      <c r="C70" s="8"/>
      <c r="D70" s="87" t="s">
        <v>97</v>
      </c>
      <c r="E70" s="8" t="s">
        <v>81</v>
      </c>
      <c r="F70" s="88">
        <v>3.8</v>
      </c>
      <c r="G70" s="28">
        <f>ur</f>
        <v>850</v>
      </c>
      <c r="H70" s="28">
        <f>F70*G70</f>
        <v>3230</v>
      </c>
      <c r="I70" s="89" t="s">
        <v>231</v>
      </c>
      <c r="J70" s="8" t="s">
        <v>11</v>
      </c>
      <c r="K70" s="88">
        <f>0.72/12</f>
        <v>0.06</v>
      </c>
      <c r="L70" s="154">
        <f>AVERAGE(timber,planks)</f>
        <v>64135.06</v>
      </c>
      <c r="M70" s="28">
        <f>K70*L70</f>
        <v>3848.1035999999999</v>
      </c>
      <c r="N70" s="8"/>
      <c r="O70" s="8"/>
      <c r="P70" s="88"/>
      <c r="Q70" s="28"/>
      <c r="R70" s="28"/>
    </row>
    <row r="71" spans="1:18" s="170" customFormat="1">
      <c r="A71" s="2"/>
      <c r="B71" s="731"/>
      <c r="C71" s="8"/>
      <c r="D71" s="87"/>
      <c r="E71" s="8"/>
      <c r="F71" s="88"/>
      <c r="G71" s="28"/>
      <c r="H71" s="28"/>
      <c r="I71" s="89" t="s">
        <v>232</v>
      </c>
      <c r="J71" s="8" t="s">
        <v>28</v>
      </c>
      <c r="K71" s="88">
        <v>5</v>
      </c>
      <c r="L71" s="28">
        <f>nails/1000</f>
        <v>124.14419000000001</v>
      </c>
      <c r="M71" s="28">
        <f>K71*L71</f>
        <v>620.72095000000002</v>
      </c>
      <c r="N71" s="8"/>
      <c r="O71" s="8"/>
      <c r="P71" s="88"/>
      <c r="Q71" s="28"/>
      <c r="R71" s="28"/>
    </row>
    <row r="72" spans="1:18" s="170" customFormat="1">
      <c r="A72" s="2"/>
      <c r="B72" s="731"/>
      <c r="C72" s="8"/>
      <c r="D72" s="87"/>
      <c r="E72" s="8"/>
      <c r="F72" s="88"/>
      <c r="G72" s="28"/>
      <c r="H72" s="28"/>
      <c r="I72" s="89"/>
      <c r="J72" s="8"/>
      <c r="K72" s="88"/>
      <c r="L72" s="28"/>
      <c r="M72" s="28"/>
      <c r="N72" s="8"/>
      <c r="O72" s="8"/>
      <c r="P72" s="88"/>
      <c r="Q72" s="28"/>
      <c r="R72" s="28"/>
    </row>
    <row r="73" spans="1:18" s="170" customFormat="1" ht="30.75" customHeight="1">
      <c r="A73" s="2"/>
      <c r="B73" s="731"/>
      <c r="C73" s="8"/>
      <c r="D73" s="87"/>
      <c r="E73" s="8"/>
      <c r="F73" s="88"/>
      <c r="G73" s="28"/>
      <c r="H73" s="28"/>
      <c r="I73" s="89"/>
      <c r="J73" s="8"/>
      <c r="K73" s="88"/>
      <c r="L73" s="28"/>
      <c r="M73" s="28"/>
      <c r="N73" s="8"/>
      <c r="O73" s="8"/>
      <c r="P73" s="88"/>
      <c r="Q73" s="28"/>
      <c r="R73" s="28"/>
    </row>
    <row r="74" spans="1:18" s="170" customFormat="1">
      <c r="A74" s="2"/>
      <c r="B74" s="172"/>
      <c r="C74" s="8"/>
      <c r="D74" s="87"/>
      <c r="E74" s="10"/>
      <c r="F74" s="91"/>
      <c r="G74" s="92"/>
      <c r="H74" s="92"/>
      <c r="I74" s="10"/>
      <c r="J74" s="10"/>
      <c r="K74" s="91"/>
      <c r="L74" s="28"/>
      <c r="M74" s="28"/>
      <c r="N74" s="8"/>
      <c r="O74" s="8"/>
      <c r="P74" s="91"/>
      <c r="Q74" s="28"/>
      <c r="R74" s="28"/>
    </row>
    <row r="75" spans="1:18" s="170" customFormat="1">
      <c r="A75" s="2"/>
      <c r="B75" s="2"/>
      <c r="C75" s="8"/>
      <c r="D75" s="93"/>
      <c r="E75" s="545"/>
      <c r="F75" s="95"/>
      <c r="G75" s="95" t="s">
        <v>20</v>
      </c>
      <c r="H75" s="96">
        <f>SUM(H68:H74)</f>
        <v>7080</v>
      </c>
      <c r="I75" s="717"/>
      <c r="J75" s="717"/>
      <c r="K75" s="97"/>
      <c r="L75" s="95" t="s">
        <v>21</v>
      </c>
      <c r="M75" s="96">
        <f>SUM(M68:M74)</f>
        <v>5046.8195500000002</v>
      </c>
      <c r="N75" s="98"/>
      <c r="O75" s="97"/>
      <c r="P75" s="97"/>
      <c r="Q75" s="95" t="s">
        <v>22</v>
      </c>
      <c r="R75" s="96">
        <f>SUM(R68:R74)</f>
        <v>0</v>
      </c>
    </row>
    <row r="76" spans="1:18" s="170" customFormat="1">
      <c r="A76" s="2"/>
      <c r="B76" s="99" t="s">
        <v>13</v>
      </c>
      <c r="C76" s="97"/>
      <c r="D76" s="97"/>
      <c r="E76" s="97"/>
      <c r="F76" s="97"/>
      <c r="G76" s="95"/>
      <c r="H76" s="100">
        <f>M75+R75+H75</f>
        <v>12126.81955</v>
      </c>
      <c r="I76" s="101"/>
      <c r="J76" s="97"/>
      <c r="K76" s="97"/>
      <c r="L76" s="95"/>
      <c r="M76" s="102"/>
      <c r="N76" s="97"/>
      <c r="O76" s="97"/>
      <c r="P76" s="97"/>
      <c r="Q76" s="97"/>
      <c r="R76" s="101"/>
    </row>
    <row r="77" spans="1:18" s="170" customFormat="1">
      <c r="A77" s="2"/>
      <c r="B77" s="2" t="s">
        <v>25</v>
      </c>
      <c r="C77" s="87"/>
      <c r="D77" s="87"/>
      <c r="E77" s="87"/>
      <c r="F77" s="87"/>
      <c r="G77" s="103"/>
      <c r="H77" s="104">
        <v>0</v>
      </c>
      <c r="I77" s="105"/>
      <c r="J77" s="87" t="s">
        <v>26</v>
      </c>
      <c r="K77" s="87"/>
      <c r="L77" s="103"/>
      <c r="M77" s="106"/>
      <c r="N77" s="87"/>
      <c r="O77" s="87"/>
      <c r="P77" s="87"/>
      <c r="Q77" s="87"/>
      <c r="R77" s="105"/>
    </row>
    <row r="78" spans="1:18" s="170" customFormat="1">
      <c r="A78" s="23"/>
      <c r="B78" s="2" t="s">
        <v>14</v>
      </c>
      <c r="C78" s="87"/>
      <c r="D78" s="87"/>
      <c r="E78" s="87"/>
      <c r="F78" s="87"/>
      <c r="G78" s="103"/>
      <c r="H78" s="104">
        <f>SUM(H76:H77)</f>
        <v>12126.81955</v>
      </c>
      <c r="I78" s="105"/>
      <c r="J78" s="732"/>
      <c r="K78" s="733"/>
      <c r="L78" s="733"/>
      <c r="M78" s="733"/>
      <c r="N78" s="733"/>
      <c r="O78" s="733"/>
      <c r="P78" s="733"/>
      <c r="Q78" s="733"/>
      <c r="R78" s="734"/>
    </row>
    <row r="79" spans="1:18" s="170" customFormat="1">
      <c r="A79" s="23"/>
      <c r="B79" s="2" t="s">
        <v>24</v>
      </c>
      <c r="C79" s="87"/>
      <c r="D79" s="87"/>
      <c r="E79" s="87"/>
      <c r="F79" s="87"/>
      <c r="G79" s="103"/>
      <c r="H79" s="104">
        <f>H78*15%</f>
        <v>1819.0229325</v>
      </c>
      <c r="I79" s="105"/>
      <c r="J79" s="735"/>
      <c r="K79" s="736"/>
      <c r="L79" s="736"/>
      <c r="M79" s="736"/>
      <c r="N79" s="736"/>
      <c r="O79" s="736"/>
      <c r="P79" s="736"/>
      <c r="Q79" s="736"/>
      <c r="R79" s="737"/>
    </row>
    <row r="80" spans="1:18" s="170" customFormat="1">
      <c r="A80" s="23"/>
      <c r="B80" s="2" t="s">
        <v>15</v>
      </c>
      <c r="C80" s="87"/>
      <c r="D80" s="87"/>
      <c r="E80" s="87"/>
      <c r="F80" s="87"/>
      <c r="G80" s="107" t="s">
        <v>16</v>
      </c>
      <c r="H80" s="37">
        <f>H79+H78</f>
        <v>13945.8424825</v>
      </c>
      <c r="I80" s="108" t="str">
        <f>CONCATENATE("per ",C68, C69)</f>
        <v>per 10sqm</v>
      </c>
      <c r="J80" s="735"/>
      <c r="K80" s="736"/>
      <c r="L80" s="736"/>
      <c r="M80" s="736"/>
      <c r="N80" s="736"/>
      <c r="O80" s="736"/>
      <c r="P80" s="736"/>
      <c r="Q80" s="736"/>
      <c r="R80" s="737"/>
    </row>
    <row r="81" spans="1:18" s="170" customFormat="1">
      <c r="A81" s="23"/>
      <c r="B81" s="2"/>
      <c r="C81" s="87"/>
      <c r="D81" s="87"/>
      <c r="E81" s="87"/>
      <c r="F81" s="87"/>
      <c r="G81" s="107" t="s">
        <v>16</v>
      </c>
      <c r="H81" s="37">
        <f>H80/C68</f>
        <v>1394.58424825</v>
      </c>
      <c r="I81" s="108" t="str">
        <f>CONCATENATE("per ",C69)</f>
        <v>per sqm</v>
      </c>
      <c r="J81" s="735"/>
      <c r="K81" s="736"/>
      <c r="L81" s="736"/>
      <c r="M81" s="736"/>
      <c r="N81" s="736"/>
      <c r="O81" s="736"/>
      <c r="P81" s="736"/>
      <c r="Q81" s="736"/>
      <c r="R81" s="737"/>
    </row>
    <row r="82" spans="1:18" s="170" customFormat="1">
      <c r="A82" s="23"/>
      <c r="B82" s="2" t="s">
        <v>18</v>
      </c>
      <c r="C82" s="87" t="s">
        <v>19</v>
      </c>
      <c r="D82" s="87"/>
      <c r="E82" s="87"/>
      <c r="F82" s="87"/>
      <c r="G82" s="107" t="s">
        <v>16</v>
      </c>
      <c r="H82" s="37">
        <f>CEILING(H81,0.5)</f>
        <v>1395</v>
      </c>
      <c r="I82" s="108" t="str">
        <f>CONCATENATE("per ",C69)</f>
        <v>per sqm</v>
      </c>
      <c r="J82" s="735"/>
      <c r="K82" s="736"/>
      <c r="L82" s="736"/>
      <c r="M82" s="736"/>
      <c r="N82" s="736"/>
      <c r="O82" s="736"/>
      <c r="P82" s="736"/>
      <c r="Q82" s="736"/>
      <c r="R82" s="737"/>
    </row>
    <row r="83" spans="1:18" s="170" customFormat="1">
      <c r="A83" s="23"/>
      <c r="B83" s="2"/>
      <c r="C83" s="87"/>
      <c r="D83" s="87"/>
      <c r="E83" s="87"/>
      <c r="F83" s="87"/>
      <c r="G83" s="109" t="s">
        <v>17</v>
      </c>
      <c r="H83" s="37">
        <f>H82/exr</f>
        <v>10.73076923076923</v>
      </c>
      <c r="I83" s="108" t="str">
        <f>CONCATENATE("per ",C69)</f>
        <v>per sqm</v>
      </c>
      <c r="J83" s="738"/>
      <c r="K83" s="739"/>
      <c r="L83" s="739"/>
      <c r="M83" s="739"/>
      <c r="N83" s="739"/>
      <c r="O83" s="739"/>
      <c r="P83" s="739"/>
      <c r="Q83" s="739"/>
      <c r="R83" s="740"/>
    </row>
    <row r="84" spans="1:18" s="170" customFormat="1">
      <c r="A84" s="39"/>
      <c r="B84" s="40"/>
      <c r="C84" s="41"/>
      <c r="D84" s="41"/>
      <c r="E84" s="41"/>
      <c r="F84" s="41"/>
      <c r="G84" s="149" t="s">
        <v>460</v>
      </c>
      <c r="H84" s="150">
        <f>CEILING(SUM(M71)/H76,0.0025)</f>
        <v>5.2499999999999998E-2</v>
      </c>
      <c r="I84" s="42"/>
      <c r="J84" s="43"/>
      <c r="K84" s="43"/>
      <c r="L84" s="43"/>
      <c r="M84" s="43"/>
      <c r="N84" s="43"/>
      <c r="O84" s="43"/>
      <c r="P84" s="43"/>
      <c r="Q84" s="43"/>
      <c r="R84" s="44"/>
    </row>
    <row r="85" spans="1:18" s="170" customFormat="1"/>
    <row r="86" spans="1:18" s="170" customFormat="1">
      <c r="A86" s="693" t="s">
        <v>0</v>
      </c>
      <c r="B86" s="695" t="s">
        <v>1</v>
      </c>
      <c r="C86" s="695" t="s">
        <v>2</v>
      </c>
      <c r="D86" s="697" t="s">
        <v>3</v>
      </c>
      <c r="E86" s="698"/>
      <c r="F86" s="698"/>
      <c r="G86" s="698"/>
      <c r="H86" s="698"/>
      <c r="I86" s="699" t="s">
        <v>4</v>
      </c>
      <c r="J86" s="700"/>
      <c r="K86" s="700"/>
      <c r="L86" s="700"/>
      <c r="M86" s="700"/>
      <c r="N86" s="698" t="s">
        <v>5</v>
      </c>
      <c r="O86" s="698"/>
      <c r="P86" s="698"/>
      <c r="Q86" s="698"/>
      <c r="R86" s="698"/>
    </row>
    <row r="87" spans="1:18" s="170" customFormat="1">
      <c r="A87" s="694"/>
      <c r="B87" s="696"/>
      <c r="C87" s="696"/>
      <c r="D87" s="45" t="s">
        <v>6</v>
      </c>
      <c r="E87" s="46" t="s">
        <v>2</v>
      </c>
      <c r="F87" s="46" t="s">
        <v>7</v>
      </c>
      <c r="G87" s="46" t="s">
        <v>8</v>
      </c>
      <c r="H87" s="46" t="s">
        <v>9</v>
      </c>
      <c r="I87" s="46" t="s">
        <v>10</v>
      </c>
      <c r="J87" s="46" t="s">
        <v>2</v>
      </c>
      <c r="K87" s="46" t="s">
        <v>7</v>
      </c>
      <c r="L87" s="46" t="s">
        <v>8</v>
      </c>
      <c r="M87" s="47" t="s">
        <v>9</v>
      </c>
      <c r="N87" s="46" t="s">
        <v>10</v>
      </c>
      <c r="O87" s="46" t="s">
        <v>2</v>
      </c>
      <c r="P87" s="46" t="s">
        <v>7</v>
      </c>
      <c r="Q87" s="46" t="s">
        <v>8</v>
      </c>
      <c r="R87" s="46" t="s">
        <v>9</v>
      </c>
    </row>
    <row r="88" spans="1:18" s="170" customFormat="1">
      <c r="A88" s="33" t="s">
        <v>23</v>
      </c>
      <c r="B88" s="73" t="s">
        <v>615</v>
      </c>
      <c r="C88" s="31"/>
      <c r="D88" s="31"/>
      <c r="E88" s="31"/>
      <c r="F88" s="31"/>
      <c r="G88" s="31"/>
      <c r="H88" s="31"/>
      <c r="I88" s="31"/>
      <c r="J88" s="31"/>
      <c r="K88" s="31"/>
      <c r="L88" s="31"/>
      <c r="M88" s="31"/>
      <c r="N88" s="31"/>
      <c r="O88" s="31"/>
      <c r="P88" s="31"/>
      <c r="Q88" s="31"/>
      <c r="R88" s="32"/>
    </row>
    <row r="89" spans="1:18" s="170" customFormat="1">
      <c r="A89" s="34" t="e">
        <f>A68+1</f>
        <v>#REF!</v>
      </c>
      <c r="B89" s="730" t="s">
        <v>619</v>
      </c>
      <c r="C89" s="546">
        <v>10</v>
      </c>
      <c r="D89" s="87"/>
      <c r="E89" s="8"/>
      <c r="F89" s="88"/>
      <c r="G89" s="28"/>
      <c r="H89" s="28"/>
      <c r="I89" s="8"/>
      <c r="J89" s="8"/>
      <c r="K89" s="88"/>
      <c r="L89" s="28"/>
      <c r="M89" s="28"/>
      <c r="N89" s="8"/>
      <c r="O89" s="8"/>
      <c r="P89" s="88"/>
      <c r="Q89" s="28"/>
      <c r="R89" s="28"/>
    </row>
    <row r="90" spans="1:18" s="170" customFormat="1">
      <c r="A90" s="2"/>
      <c r="B90" s="731"/>
      <c r="C90" s="171" t="s">
        <v>127</v>
      </c>
      <c r="D90" s="87" t="s">
        <v>96</v>
      </c>
      <c r="E90" s="8" t="s">
        <v>81</v>
      </c>
      <c r="F90" s="88">
        <v>4.3</v>
      </c>
      <c r="G90" s="28">
        <f>sr</f>
        <v>1100</v>
      </c>
      <c r="H90" s="28">
        <f>F90*G90</f>
        <v>4730</v>
      </c>
      <c r="I90" s="89" t="s">
        <v>234</v>
      </c>
      <c r="J90" s="8" t="s">
        <v>127</v>
      </c>
      <c r="K90" s="88">
        <f>11/8</f>
        <v>1.375</v>
      </c>
      <c r="L90" s="28">
        <f>plywood</f>
        <v>420.36</v>
      </c>
      <c r="M90" s="28">
        <f>K90*L90</f>
        <v>577.995</v>
      </c>
      <c r="N90" s="8"/>
      <c r="O90" s="8"/>
      <c r="P90" s="88"/>
      <c r="Q90" s="28"/>
      <c r="R90" s="28"/>
    </row>
    <row r="91" spans="1:18" s="170" customFormat="1">
      <c r="A91" s="2"/>
      <c r="B91" s="731"/>
      <c r="C91" s="8"/>
      <c r="D91" s="87" t="s">
        <v>97</v>
      </c>
      <c r="E91" s="8" t="s">
        <v>81</v>
      </c>
      <c r="F91" s="88">
        <v>5.4</v>
      </c>
      <c r="G91" s="28">
        <f>ur</f>
        <v>850</v>
      </c>
      <c r="H91" s="28">
        <f>F91*G91</f>
        <v>4590</v>
      </c>
      <c r="I91" s="89" t="s">
        <v>231</v>
      </c>
      <c r="J91" s="8" t="s">
        <v>11</v>
      </c>
      <c r="K91" s="88">
        <f>0.9/12</f>
        <v>7.4999999999999997E-2</v>
      </c>
      <c r="L91" s="154">
        <f>AVERAGE(timber,planks)</f>
        <v>64135.06</v>
      </c>
      <c r="M91" s="28">
        <f>K91*L91</f>
        <v>4810.1295</v>
      </c>
      <c r="N91" s="8"/>
      <c r="O91" s="8"/>
      <c r="P91" s="88"/>
      <c r="Q91" s="28"/>
      <c r="R91" s="28"/>
    </row>
    <row r="92" spans="1:18" s="170" customFormat="1">
      <c r="A92" s="2"/>
      <c r="B92" s="731"/>
      <c r="C92" s="8"/>
      <c r="D92" s="87"/>
      <c r="E92" s="8"/>
      <c r="F92" s="88"/>
      <c r="G92" s="28"/>
      <c r="H92" s="28"/>
      <c r="I92" s="89" t="s">
        <v>232</v>
      </c>
      <c r="J92" s="8" t="s">
        <v>28</v>
      </c>
      <c r="K92" s="88">
        <v>6</v>
      </c>
      <c r="L92" s="28">
        <f>nails/1000</f>
        <v>124.14419000000001</v>
      </c>
      <c r="M92" s="28">
        <f>K92*L92</f>
        <v>744.86514000000011</v>
      </c>
      <c r="N92" s="8"/>
      <c r="O92" s="8"/>
      <c r="P92" s="88"/>
      <c r="Q92" s="28"/>
      <c r="R92" s="28"/>
    </row>
    <row r="93" spans="1:18" s="170" customFormat="1">
      <c r="A93" s="2"/>
      <c r="B93" s="731"/>
      <c r="C93" s="8"/>
      <c r="D93" s="87"/>
      <c r="E93" s="8"/>
      <c r="F93" s="88"/>
      <c r="G93" s="28"/>
      <c r="H93" s="28"/>
      <c r="I93" s="89"/>
      <c r="J93" s="8"/>
      <c r="K93" s="88"/>
      <c r="L93" s="28"/>
      <c r="M93" s="28"/>
      <c r="N93" s="8"/>
      <c r="O93" s="8"/>
      <c r="P93" s="88"/>
      <c r="Q93" s="28"/>
      <c r="R93" s="28"/>
    </row>
    <row r="94" spans="1:18" s="170" customFormat="1" ht="30.75" customHeight="1">
      <c r="A94" s="2"/>
      <c r="B94" s="731"/>
      <c r="C94" s="8"/>
      <c r="D94" s="87"/>
      <c r="E94" s="8"/>
      <c r="F94" s="88"/>
      <c r="G94" s="28"/>
      <c r="H94" s="28"/>
      <c r="I94" s="89"/>
      <c r="J94" s="8"/>
      <c r="K94" s="88"/>
      <c r="L94" s="28"/>
      <c r="M94" s="28"/>
      <c r="N94" s="8"/>
      <c r="O94" s="8"/>
      <c r="P94" s="88"/>
      <c r="Q94" s="28"/>
      <c r="R94" s="28"/>
    </row>
    <row r="95" spans="1:18" s="170" customFormat="1">
      <c r="A95" s="2"/>
      <c r="B95" s="172"/>
      <c r="C95" s="8"/>
      <c r="D95" s="87"/>
      <c r="E95" s="10"/>
      <c r="F95" s="91"/>
      <c r="G95" s="92"/>
      <c r="H95" s="92"/>
      <c r="I95" s="10"/>
      <c r="J95" s="10"/>
      <c r="K95" s="91"/>
      <c r="L95" s="28"/>
      <c r="M95" s="28"/>
      <c r="N95" s="8"/>
      <c r="O95" s="8"/>
      <c r="P95" s="91"/>
      <c r="Q95" s="28"/>
      <c r="R95" s="28"/>
    </row>
    <row r="96" spans="1:18" s="170" customFormat="1">
      <c r="A96" s="2"/>
      <c r="B96" s="2"/>
      <c r="C96" s="8"/>
      <c r="D96" s="93"/>
      <c r="E96" s="545"/>
      <c r="F96" s="95"/>
      <c r="G96" s="95" t="s">
        <v>20</v>
      </c>
      <c r="H96" s="96">
        <f>SUM(H89:H95)</f>
        <v>9320</v>
      </c>
      <c r="I96" s="717"/>
      <c r="J96" s="717"/>
      <c r="K96" s="97"/>
      <c r="L96" s="95" t="s">
        <v>21</v>
      </c>
      <c r="M96" s="96">
        <f>SUM(M89:M95)</f>
        <v>6132.9896399999998</v>
      </c>
      <c r="N96" s="98"/>
      <c r="O96" s="97"/>
      <c r="P96" s="97"/>
      <c r="Q96" s="95" t="s">
        <v>22</v>
      </c>
      <c r="R96" s="96">
        <f>SUM(R89:R95)</f>
        <v>0</v>
      </c>
    </row>
    <row r="97" spans="1:18" s="170" customFormat="1">
      <c r="A97" s="2"/>
      <c r="B97" s="99" t="s">
        <v>13</v>
      </c>
      <c r="C97" s="97"/>
      <c r="D97" s="97"/>
      <c r="E97" s="97"/>
      <c r="F97" s="97"/>
      <c r="G97" s="95"/>
      <c r="H97" s="100">
        <f>M96+R96+H96</f>
        <v>15452.98964</v>
      </c>
      <c r="I97" s="101"/>
      <c r="J97" s="97"/>
      <c r="K97" s="97"/>
      <c r="L97" s="95"/>
      <c r="M97" s="102"/>
      <c r="N97" s="97"/>
      <c r="O97" s="97"/>
      <c r="P97" s="97"/>
      <c r="Q97" s="97"/>
      <c r="R97" s="101"/>
    </row>
    <row r="98" spans="1:18" s="170" customFormat="1">
      <c r="A98" s="2"/>
      <c r="B98" s="2" t="s">
        <v>25</v>
      </c>
      <c r="C98" s="87"/>
      <c r="D98" s="87"/>
      <c r="E98" s="87"/>
      <c r="F98" s="87"/>
      <c r="G98" s="103"/>
      <c r="H98" s="104">
        <v>0</v>
      </c>
      <c r="I98" s="105"/>
      <c r="J98" s="87" t="s">
        <v>26</v>
      </c>
      <c r="K98" s="87"/>
      <c r="L98" s="103"/>
      <c r="M98" s="106"/>
      <c r="N98" s="87"/>
      <c r="O98" s="87"/>
      <c r="P98" s="87"/>
      <c r="Q98" s="87"/>
      <c r="R98" s="105"/>
    </row>
    <row r="99" spans="1:18" s="170" customFormat="1">
      <c r="A99" s="23"/>
      <c r="B99" s="2" t="s">
        <v>14</v>
      </c>
      <c r="C99" s="87"/>
      <c r="D99" s="87"/>
      <c r="E99" s="87"/>
      <c r="F99" s="87"/>
      <c r="G99" s="103"/>
      <c r="H99" s="104">
        <f>SUM(H97:H98)</f>
        <v>15452.98964</v>
      </c>
      <c r="I99" s="105"/>
      <c r="J99" s="732"/>
      <c r="K99" s="733"/>
      <c r="L99" s="733"/>
      <c r="M99" s="733"/>
      <c r="N99" s="733"/>
      <c r="O99" s="733"/>
      <c r="P99" s="733"/>
      <c r="Q99" s="733"/>
      <c r="R99" s="734"/>
    </row>
    <row r="100" spans="1:18" s="170" customFormat="1">
      <c r="A100" s="23"/>
      <c r="B100" s="2" t="s">
        <v>24</v>
      </c>
      <c r="C100" s="87"/>
      <c r="D100" s="87"/>
      <c r="E100" s="87"/>
      <c r="F100" s="87"/>
      <c r="G100" s="103"/>
      <c r="H100" s="104">
        <f>H99*15%</f>
        <v>2317.9484459999999</v>
      </c>
      <c r="I100" s="105"/>
      <c r="J100" s="735"/>
      <c r="K100" s="736"/>
      <c r="L100" s="736"/>
      <c r="M100" s="736"/>
      <c r="N100" s="736"/>
      <c r="O100" s="736"/>
      <c r="P100" s="736"/>
      <c r="Q100" s="736"/>
      <c r="R100" s="737"/>
    </row>
    <row r="101" spans="1:18" s="170" customFormat="1">
      <c r="A101" s="23"/>
      <c r="B101" s="2" t="s">
        <v>15</v>
      </c>
      <c r="C101" s="87"/>
      <c r="D101" s="87"/>
      <c r="E101" s="87"/>
      <c r="F101" s="87"/>
      <c r="G101" s="107" t="s">
        <v>16</v>
      </c>
      <c r="H101" s="37">
        <f>H100+H99</f>
        <v>17770.938085999998</v>
      </c>
      <c r="I101" s="108" t="str">
        <f>CONCATENATE("per ",C89, C90)</f>
        <v>per 10sqm</v>
      </c>
      <c r="J101" s="735"/>
      <c r="K101" s="736"/>
      <c r="L101" s="736"/>
      <c r="M101" s="736"/>
      <c r="N101" s="736"/>
      <c r="O101" s="736"/>
      <c r="P101" s="736"/>
      <c r="Q101" s="736"/>
      <c r="R101" s="737"/>
    </row>
    <row r="102" spans="1:18" s="170" customFormat="1">
      <c r="A102" s="23"/>
      <c r="B102" s="2"/>
      <c r="C102" s="87"/>
      <c r="D102" s="87"/>
      <c r="E102" s="87"/>
      <c r="F102" s="87"/>
      <c r="G102" s="107" t="s">
        <v>16</v>
      </c>
      <c r="H102" s="37">
        <f>H101/C89</f>
        <v>1777.0938085999999</v>
      </c>
      <c r="I102" s="108" t="str">
        <f>CONCATENATE("per ",C90)</f>
        <v>per sqm</v>
      </c>
      <c r="J102" s="735"/>
      <c r="K102" s="736"/>
      <c r="L102" s="736"/>
      <c r="M102" s="736"/>
      <c r="N102" s="736"/>
      <c r="O102" s="736"/>
      <c r="P102" s="736"/>
      <c r="Q102" s="736"/>
      <c r="R102" s="737"/>
    </row>
    <row r="103" spans="1:18" s="170" customFormat="1">
      <c r="A103" s="23"/>
      <c r="B103" s="2" t="s">
        <v>18</v>
      </c>
      <c r="C103" s="87" t="s">
        <v>19</v>
      </c>
      <c r="D103" s="87"/>
      <c r="E103" s="87"/>
      <c r="F103" s="87"/>
      <c r="G103" s="107" t="s">
        <v>16</v>
      </c>
      <c r="H103" s="37">
        <f>CEILING(H102,0.5)</f>
        <v>1777.5</v>
      </c>
      <c r="I103" s="108" t="str">
        <f>CONCATENATE("per ",C90)</f>
        <v>per sqm</v>
      </c>
      <c r="J103" s="735"/>
      <c r="K103" s="736"/>
      <c r="L103" s="736"/>
      <c r="M103" s="736"/>
      <c r="N103" s="736"/>
      <c r="O103" s="736"/>
      <c r="P103" s="736"/>
      <c r="Q103" s="736"/>
      <c r="R103" s="737"/>
    </row>
    <row r="104" spans="1:18" s="170" customFormat="1">
      <c r="A104" s="23"/>
      <c r="B104" s="2"/>
      <c r="C104" s="87"/>
      <c r="D104" s="87"/>
      <c r="E104" s="87"/>
      <c r="F104" s="87"/>
      <c r="G104" s="109" t="s">
        <v>17</v>
      </c>
      <c r="H104" s="37">
        <f>H103/exr</f>
        <v>13.673076923076923</v>
      </c>
      <c r="I104" s="108" t="str">
        <f>CONCATENATE("per ",C90)</f>
        <v>per sqm</v>
      </c>
      <c r="J104" s="738"/>
      <c r="K104" s="739"/>
      <c r="L104" s="739"/>
      <c r="M104" s="739"/>
      <c r="N104" s="739"/>
      <c r="O104" s="739"/>
      <c r="P104" s="739"/>
      <c r="Q104" s="739"/>
      <c r="R104" s="740"/>
    </row>
    <row r="105" spans="1:18" s="170" customFormat="1">
      <c r="A105" s="39"/>
      <c r="B105" s="40"/>
      <c r="C105" s="41"/>
      <c r="D105" s="41"/>
      <c r="E105" s="41"/>
      <c r="F105" s="41"/>
      <c r="G105" s="149" t="s">
        <v>460</v>
      </c>
      <c r="H105" s="150">
        <f>CEILING(SUM(M92)/H97,0.0025)</f>
        <v>0.05</v>
      </c>
      <c r="I105" s="42"/>
      <c r="J105" s="43"/>
      <c r="K105" s="43"/>
      <c r="L105" s="43"/>
      <c r="M105" s="43"/>
      <c r="N105" s="43"/>
      <c r="O105" s="43"/>
      <c r="P105" s="43"/>
      <c r="Q105" s="43"/>
      <c r="R105" s="44"/>
    </row>
    <row r="106" spans="1:18" s="170" customFormat="1"/>
    <row r="107" spans="1:18" s="170" customFormat="1">
      <c r="A107" s="693" t="s">
        <v>0</v>
      </c>
      <c r="B107" s="695" t="s">
        <v>1</v>
      </c>
      <c r="C107" s="695" t="s">
        <v>2</v>
      </c>
      <c r="D107" s="697" t="s">
        <v>3</v>
      </c>
      <c r="E107" s="698"/>
      <c r="F107" s="698"/>
      <c r="G107" s="698"/>
      <c r="H107" s="698"/>
      <c r="I107" s="699" t="s">
        <v>4</v>
      </c>
      <c r="J107" s="700"/>
      <c r="K107" s="700"/>
      <c r="L107" s="700"/>
      <c r="M107" s="700"/>
      <c r="N107" s="698" t="s">
        <v>5</v>
      </c>
      <c r="O107" s="698"/>
      <c r="P107" s="698"/>
      <c r="Q107" s="698"/>
      <c r="R107" s="698"/>
    </row>
    <row r="108" spans="1:18" s="170" customFormat="1">
      <c r="A108" s="694"/>
      <c r="B108" s="696"/>
      <c r="C108" s="696"/>
      <c r="D108" s="45" t="s">
        <v>6</v>
      </c>
      <c r="E108" s="46" t="s">
        <v>2</v>
      </c>
      <c r="F108" s="46" t="s">
        <v>7</v>
      </c>
      <c r="G108" s="46" t="s">
        <v>8</v>
      </c>
      <c r="H108" s="46" t="s">
        <v>9</v>
      </c>
      <c r="I108" s="46" t="s">
        <v>10</v>
      </c>
      <c r="J108" s="46" t="s">
        <v>2</v>
      </c>
      <c r="K108" s="46" t="s">
        <v>7</v>
      </c>
      <c r="L108" s="46" t="s">
        <v>8</v>
      </c>
      <c r="M108" s="47" t="s">
        <v>9</v>
      </c>
      <c r="N108" s="46" t="s">
        <v>10</v>
      </c>
      <c r="O108" s="46" t="s">
        <v>2</v>
      </c>
      <c r="P108" s="46" t="s">
        <v>7</v>
      </c>
      <c r="Q108" s="46" t="s">
        <v>8</v>
      </c>
      <c r="R108" s="46" t="s">
        <v>9</v>
      </c>
    </row>
    <row r="109" spans="1:18" s="170" customFormat="1">
      <c r="A109" s="33" t="s">
        <v>23</v>
      </c>
      <c r="B109" s="73" t="s">
        <v>616</v>
      </c>
      <c r="C109" s="31"/>
      <c r="D109" s="31"/>
      <c r="E109" s="31"/>
      <c r="F109" s="31"/>
      <c r="G109" s="31"/>
      <c r="H109" s="31"/>
      <c r="I109" s="31"/>
      <c r="J109" s="31"/>
      <c r="K109" s="31"/>
      <c r="L109" s="31"/>
      <c r="M109" s="31"/>
      <c r="N109" s="31"/>
      <c r="O109" s="31"/>
      <c r="P109" s="31"/>
      <c r="Q109" s="31"/>
      <c r="R109" s="32"/>
    </row>
    <row r="110" spans="1:18" s="170" customFormat="1">
      <c r="A110" s="34" t="e">
        <f>A89+1</f>
        <v>#REF!</v>
      </c>
      <c r="B110" s="730" t="s">
        <v>620</v>
      </c>
      <c r="C110" s="546">
        <v>10</v>
      </c>
      <c r="D110" s="87"/>
      <c r="E110" s="8"/>
      <c r="F110" s="88"/>
      <c r="G110" s="28"/>
      <c r="H110" s="28"/>
      <c r="I110" s="8"/>
      <c r="J110" s="8"/>
      <c r="K110" s="88"/>
      <c r="L110" s="28"/>
      <c r="M110" s="28"/>
      <c r="N110" s="8"/>
      <c r="O110" s="8"/>
      <c r="P110" s="88"/>
      <c r="Q110" s="28"/>
      <c r="R110" s="28"/>
    </row>
    <row r="111" spans="1:18" s="170" customFormat="1">
      <c r="A111" s="2"/>
      <c r="B111" s="731"/>
      <c r="C111" s="171" t="s">
        <v>127</v>
      </c>
      <c r="D111" s="87"/>
      <c r="E111" s="8"/>
      <c r="F111" s="88"/>
      <c r="G111" s="28"/>
      <c r="H111" s="28"/>
      <c r="I111" s="89"/>
      <c r="J111" s="8"/>
      <c r="K111" s="88"/>
      <c r="L111" s="28"/>
      <c r="M111" s="28"/>
      <c r="N111" s="8"/>
      <c r="O111" s="8"/>
      <c r="P111" s="88"/>
      <c r="Q111" s="28"/>
      <c r="R111" s="28"/>
    </row>
    <row r="112" spans="1:18" s="170" customFormat="1">
      <c r="A112" s="2"/>
      <c r="B112" s="731"/>
      <c r="C112" s="8"/>
      <c r="D112" s="87"/>
      <c r="E112" s="8"/>
      <c r="F112" s="88"/>
      <c r="G112" s="28"/>
      <c r="H112" s="28"/>
      <c r="I112" s="89"/>
      <c r="J112" s="8"/>
      <c r="K112" s="88"/>
      <c r="L112" s="28"/>
      <c r="M112" s="28"/>
      <c r="N112" s="8"/>
      <c r="O112" s="8"/>
      <c r="P112" s="88"/>
      <c r="Q112" s="28"/>
      <c r="R112" s="28"/>
    </row>
    <row r="113" spans="1:18" s="170" customFormat="1">
      <c r="A113" s="2"/>
      <c r="B113" s="731"/>
      <c r="C113" s="8"/>
      <c r="D113" s="87"/>
      <c r="E113" s="8"/>
      <c r="F113" s="88"/>
      <c r="G113" s="28"/>
      <c r="H113" s="28"/>
      <c r="I113" s="89"/>
      <c r="J113" s="8"/>
      <c r="K113" s="88"/>
      <c r="L113" s="28"/>
      <c r="M113" s="28"/>
      <c r="N113" s="8"/>
      <c r="O113" s="8"/>
      <c r="P113" s="88"/>
      <c r="Q113" s="28"/>
      <c r="R113" s="28"/>
    </row>
    <row r="114" spans="1:18" s="170" customFormat="1">
      <c r="A114" s="2"/>
      <c r="B114" s="731"/>
      <c r="C114" s="8"/>
      <c r="D114" s="87"/>
      <c r="E114" s="8"/>
      <c r="F114" s="88"/>
      <c r="G114" s="28"/>
      <c r="H114" s="28"/>
      <c r="I114" s="89"/>
      <c r="J114" s="8"/>
      <c r="K114" s="88"/>
      <c r="L114" s="28"/>
      <c r="M114" s="28"/>
      <c r="N114" s="8"/>
      <c r="O114" s="8"/>
      <c r="P114" s="88"/>
      <c r="Q114" s="28"/>
      <c r="R114" s="28"/>
    </row>
    <row r="115" spans="1:18" s="170" customFormat="1" ht="31.5" customHeight="1">
      <c r="A115" s="2"/>
      <c r="B115" s="731"/>
      <c r="C115" s="8"/>
      <c r="D115" s="87"/>
      <c r="E115" s="8"/>
      <c r="F115" s="88"/>
      <c r="G115" s="28"/>
      <c r="H115" s="28"/>
      <c r="I115" s="89"/>
      <c r="J115" s="8"/>
      <c r="K115" s="88"/>
      <c r="L115" s="28"/>
      <c r="M115" s="28"/>
      <c r="N115" s="8"/>
      <c r="O115" s="8"/>
      <c r="P115" s="88"/>
      <c r="Q115" s="28"/>
      <c r="R115" s="28"/>
    </row>
    <row r="116" spans="1:18" s="170" customFormat="1">
      <c r="A116" s="2"/>
      <c r="B116" s="172"/>
      <c r="C116" s="8"/>
      <c r="D116" s="87"/>
      <c r="E116" s="10"/>
      <c r="F116" s="91"/>
      <c r="G116" s="92"/>
      <c r="H116" s="92"/>
      <c r="I116" s="10"/>
      <c r="J116" s="10"/>
      <c r="K116" s="91"/>
      <c r="L116" s="28"/>
      <c r="M116" s="28"/>
      <c r="N116" s="8"/>
      <c r="O116" s="8"/>
      <c r="P116" s="91"/>
      <c r="Q116" s="28"/>
      <c r="R116" s="28"/>
    </row>
    <row r="117" spans="1:18" s="170" customFormat="1">
      <c r="A117" s="2"/>
      <c r="B117" s="2"/>
      <c r="C117" s="8"/>
      <c r="D117" s="93"/>
      <c r="E117" s="545"/>
      <c r="F117" s="95"/>
      <c r="G117" s="95" t="s">
        <v>20</v>
      </c>
      <c r="H117" s="96">
        <f>SUM(H110:H116)</f>
        <v>0</v>
      </c>
      <c r="I117" s="717"/>
      <c r="J117" s="717"/>
      <c r="K117" s="97"/>
      <c r="L117" s="95" t="s">
        <v>21</v>
      </c>
      <c r="M117" s="96">
        <f>SUM(M110:M116)</f>
        <v>0</v>
      </c>
      <c r="N117" s="98"/>
      <c r="O117" s="97"/>
      <c r="P117" s="97"/>
      <c r="Q117" s="95" t="s">
        <v>22</v>
      </c>
      <c r="R117" s="96">
        <f>SUM(R110:R116)</f>
        <v>0</v>
      </c>
    </row>
    <row r="118" spans="1:18" s="170" customFormat="1">
      <c r="A118" s="2"/>
      <c r="B118" s="99" t="s">
        <v>13</v>
      </c>
      <c r="C118" s="97"/>
      <c r="D118" s="97"/>
      <c r="E118" s="97"/>
      <c r="F118" s="97"/>
      <c r="G118" s="95"/>
      <c r="H118" s="100">
        <f>M117+R117+H117</f>
        <v>0</v>
      </c>
      <c r="I118" s="101"/>
      <c r="J118" s="97"/>
      <c r="K118" s="97"/>
      <c r="L118" s="95"/>
      <c r="M118" s="102"/>
      <c r="N118" s="97"/>
      <c r="O118" s="97"/>
      <c r="P118" s="97"/>
      <c r="Q118" s="97"/>
      <c r="R118" s="101"/>
    </row>
    <row r="119" spans="1:18" s="170" customFormat="1">
      <c r="A119" s="2"/>
      <c r="B119" s="2" t="s">
        <v>25</v>
      </c>
      <c r="C119" s="87"/>
      <c r="D119" s="87"/>
      <c r="E119" s="87"/>
      <c r="F119" s="87"/>
      <c r="G119" s="103"/>
      <c r="H119" s="104">
        <v>0</v>
      </c>
      <c r="I119" s="105"/>
      <c r="J119" s="87" t="s">
        <v>26</v>
      </c>
      <c r="K119" s="87"/>
      <c r="L119" s="103"/>
      <c r="M119" s="106"/>
      <c r="N119" s="87"/>
      <c r="O119" s="87"/>
      <c r="P119" s="87"/>
      <c r="Q119" s="87"/>
      <c r="R119" s="105"/>
    </row>
    <row r="120" spans="1:18" s="170" customFormat="1">
      <c r="A120" s="23"/>
      <c r="B120" s="2" t="s">
        <v>14</v>
      </c>
      <c r="C120" s="87"/>
      <c r="D120" s="87"/>
      <c r="E120" s="87"/>
      <c r="F120" s="87"/>
      <c r="G120" s="103"/>
      <c r="H120" s="104">
        <f>SUM(H118:H119)</f>
        <v>0</v>
      </c>
      <c r="I120" s="105"/>
      <c r="J120" s="732" t="s">
        <v>239</v>
      </c>
      <c r="K120" s="733"/>
      <c r="L120" s="733"/>
      <c r="M120" s="733"/>
      <c r="N120" s="733"/>
      <c r="O120" s="733"/>
      <c r="P120" s="733"/>
      <c r="Q120" s="733"/>
      <c r="R120" s="734"/>
    </row>
    <row r="121" spans="1:18" s="170" customFormat="1">
      <c r="A121" s="23"/>
      <c r="B121" s="2" t="s">
        <v>24</v>
      </c>
      <c r="C121" s="87"/>
      <c r="D121" s="87"/>
      <c r="E121" s="87"/>
      <c r="F121" s="87"/>
      <c r="G121" s="103"/>
      <c r="H121" s="104">
        <f>H120*15%</f>
        <v>0</v>
      </c>
      <c r="I121" s="105"/>
      <c r="J121" s="735"/>
      <c r="K121" s="736"/>
      <c r="L121" s="736"/>
      <c r="M121" s="736"/>
      <c r="N121" s="736"/>
      <c r="O121" s="736"/>
      <c r="P121" s="736"/>
      <c r="Q121" s="736"/>
      <c r="R121" s="737"/>
    </row>
    <row r="122" spans="1:18" s="170" customFormat="1">
      <c r="A122" s="23"/>
      <c r="B122" s="2" t="s">
        <v>15</v>
      </c>
      <c r="C122" s="87"/>
      <c r="D122" s="87"/>
      <c r="E122" s="87"/>
      <c r="F122" s="87"/>
      <c r="G122" s="107" t="s">
        <v>16</v>
      </c>
      <c r="H122" s="37">
        <f>H121+H120</f>
        <v>0</v>
      </c>
      <c r="I122" s="108" t="str">
        <f>CONCATENATE("per ",C110, C111)</f>
        <v>per 10sqm</v>
      </c>
      <c r="J122" s="735"/>
      <c r="K122" s="736"/>
      <c r="L122" s="736"/>
      <c r="M122" s="736"/>
      <c r="N122" s="736"/>
      <c r="O122" s="736"/>
      <c r="P122" s="736"/>
      <c r="Q122" s="736"/>
      <c r="R122" s="737"/>
    </row>
    <row r="123" spans="1:18" s="170" customFormat="1">
      <c r="A123" s="23"/>
      <c r="B123" s="2"/>
      <c r="C123" s="87"/>
      <c r="D123" s="87"/>
      <c r="E123" s="87"/>
      <c r="F123" s="87"/>
      <c r="G123" s="107" t="s">
        <v>16</v>
      </c>
      <c r="H123" s="37">
        <f>H122/C110</f>
        <v>0</v>
      </c>
      <c r="I123" s="108" t="str">
        <f>CONCATENATE("per ",C111)</f>
        <v>per sqm</v>
      </c>
      <c r="J123" s="735"/>
      <c r="K123" s="736"/>
      <c r="L123" s="736"/>
      <c r="M123" s="736"/>
      <c r="N123" s="736"/>
      <c r="O123" s="736"/>
      <c r="P123" s="736"/>
      <c r="Q123" s="736"/>
      <c r="R123" s="737"/>
    </row>
    <row r="124" spans="1:18" s="170" customFormat="1">
      <c r="A124" s="23"/>
      <c r="B124" s="2" t="s">
        <v>18</v>
      </c>
      <c r="C124" s="87" t="s">
        <v>19</v>
      </c>
      <c r="D124" s="87"/>
      <c r="E124" s="87"/>
      <c r="F124" s="87"/>
      <c r="G124" s="107" t="s">
        <v>16</v>
      </c>
      <c r="H124" s="37">
        <f>CEILING(H123,0.5)</f>
        <v>0</v>
      </c>
      <c r="I124" s="108" t="str">
        <f>CONCATENATE("per ",C111)</f>
        <v>per sqm</v>
      </c>
      <c r="J124" s="735"/>
      <c r="K124" s="736"/>
      <c r="L124" s="736"/>
      <c r="M124" s="736"/>
      <c r="N124" s="736"/>
      <c r="O124" s="736"/>
      <c r="P124" s="736"/>
      <c r="Q124" s="736"/>
      <c r="R124" s="737"/>
    </row>
    <row r="125" spans="1:18" s="170" customFormat="1">
      <c r="A125" s="23"/>
      <c r="B125" s="2"/>
      <c r="C125" s="87"/>
      <c r="D125" s="87"/>
      <c r="E125" s="87"/>
      <c r="F125" s="87"/>
      <c r="G125" s="109" t="s">
        <v>17</v>
      </c>
      <c r="H125" s="37">
        <f>H124/exr</f>
        <v>0</v>
      </c>
      <c r="I125" s="108" t="str">
        <f>CONCATENATE("per ",C111)</f>
        <v>per sqm</v>
      </c>
      <c r="J125" s="738"/>
      <c r="K125" s="739"/>
      <c r="L125" s="739"/>
      <c r="M125" s="739"/>
      <c r="N125" s="739"/>
      <c r="O125" s="739"/>
      <c r="P125" s="739"/>
      <c r="Q125" s="739"/>
      <c r="R125" s="740"/>
    </row>
    <row r="126" spans="1:18" s="170" customFormat="1">
      <c r="A126" s="39"/>
      <c r="B126" s="40"/>
      <c r="C126" s="41"/>
      <c r="D126" s="41"/>
      <c r="E126" s="41"/>
      <c r="F126" s="41"/>
      <c r="G126" s="149" t="s">
        <v>460</v>
      </c>
      <c r="H126" s="150">
        <f>CEILING(0,0.0025)</f>
        <v>0</v>
      </c>
      <c r="I126" s="42"/>
      <c r="J126" s="43"/>
      <c r="K126" s="43"/>
      <c r="L126" s="43"/>
      <c r="M126" s="43"/>
      <c r="N126" s="43"/>
      <c r="O126" s="43"/>
      <c r="P126" s="43"/>
      <c r="Q126" s="43"/>
      <c r="R126" s="44"/>
    </row>
    <row r="127" spans="1:18" s="170" customFormat="1"/>
    <row r="128" spans="1:18" s="170" customFormat="1">
      <c r="A128" s="693" t="s">
        <v>0</v>
      </c>
      <c r="B128" s="695" t="s">
        <v>1</v>
      </c>
      <c r="C128" s="695" t="s">
        <v>2</v>
      </c>
      <c r="D128" s="697" t="s">
        <v>3</v>
      </c>
      <c r="E128" s="698"/>
      <c r="F128" s="698"/>
      <c r="G128" s="698"/>
      <c r="H128" s="698"/>
      <c r="I128" s="699" t="s">
        <v>4</v>
      </c>
      <c r="J128" s="700"/>
      <c r="K128" s="700"/>
      <c r="L128" s="700"/>
      <c r="M128" s="700"/>
      <c r="N128" s="698" t="s">
        <v>5</v>
      </c>
      <c r="O128" s="698"/>
      <c r="P128" s="698"/>
      <c r="Q128" s="698"/>
      <c r="R128" s="698"/>
    </row>
    <row r="129" spans="1:18" s="170" customFormat="1">
      <c r="A129" s="694"/>
      <c r="B129" s="696"/>
      <c r="C129" s="696"/>
      <c r="D129" s="45" t="s">
        <v>6</v>
      </c>
      <c r="E129" s="46" t="s">
        <v>2</v>
      </c>
      <c r="F129" s="46" t="s">
        <v>7</v>
      </c>
      <c r="G129" s="46" t="s">
        <v>8</v>
      </c>
      <c r="H129" s="46" t="s">
        <v>9</v>
      </c>
      <c r="I129" s="46" t="s">
        <v>10</v>
      </c>
      <c r="J129" s="46" t="s">
        <v>2</v>
      </c>
      <c r="K129" s="46" t="s">
        <v>7</v>
      </c>
      <c r="L129" s="46" t="s">
        <v>8</v>
      </c>
      <c r="M129" s="47" t="s">
        <v>9</v>
      </c>
      <c r="N129" s="46" t="s">
        <v>10</v>
      </c>
      <c r="O129" s="46" t="s">
        <v>2</v>
      </c>
      <c r="P129" s="46" t="s">
        <v>7</v>
      </c>
      <c r="Q129" s="46" t="s">
        <v>8</v>
      </c>
      <c r="R129" s="46" t="s">
        <v>9</v>
      </c>
    </row>
    <row r="130" spans="1:18" s="170" customFormat="1">
      <c r="A130" s="33" t="s">
        <v>23</v>
      </c>
      <c r="B130" s="73" t="s">
        <v>621</v>
      </c>
      <c r="C130" s="31"/>
      <c r="D130" s="31"/>
      <c r="E130" s="31"/>
      <c r="F130" s="31"/>
      <c r="G130" s="31"/>
      <c r="H130" s="31"/>
      <c r="I130" s="31"/>
      <c r="J130" s="31"/>
      <c r="K130" s="31"/>
      <c r="L130" s="31"/>
      <c r="M130" s="31"/>
      <c r="N130" s="31"/>
      <c r="O130" s="31"/>
      <c r="P130" s="31"/>
      <c r="Q130" s="31"/>
      <c r="R130" s="32"/>
    </row>
    <row r="131" spans="1:18" s="170" customFormat="1">
      <c r="A131" s="34" t="e">
        <f>A110+1</f>
        <v>#REF!</v>
      </c>
      <c r="B131" s="730" t="s">
        <v>636</v>
      </c>
      <c r="C131" s="546">
        <v>10</v>
      </c>
      <c r="D131" s="87"/>
      <c r="E131" s="8"/>
      <c r="F131" s="88"/>
      <c r="G131" s="28"/>
      <c r="H131" s="28"/>
      <c r="I131" s="8"/>
      <c r="J131" s="8"/>
      <c r="K131" s="88"/>
      <c r="L131" s="28"/>
      <c r="M131" s="28"/>
      <c r="N131" s="8"/>
      <c r="O131" s="8"/>
      <c r="P131" s="88"/>
      <c r="Q131" s="28"/>
      <c r="R131" s="28"/>
    </row>
    <row r="132" spans="1:18" s="170" customFormat="1">
      <c r="A132" s="2"/>
      <c r="B132" s="731"/>
      <c r="C132" s="171" t="s">
        <v>127</v>
      </c>
      <c r="D132" s="87" t="s">
        <v>96</v>
      </c>
      <c r="E132" s="8" t="s">
        <v>81</v>
      </c>
      <c r="F132" s="88">
        <v>2.75</v>
      </c>
      <c r="G132" s="28">
        <f>sr</f>
        <v>1100</v>
      </c>
      <c r="H132" s="28">
        <f>F132*G132</f>
        <v>3025</v>
      </c>
      <c r="I132" s="89" t="s">
        <v>234</v>
      </c>
      <c r="J132" s="8" t="s">
        <v>127</v>
      </c>
      <c r="K132" s="88">
        <f>11/6</f>
        <v>1.8333333333333333</v>
      </c>
      <c r="L132" s="28">
        <f>plywood</f>
        <v>420.36</v>
      </c>
      <c r="M132" s="28">
        <f>K132*L132</f>
        <v>770.66</v>
      </c>
      <c r="N132" s="8"/>
      <c r="O132" s="8"/>
      <c r="P132" s="88"/>
      <c r="Q132" s="28"/>
      <c r="R132" s="28"/>
    </row>
    <row r="133" spans="1:18" s="170" customFormat="1">
      <c r="A133" s="2"/>
      <c r="B133" s="731"/>
      <c r="C133" s="8"/>
      <c r="D133" s="87" t="s">
        <v>97</v>
      </c>
      <c r="E133" s="8" t="s">
        <v>81</v>
      </c>
      <c r="F133" s="88">
        <v>2.4</v>
      </c>
      <c r="G133" s="28">
        <f>ur</f>
        <v>850</v>
      </c>
      <c r="H133" s="28">
        <f>F133*G133</f>
        <v>2040</v>
      </c>
      <c r="I133" s="89" t="s">
        <v>231</v>
      </c>
      <c r="J133" s="8" t="s">
        <v>11</v>
      </c>
      <c r="K133" s="88">
        <f>0.5/12</f>
        <v>4.1666666666666664E-2</v>
      </c>
      <c r="L133" s="154">
        <f>AVERAGE(timber,planks)</f>
        <v>64135.06</v>
      </c>
      <c r="M133" s="28">
        <f>K133*L133</f>
        <v>2672.2941666666666</v>
      </c>
      <c r="N133" s="8"/>
      <c r="O133" s="8"/>
      <c r="P133" s="88"/>
      <c r="Q133" s="28"/>
      <c r="R133" s="28"/>
    </row>
    <row r="134" spans="1:18" s="170" customFormat="1">
      <c r="A134" s="2"/>
      <c r="B134" s="731"/>
      <c r="C134" s="8"/>
      <c r="D134" s="87"/>
      <c r="E134" s="8"/>
      <c r="F134" s="88"/>
      <c r="G134" s="28"/>
      <c r="H134" s="28"/>
      <c r="I134" s="89" t="s">
        <v>232</v>
      </c>
      <c r="J134" s="8" t="s">
        <v>28</v>
      </c>
      <c r="K134" s="88">
        <v>3</v>
      </c>
      <c r="L134" s="28">
        <f>nails/1000</f>
        <v>124.14419000000001</v>
      </c>
      <c r="M134" s="28">
        <f>K134*L134</f>
        <v>372.43257000000006</v>
      </c>
      <c r="N134" s="8"/>
      <c r="O134" s="8"/>
      <c r="P134" s="88"/>
      <c r="Q134" s="28"/>
      <c r="R134" s="28"/>
    </row>
    <row r="135" spans="1:18" s="170" customFormat="1">
      <c r="A135" s="2"/>
      <c r="B135" s="731"/>
      <c r="C135" s="8"/>
      <c r="D135" s="87"/>
      <c r="E135" s="8"/>
      <c r="F135" s="88"/>
      <c r="G135" s="28"/>
      <c r="H135" s="28"/>
      <c r="I135" s="89"/>
      <c r="J135" s="8"/>
      <c r="K135" s="88"/>
      <c r="L135" s="28"/>
      <c r="M135" s="28"/>
      <c r="N135" s="8"/>
      <c r="O135" s="8"/>
      <c r="P135" s="88"/>
      <c r="Q135" s="28"/>
      <c r="R135" s="28"/>
    </row>
    <row r="136" spans="1:18" s="170" customFormat="1" ht="32.25" customHeight="1">
      <c r="A136" s="2"/>
      <c r="B136" s="731"/>
      <c r="C136" s="8"/>
      <c r="D136" s="87"/>
      <c r="E136" s="8"/>
      <c r="F136" s="88"/>
      <c r="G136" s="28"/>
      <c r="H136" s="28"/>
      <c r="I136" s="89"/>
      <c r="J136" s="8"/>
      <c r="K136" s="88"/>
      <c r="L136" s="28"/>
      <c r="M136" s="28"/>
      <c r="N136" s="8"/>
      <c r="O136" s="8"/>
      <c r="P136" s="88"/>
      <c r="Q136" s="28"/>
      <c r="R136" s="28"/>
    </row>
    <row r="137" spans="1:18" s="170" customFormat="1">
      <c r="A137" s="2"/>
      <c r="B137" s="172"/>
      <c r="C137" s="8"/>
      <c r="D137" s="87"/>
      <c r="E137" s="10"/>
      <c r="F137" s="91"/>
      <c r="G137" s="92"/>
      <c r="H137" s="92"/>
      <c r="I137" s="10"/>
      <c r="J137" s="10"/>
      <c r="K137" s="91"/>
      <c r="L137" s="28"/>
      <c r="M137" s="28"/>
      <c r="N137" s="8"/>
      <c r="O137" s="8"/>
      <c r="P137" s="91"/>
      <c r="Q137" s="28"/>
      <c r="R137" s="28"/>
    </row>
    <row r="138" spans="1:18" s="170" customFormat="1">
      <c r="A138" s="2"/>
      <c r="B138" s="2"/>
      <c r="C138" s="8"/>
      <c r="D138" s="93"/>
      <c r="E138" s="545"/>
      <c r="F138" s="95"/>
      <c r="G138" s="95" t="s">
        <v>20</v>
      </c>
      <c r="H138" s="96">
        <f>SUM(H131:H137)</f>
        <v>5065</v>
      </c>
      <c r="I138" s="717"/>
      <c r="J138" s="717"/>
      <c r="K138" s="97"/>
      <c r="L138" s="95" t="s">
        <v>21</v>
      </c>
      <c r="M138" s="96">
        <f>SUM(M131:M137)</f>
        <v>3815.3867366666664</v>
      </c>
      <c r="N138" s="98"/>
      <c r="O138" s="97"/>
      <c r="P138" s="97"/>
      <c r="Q138" s="95" t="s">
        <v>22</v>
      </c>
      <c r="R138" s="96">
        <f>SUM(R131:R137)</f>
        <v>0</v>
      </c>
    </row>
    <row r="139" spans="1:18" s="170" customFormat="1">
      <c r="A139" s="2"/>
      <c r="B139" s="99" t="s">
        <v>13</v>
      </c>
      <c r="C139" s="97"/>
      <c r="D139" s="97"/>
      <c r="E139" s="97"/>
      <c r="F139" s="97"/>
      <c r="G139" s="95"/>
      <c r="H139" s="100">
        <f>M138+R138+H138</f>
        <v>8880.3867366666673</v>
      </c>
      <c r="I139" s="101"/>
      <c r="J139" s="97"/>
      <c r="K139" s="97"/>
      <c r="L139" s="95"/>
      <c r="M139" s="102"/>
      <c r="N139" s="97"/>
      <c r="O139" s="97"/>
      <c r="P139" s="97"/>
      <c r="Q139" s="97"/>
      <c r="R139" s="101"/>
    </row>
    <row r="140" spans="1:18" s="170" customFormat="1">
      <c r="A140" s="2"/>
      <c r="B140" s="2" t="s">
        <v>25</v>
      </c>
      <c r="C140" s="87"/>
      <c r="D140" s="87"/>
      <c r="E140" s="87"/>
      <c r="F140" s="87"/>
      <c r="G140" s="103"/>
      <c r="H140" s="104">
        <v>0</v>
      </c>
      <c r="I140" s="105"/>
      <c r="J140" s="87" t="s">
        <v>26</v>
      </c>
      <c r="K140" s="87"/>
      <c r="L140" s="103"/>
      <c r="M140" s="106"/>
      <c r="N140" s="87"/>
      <c r="O140" s="87"/>
      <c r="P140" s="87"/>
      <c r="Q140" s="87"/>
      <c r="R140" s="105"/>
    </row>
    <row r="141" spans="1:18" s="170" customFormat="1">
      <c r="A141" s="23"/>
      <c r="B141" s="2" t="s">
        <v>14</v>
      </c>
      <c r="C141" s="87"/>
      <c r="D141" s="87"/>
      <c r="E141" s="87"/>
      <c r="F141" s="87"/>
      <c r="G141" s="103"/>
      <c r="H141" s="104">
        <f>SUM(H139:H140)</f>
        <v>8880.3867366666673</v>
      </c>
      <c r="I141" s="105"/>
      <c r="J141" s="732"/>
      <c r="K141" s="733"/>
      <c r="L141" s="733"/>
      <c r="M141" s="733"/>
      <c r="N141" s="733"/>
      <c r="O141" s="733"/>
      <c r="P141" s="733"/>
      <c r="Q141" s="733"/>
      <c r="R141" s="734"/>
    </row>
    <row r="142" spans="1:18" s="170" customFormat="1">
      <c r="A142" s="23"/>
      <c r="B142" s="2" t="s">
        <v>24</v>
      </c>
      <c r="C142" s="87"/>
      <c r="D142" s="87"/>
      <c r="E142" s="87"/>
      <c r="F142" s="87"/>
      <c r="G142" s="103"/>
      <c r="H142" s="104">
        <f>H141*15%</f>
        <v>1332.0580105000001</v>
      </c>
      <c r="I142" s="105"/>
      <c r="J142" s="735"/>
      <c r="K142" s="736"/>
      <c r="L142" s="736"/>
      <c r="M142" s="736"/>
      <c r="N142" s="736"/>
      <c r="O142" s="736"/>
      <c r="P142" s="736"/>
      <c r="Q142" s="736"/>
      <c r="R142" s="737"/>
    </row>
    <row r="143" spans="1:18" s="170" customFormat="1">
      <c r="A143" s="23"/>
      <c r="B143" s="2" t="s">
        <v>15</v>
      </c>
      <c r="C143" s="87"/>
      <c r="D143" s="87"/>
      <c r="E143" s="87"/>
      <c r="F143" s="87"/>
      <c r="G143" s="107" t="s">
        <v>16</v>
      </c>
      <c r="H143" s="37">
        <f>H142+H141</f>
        <v>10212.444747166668</v>
      </c>
      <c r="I143" s="108" t="str">
        <f>CONCATENATE("per ",C131, C132)</f>
        <v>per 10sqm</v>
      </c>
      <c r="J143" s="735"/>
      <c r="K143" s="736"/>
      <c r="L143" s="736"/>
      <c r="M143" s="736"/>
      <c r="N143" s="736"/>
      <c r="O143" s="736"/>
      <c r="P143" s="736"/>
      <c r="Q143" s="736"/>
      <c r="R143" s="737"/>
    </row>
    <row r="144" spans="1:18" s="170" customFormat="1">
      <c r="A144" s="23"/>
      <c r="B144" s="2"/>
      <c r="C144" s="87"/>
      <c r="D144" s="87"/>
      <c r="E144" s="87"/>
      <c r="F144" s="87"/>
      <c r="G144" s="107" t="s">
        <v>16</v>
      </c>
      <c r="H144" s="37">
        <f>H143/C131</f>
        <v>1021.2444747166668</v>
      </c>
      <c r="I144" s="108" t="str">
        <f>CONCATENATE("per ",C132)</f>
        <v>per sqm</v>
      </c>
      <c r="J144" s="735"/>
      <c r="K144" s="736"/>
      <c r="L144" s="736"/>
      <c r="M144" s="736"/>
      <c r="N144" s="736"/>
      <c r="O144" s="736"/>
      <c r="P144" s="736"/>
      <c r="Q144" s="736"/>
      <c r="R144" s="737"/>
    </row>
    <row r="145" spans="1:18" s="170" customFormat="1">
      <c r="A145" s="23"/>
      <c r="B145" s="2" t="s">
        <v>18</v>
      </c>
      <c r="C145" s="87" t="s">
        <v>19</v>
      </c>
      <c r="D145" s="87"/>
      <c r="E145" s="87"/>
      <c r="F145" s="87"/>
      <c r="G145" s="107" t="s">
        <v>16</v>
      </c>
      <c r="H145" s="37">
        <f>CEILING(H144,0.5)</f>
        <v>1021.5</v>
      </c>
      <c r="I145" s="108" t="str">
        <f>CONCATENATE("per ",C132)</f>
        <v>per sqm</v>
      </c>
      <c r="J145" s="735"/>
      <c r="K145" s="736"/>
      <c r="L145" s="736"/>
      <c r="M145" s="736"/>
      <c r="N145" s="736"/>
      <c r="O145" s="736"/>
      <c r="P145" s="736"/>
      <c r="Q145" s="736"/>
      <c r="R145" s="737"/>
    </row>
    <row r="146" spans="1:18" s="170" customFormat="1">
      <c r="A146" s="23"/>
      <c r="B146" s="2"/>
      <c r="C146" s="87"/>
      <c r="D146" s="87"/>
      <c r="E146" s="87"/>
      <c r="F146" s="87"/>
      <c r="G146" s="109" t="s">
        <v>17</v>
      </c>
      <c r="H146" s="37">
        <f>H145/exr</f>
        <v>7.8576923076923073</v>
      </c>
      <c r="I146" s="108" t="str">
        <f>CONCATENATE("per ",C132)</f>
        <v>per sqm</v>
      </c>
      <c r="J146" s="738"/>
      <c r="K146" s="739"/>
      <c r="L146" s="739"/>
      <c r="M146" s="739"/>
      <c r="N146" s="739"/>
      <c r="O146" s="739"/>
      <c r="P146" s="739"/>
      <c r="Q146" s="739"/>
      <c r="R146" s="740"/>
    </row>
    <row r="147" spans="1:18" s="170" customFormat="1">
      <c r="A147" s="39"/>
      <c r="B147" s="40"/>
      <c r="C147" s="41"/>
      <c r="D147" s="41"/>
      <c r="E147" s="41"/>
      <c r="F147" s="41"/>
      <c r="G147" s="149" t="s">
        <v>460</v>
      </c>
      <c r="H147" s="150">
        <f>CEILING(SUM(M134)/H139,0.0025)</f>
        <v>4.2500000000000003E-2</v>
      </c>
      <c r="I147" s="42"/>
      <c r="J147" s="43"/>
      <c r="K147" s="43"/>
      <c r="L147" s="43"/>
      <c r="M147" s="43"/>
      <c r="N147" s="43"/>
      <c r="O147" s="43"/>
      <c r="P147" s="43"/>
      <c r="Q147" s="43"/>
      <c r="R147" s="44"/>
    </row>
    <row r="148" spans="1:18" s="170" customFormat="1"/>
    <row r="149" spans="1:18" s="170" customFormat="1">
      <c r="A149" s="693" t="s">
        <v>0</v>
      </c>
      <c r="B149" s="695" t="s">
        <v>1</v>
      </c>
      <c r="C149" s="695" t="s">
        <v>2</v>
      </c>
      <c r="D149" s="697" t="s">
        <v>3</v>
      </c>
      <c r="E149" s="698"/>
      <c r="F149" s="698"/>
      <c r="G149" s="698"/>
      <c r="H149" s="698"/>
      <c r="I149" s="699" t="s">
        <v>4</v>
      </c>
      <c r="J149" s="700"/>
      <c r="K149" s="700"/>
      <c r="L149" s="700"/>
      <c r="M149" s="700"/>
      <c r="N149" s="698" t="s">
        <v>5</v>
      </c>
      <c r="O149" s="698"/>
      <c r="P149" s="698"/>
      <c r="Q149" s="698"/>
      <c r="R149" s="698"/>
    </row>
    <row r="150" spans="1:18" s="170" customFormat="1">
      <c r="A150" s="694"/>
      <c r="B150" s="696"/>
      <c r="C150" s="696"/>
      <c r="D150" s="45" t="s">
        <v>6</v>
      </c>
      <c r="E150" s="46" t="s">
        <v>2</v>
      </c>
      <c r="F150" s="46" t="s">
        <v>7</v>
      </c>
      <c r="G150" s="46" t="s">
        <v>8</v>
      </c>
      <c r="H150" s="46" t="s">
        <v>9</v>
      </c>
      <c r="I150" s="46" t="s">
        <v>10</v>
      </c>
      <c r="J150" s="46" t="s">
        <v>2</v>
      </c>
      <c r="K150" s="46" t="s">
        <v>7</v>
      </c>
      <c r="L150" s="46" t="s">
        <v>8</v>
      </c>
      <c r="M150" s="47" t="s">
        <v>9</v>
      </c>
      <c r="N150" s="46" t="s">
        <v>10</v>
      </c>
      <c r="O150" s="46" t="s">
        <v>2</v>
      </c>
      <c r="P150" s="46" t="s">
        <v>7</v>
      </c>
      <c r="Q150" s="46" t="s">
        <v>8</v>
      </c>
      <c r="R150" s="46" t="s">
        <v>9</v>
      </c>
    </row>
    <row r="151" spans="1:18" s="170" customFormat="1">
      <c r="A151" s="33" t="s">
        <v>23</v>
      </c>
      <c r="B151" s="73" t="s">
        <v>622</v>
      </c>
      <c r="C151" s="31"/>
      <c r="D151" s="31"/>
      <c r="E151" s="31"/>
      <c r="F151" s="31"/>
      <c r="G151" s="31"/>
      <c r="H151" s="31"/>
      <c r="I151" s="31"/>
      <c r="J151" s="31"/>
      <c r="K151" s="31"/>
      <c r="L151" s="31"/>
      <c r="M151" s="31"/>
      <c r="N151" s="31"/>
      <c r="O151" s="31"/>
      <c r="P151" s="31"/>
      <c r="Q151" s="31"/>
      <c r="R151" s="32"/>
    </row>
    <row r="152" spans="1:18" s="170" customFormat="1">
      <c r="A152" s="34" t="e">
        <f>A131+1</f>
        <v>#REF!</v>
      </c>
      <c r="B152" s="730" t="s">
        <v>633</v>
      </c>
      <c r="C152" s="546">
        <v>10</v>
      </c>
      <c r="D152" s="87"/>
      <c r="E152" s="8"/>
      <c r="F152" s="88"/>
      <c r="G152" s="28"/>
      <c r="H152" s="28"/>
      <c r="I152" s="8"/>
      <c r="J152" s="8"/>
      <c r="K152" s="88"/>
      <c r="L152" s="28"/>
      <c r="M152" s="28"/>
      <c r="N152" s="8"/>
      <c r="O152" s="8"/>
      <c r="P152" s="88"/>
      <c r="Q152" s="28"/>
      <c r="R152" s="28"/>
    </row>
    <row r="153" spans="1:18" s="170" customFormat="1">
      <c r="A153" s="2"/>
      <c r="B153" s="731"/>
      <c r="C153" s="171" t="s">
        <v>127</v>
      </c>
      <c r="D153" s="87" t="s">
        <v>96</v>
      </c>
      <c r="E153" s="8" t="s">
        <v>81</v>
      </c>
      <c r="F153" s="88">
        <v>3.2</v>
      </c>
      <c r="G153" s="28">
        <f>sr</f>
        <v>1100</v>
      </c>
      <c r="H153" s="28">
        <f>F153*G153</f>
        <v>3520</v>
      </c>
      <c r="I153" s="89" t="s">
        <v>234</v>
      </c>
      <c r="J153" s="8" t="s">
        <v>127</v>
      </c>
      <c r="K153" s="88">
        <f>11/6</f>
        <v>1.8333333333333333</v>
      </c>
      <c r="L153" s="28">
        <f>plywood</f>
        <v>420.36</v>
      </c>
      <c r="M153" s="28">
        <f>K153*L153</f>
        <v>770.66</v>
      </c>
      <c r="N153" s="8"/>
      <c r="O153" s="8"/>
      <c r="P153" s="88"/>
      <c r="Q153" s="28"/>
      <c r="R153" s="28"/>
    </row>
    <row r="154" spans="1:18" s="170" customFormat="1">
      <c r="A154" s="2"/>
      <c r="B154" s="731"/>
      <c r="C154" s="8"/>
      <c r="D154" s="87" t="s">
        <v>97</v>
      </c>
      <c r="E154" s="8" t="s">
        <v>81</v>
      </c>
      <c r="F154" s="88">
        <v>3.2</v>
      </c>
      <c r="G154" s="28">
        <f>ur</f>
        <v>850</v>
      </c>
      <c r="H154" s="28">
        <f>F154*G154</f>
        <v>2720</v>
      </c>
      <c r="I154" s="89" t="s">
        <v>231</v>
      </c>
      <c r="J154" s="8" t="s">
        <v>11</v>
      </c>
      <c r="K154" s="88">
        <f>0.6/12</f>
        <v>4.9999999999999996E-2</v>
      </c>
      <c r="L154" s="154">
        <f>AVERAGE(timber,planks)</f>
        <v>64135.06</v>
      </c>
      <c r="M154" s="28">
        <f>K154*L154</f>
        <v>3206.7529999999997</v>
      </c>
      <c r="N154" s="8"/>
      <c r="O154" s="8"/>
      <c r="P154" s="88"/>
      <c r="Q154" s="28"/>
      <c r="R154" s="28"/>
    </row>
    <row r="155" spans="1:18" s="170" customFormat="1">
      <c r="A155" s="2"/>
      <c r="B155" s="731"/>
      <c r="C155" s="8"/>
      <c r="D155" s="87"/>
      <c r="E155" s="8"/>
      <c r="F155" s="88"/>
      <c r="G155" s="28"/>
      <c r="H155" s="28"/>
      <c r="I155" s="89" t="s">
        <v>232</v>
      </c>
      <c r="J155" s="8" t="s">
        <v>28</v>
      </c>
      <c r="K155" s="88">
        <v>4</v>
      </c>
      <c r="L155" s="28">
        <f>nails/1000</f>
        <v>124.14419000000001</v>
      </c>
      <c r="M155" s="28">
        <f>K155*L155</f>
        <v>496.57676000000004</v>
      </c>
      <c r="N155" s="8"/>
      <c r="O155" s="8"/>
      <c r="P155" s="88"/>
      <c r="Q155" s="28"/>
      <c r="R155" s="28"/>
    </row>
    <row r="156" spans="1:18" s="170" customFormat="1">
      <c r="A156" s="2"/>
      <c r="B156" s="731"/>
      <c r="C156" s="8"/>
      <c r="D156" s="87"/>
      <c r="E156" s="8"/>
      <c r="F156" s="88"/>
      <c r="G156" s="28"/>
      <c r="H156" s="28"/>
      <c r="I156" s="89"/>
      <c r="J156" s="8"/>
      <c r="K156" s="88"/>
      <c r="L156" s="28"/>
      <c r="M156" s="28"/>
      <c r="N156" s="8"/>
      <c r="O156" s="8"/>
      <c r="P156" s="88"/>
      <c r="Q156" s="28"/>
      <c r="R156" s="28"/>
    </row>
    <row r="157" spans="1:18" s="170" customFormat="1" ht="30.75" customHeight="1">
      <c r="A157" s="2"/>
      <c r="B157" s="731"/>
      <c r="C157" s="8"/>
      <c r="D157" s="87"/>
      <c r="E157" s="8"/>
      <c r="F157" s="88"/>
      <c r="G157" s="28"/>
      <c r="H157" s="28"/>
      <c r="I157" s="89"/>
      <c r="J157" s="8"/>
      <c r="K157" s="88"/>
      <c r="L157" s="28"/>
      <c r="M157" s="28"/>
      <c r="N157" s="8"/>
      <c r="O157" s="8"/>
      <c r="P157" s="88"/>
      <c r="Q157" s="28"/>
      <c r="R157" s="28"/>
    </row>
    <row r="158" spans="1:18" s="170" customFormat="1">
      <c r="A158" s="2"/>
      <c r="B158" s="172"/>
      <c r="C158" s="8"/>
      <c r="D158" s="87"/>
      <c r="E158" s="10"/>
      <c r="F158" s="91"/>
      <c r="G158" s="92"/>
      <c r="H158" s="92"/>
      <c r="I158" s="10"/>
      <c r="J158" s="10"/>
      <c r="K158" s="91"/>
      <c r="L158" s="28"/>
      <c r="M158" s="28"/>
      <c r="N158" s="8"/>
      <c r="O158" s="8"/>
      <c r="P158" s="91"/>
      <c r="Q158" s="28"/>
      <c r="R158" s="28"/>
    </row>
    <row r="159" spans="1:18" s="170" customFormat="1">
      <c r="A159" s="2"/>
      <c r="B159" s="2"/>
      <c r="C159" s="8"/>
      <c r="D159" s="93"/>
      <c r="E159" s="545"/>
      <c r="F159" s="95"/>
      <c r="G159" s="95" t="s">
        <v>20</v>
      </c>
      <c r="H159" s="96">
        <f>SUM(H152:H158)</f>
        <v>6240</v>
      </c>
      <c r="I159" s="717"/>
      <c r="J159" s="717"/>
      <c r="K159" s="97"/>
      <c r="L159" s="95" t="s">
        <v>21</v>
      </c>
      <c r="M159" s="96">
        <f>SUM(M152:M158)</f>
        <v>4473.9897599999995</v>
      </c>
      <c r="N159" s="98"/>
      <c r="O159" s="97"/>
      <c r="P159" s="97"/>
      <c r="Q159" s="95" t="s">
        <v>22</v>
      </c>
      <c r="R159" s="96">
        <f>SUM(R152:R158)</f>
        <v>0</v>
      </c>
    </row>
    <row r="160" spans="1:18" s="170" customFormat="1">
      <c r="A160" s="2"/>
      <c r="B160" s="99" t="s">
        <v>13</v>
      </c>
      <c r="C160" s="97"/>
      <c r="D160" s="97"/>
      <c r="E160" s="97"/>
      <c r="F160" s="97"/>
      <c r="G160" s="95"/>
      <c r="H160" s="100">
        <f>M159+R159+H159</f>
        <v>10713.98976</v>
      </c>
      <c r="I160" s="101"/>
      <c r="J160" s="97"/>
      <c r="K160" s="97"/>
      <c r="L160" s="95"/>
      <c r="M160" s="102"/>
      <c r="N160" s="97"/>
      <c r="O160" s="97"/>
      <c r="P160" s="97"/>
      <c r="Q160" s="97"/>
      <c r="R160" s="101"/>
    </row>
    <row r="161" spans="1:18" s="170" customFormat="1">
      <c r="A161" s="2"/>
      <c r="B161" s="2" t="s">
        <v>25</v>
      </c>
      <c r="C161" s="87"/>
      <c r="D161" s="87"/>
      <c r="E161" s="87"/>
      <c r="F161" s="87"/>
      <c r="G161" s="103"/>
      <c r="H161" s="104">
        <v>0</v>
      </c>
      <c r="I161" s="105"/>
      <c r="J161" s="87" t="s">
        <v>26</v>
      </c>
      <c r="K161" s="87"/>
      <c r="L161" s="103"/>
      <c r="M161" s="106"/>
      <c r="N161" s="87"/>
      <c r="O161" s="87"/>
      <c r="P161" s="87"/>
      <c r="Q161" s="87"/>
      <c r="R161" s="105"/>
    </row>
    <row r="162" spans="1:18" s="170" customFormat="1">
      <c r="A162" s="23"/>
      <c r="B162" s="2" t="s">
        <v>14</v>
      </c>
      <c r="C162" s="87"/>
      <c r="D162" s="87"/>
      <c r="E162" s="87"/>
      <c r="F162" s="87"/>
      <c r="G162" s="103"/>
      <c r="H162" s="104">
        <f>SUM(H160:H161)</f>
        <v>10713.98976</v>
      </c>
      <c r="I162" s="105"/>
      <c r="J162" s="732"/>
      <c r="K162" s="733"/>
      <c r="L162" s="733"/>
      <c r="M162" s="733"/>
      <c r="N162" s="733"/>
      <c r="O162" s="733"/>
      <c r="P162" s="733"/>
      <c r="Q162" s="733"/>
      <c r="R162" s="734"/>
    </row>
    <row r="163" spans="1:18" s="170" customFormat="1">
      <c r="A163" s="23"/>
      <c r="B163" s="2" t="s">
        <v>24</v>
      </c>
      <c r="C163" s="87"/>
      <c r="D163" s="87"/>
      <c r="E163" s="87"/>
      <c r="F163" s="87"/>
      <c r="G163" s="103"/>
      <c r="H163" s="104">
        <f>H162*15%</f>
        <v>1607.0984639999999</v>
      </c>
      <c r="I163" s="105"/>
      <c r="J163" s="735"/>
      <c r="K163" s="736"/>
      <c r="L163" s="736"/>
      <c r="M163" s="736"/>
      <c r="N163" s="736"/>
      <c r="O163" s="736"/>
      <c r="P163" s="736"/>
      <c r="Q163" s="736"/>
      <c r="R163" s="737"/>
    </row>
    <row r="164" spans="1:18" s="170" customFormat="1">
      <c r="A164" s="23"/>
      <c r="B164" s="2" t="s">
        <v>15</v>
      </c>
      <c r="C164" s="87"/>
      <c r="D164" s="87"/>
      <c r="E164" s="87"/>
      <c r="F164" s="87"/>
      <c r="G164" s="107" t="s">
        <v>16</v>
      </c>
      <c r="H164" s="37">
        <f>H163+H162</f>
        <v>12321.088224000001</v>
      </c>
      <c r="I164" s="108" t="str">
        <f>CONCATENATE("per ",C152, C153)</f>
        <v>per 10sqm</v>
      </c>
      <c r="J164" s="735"/>
      <c r="K164" s="736"/>
      <c r="L164" s="736"/>
      <c r="M164" s="736"/>
      <c r="N164" s="736"/>
      <c r="O164" s="736"/>
      <c r="P164" s="736"/>
      <c r="Q164" s="736"/>
      <c r="R164" s="737"/>
    </row>
    <row r="165" spans="1:18" s="170" customFormat="1">
      <c r="A165" s="23"/>
      <c r="B165" s="2"/>
      <c r="C165" s="87"/>
      <c r="D165" s="87"/>
      <c r="E165" s="87"/>
      <c r="F165" s="87"/>
      <c r="G165" s="107" t="s">
        <v>16</v>
      </c>
      <c r="H165" s="37">
        <f>H164/C152</f>
        <v>1232.1088224</v>
      </c>
      <c r="I165" s="108" t="str">
        <f>CONCATENATE("per ",C153)</f>
        <v>per sqm</v>
      </c>
      <c r="J165" s="735"/>
      <c r="K165" s="736"/>
      <c r="L165" s="736"/>
      <c r="M165" s="736"/>
      <c r="N165" s="736"/>
      <c r="O165" s="736"/>
      <c r="P165" s="736"/>
      <c r="Q165" s="736"/>
      <c r="R165" s="737"/>
    </row>
    <row r="166" spans="1:18" s="170" customFormat="1">
      <c r="A166" s="23"/>
      <c r="B166" s="2" t="s">
        <v>18</v>
      </c>
      <c r="C166" s="87" t="s">
        <v>19</v>
      </c>
      <c r="D166" s="87"/>
      <c r="E166" s="87"/>
      <c r="F166" s="87"/>
      <c r="G166" s="107" t="s">
        <v>16</v>
      </c>
      <c r="H166" s="37">
        <f>CEILING(H165,0.5)</f>
        <v>1232.5</v>
      </c>
      <c r="I166" s="108" t="str">
        <f>CONCATENATE("per ",C153)</f>
        <v>per sqm</v>
      </c>
      <c r="J166" s="735"/>
      <c r="K166" s="736"/>
      <c r="L166" s="736"/>
      <c r="M166" s="736"/>
      <c r="N166" s="736"/>
      <c r="O166" s="736"/>
      <c r="P166" s="736"/>
      <c r="Q166" s="736"/>
      <c r="R166" s="737"/>
    </row>
    <row r="167" spans="1:18" s="170" customFormat="1">
      <c r="A167" s="23"/>
      <c r="B167" s="2"/>
      <c r="C167" s="87"/>
      <c r="D167" s="87"/>
      <c r="E167" s="87"/>
      <c r="F167" s="87"/>
      <c r="G167" s="109" t="s">
        <v>17</v>
      </c>
      <c r="H167" s="37">
        <f>H166/exr</f>
        <v>9.4807692307692299</v>
      </c>
      <c r="I167" s="108" t="str">
        <f>CONCATENATE("per ",C153)</f>
        <v>per sqm</v>
      </c>
      <c r="J167" s="738"/>
      <c r="K167" s="739"/>
      <c r="L167" s="739"/>
      <c r="M167" s="739"/>
      <c r="N167" s="739"/>
      <c r="O167" s="739"/>
      <c r="P167" s="739"/>
      <c r="Q167" s="739"/>
      <c r="R167" s="740"/>
    </row>
    <row r="168" spans="1:18" s="170" customFormat="1">
      <c r="A168" s="39"/>
      <c r="B168" s="40"/>
      <c r="C168" s="41"/>
      <c r="D168" s="41"/>
      <c r="E168" s="41"/>
      <c r="F168" s="41"/>
      <c r="G168" s="149" t="s">
        <v>460</v>
      </c>
      <c r="H168" s="150">
        <f>CEILING(SUM(M155)/H160,0.0025)</f>
        <v>4.7500000000000001E-2</v>
      </c>
      <c r="I168" s="42"/>
      <c r="J168" s="43"/>
      <c r="K168" s="43"/>
      <c r="L168" s="43"/>
      <c r="M168" s="43"/>
      <c r="N168" s="43"/>
      <c r="O168" s="43"/>
      <c r="P168" s="43"/>
      <c r="Q168" s="43"/>
      <c r="R168" s="44"/>
    </row>
    <row r="169" spans="1:18" s="170" customFormat="1"/>
    <row r="170" spans="1:18" s="170" customFormat="1">
      <c r="A170" s="693" t="s">
        <v>0</v>
      </c>
      <c r="B170" s="695" t="s">
        <v>1</v>
      </c>
      <c r="C170" s="695" t="s">
        <v>2</v>
      </c>
      <c r="D170" s="697" t="s">
        <v>3</v>
      </c>
      <c r="E170" s="698"/>
      <c r="F170" s="698"/>
      <c r="G170" s="698"/>
      <c r="H170" s="698"/>
      <c r="I170" s="699" t="s">
        <v>4</v>
      </c>
      <c r="J170" s="700"/>
      <c r="K170" s="700"/>
      <c r="L170" s="700"/>
      <c r="M170" s="700"/>
      <c r="N170" s="698" t="s">
        <v>5</v>
      </c>
      <c r="O170" s="698"/>
      <c r="P170" s="698"/>
      <c r="Q170" s="698"/>
      <c r="R170" s="698"/>
    </row>
    <row r="171" spans="1:18" s="170" customFormat="1">
      <c r="A171" s="694"/>
      <c r="B171" s="696"/>
      <c r="C171" s="696"/>
      <c r="D171" s="45" t="s">
        <v>6</v>
      </c>
      <c r="E171" s="46" t="s">
        <v>2</v>
      </c>
      <c r="F171" s="46" t="s">
        <v>7</v>
      </c>
      <c r="G171" s="46" t="s">
        <v>8</v>
      </c>
      <c r="H171" s="46" t="s">
        <v>9</v>
      </c>
      <c r="I171" s="46" t="s">
        <v>10</v>
      </c>
      <c r="J171" s="46" t="s">
        <v>2</v>
      </c>
      <c r="K171" s="46" t="s">
        <v>7</v>
      </c>
      <c r="L171" s="46" t="s">
        <v>8</v>
      </c>
      <c r="M171" s="47" t="s">
        <v>9</v>
      </c>
      <c r="N171" s="46" t="s">
        <v>10</v>
      </c>
      <c r="O171" s="46" t="s">
        <v>2</v>
      </c>
      <c r="P171" s="46" t="s">
        <v>7</v>
      </c>
      <c r="Q171" s="46" t="s">
        <v>8</v>
      </c>
      <c r="R171" s="46" t="s">
        <v>9</v>
      </c>
    </row>
    <row r="172" spans="1:18" s="170" customFormat="1">
      <c r="A172" s="33" t="s">
        <v>23</v>
      </c>
      <c r="B172" s="73" t="s">
        <v>623</v>
      </c>
      <c r="C172" s="31"/>
      <c r="D172" s="31"/>
      <c r="E172" s="31"/>
      <c r="F172" s="31"/>
      <c r="G172" s="31"/>
      <c r="H172" s="31"/>
      <c r="I172" s="31"/>
      <c r="J172" s="31"/>
      <c r="K172" s="31"/>
      <c r="L172" s="31"/>
      <c r="M172" s="31"/>
      <c r="N172" s="31"/>
      <c r="O172" s="31"/>
      <c r="P172" s="31"/>
      <c r="Q172" s="31"/>
      <c r="R172" s="32"/>
    </row>
    <row r="173" spans="1:18" s="170" customFormat="1">
      <c r="A173" s="34" t="e">
        <f>A152+1</f>
        <v>#REF!</v>
      </c>
      <c r="B173" s="730" t="s">
        <v>634</v>
      </c>
      <c r="C173" s="546">
        <v>10</v>
      </c>
      <c r="D173" s="87"/>
      <c r="E173" s="8"/>
      <c r="F173" s="88"/>
      <c r="G173" s="28"/>
      <c r="H173" s="28"/>
      <c r="I173" s="8"/>
      <c r="J173" s="8"/>
      <c r="K173" s="88"/>
      <c r="L173" s="28"/>
      <c r="M173" s="28"/>
      <c r="N173" s="8"/>
      <c r="O173" s="8"/>
      <c r="P173" s="88"/>
      <c r="Q173" s="28"/>
      <c r="R173" s="28"/>
    </row>
    <row r="174" spans="1:18" s="170" customFormat="1">
      <c r="A174" s="2"/>
      <c r="B174" s="731"/>
      <c r="C174" s="171" t="s">
        <v>127</v>
      </c>
      <c r="D174" s="87" t="s">
        <v>96</v>
      </c>
      <c r="E174" s="8" t="s">
        <v>81</v>
      </c>
      <c r="F174" s="88">
        <v>4</v>
      </c>
      <c r="G174" s="28">
        <f>sr</f>
        <v>1100</v>
      </c>
      <c r="H174" s="28">
        <f>F174*G174</f>
        <v>4400</v>
      </c>
      <c r="I174" s="89" t="s">
        <v>234</v>
      </c>
      <c r="J174" s="8" t="s">
        <v>127</v>
      </c>
      <c r="K174" s="88">
        <f>11/6</f>
        <v>1.8333333333333333</v>
      </c>
      <c r="L174" s="28">
        <f>plywood</f>
        <v>420.36</v>
      </c>
      <c r="M174" s="28">
        <f>K174*L174</f>
        <v>770.66</v>
      </c>
      <c r="N174" s="8"/>
      <c r="O174" s="8"/>
      <c r="P174" s="88"/>
      <c r="Q174" s="28"/>
      <c r="R174" s="28"/>
    </row>
    <row r="175" spans="1:18" s="170" customFormat="1">
      <c r="A175" s="2"/>
      <c r="B175" s="731"/>
      <c r="C175" s="8"/>
      <c r="D175" s="87" t="s">
        <v>97</v>
      </c>
      <c r="E175" s="8" t="s">
        <v>81</v>
      </c>
      <c r="F175" s="88">
        <v>4.4000000000000004</v>
      </c>
      <c r="G175" s="28">
        <f>ur</f>
        <v>850</v>
      </c>
      <c r="H175" s="28">
        <f>F175*G175</f>
        <v>3740.0000000000005</v>
      </c>
      <c r="I175" s="89" t="s">
        <v>231</v>
      </c>
      <c r="J175" s="8" t="s">
        <v>11</v>
      </c>
      <c r="K175" s="88">
        <f>0.75/12</f>
        <v>6.25E-2</v>
      </c>
      <c r="L175" s="154">
        <f>AVERAGE(timber,planks)</f>
        <v>64135.06</v>
      </c>
      <c r="M175" s="28">
        <f>K175*L175</f>
        <v>4008.4412499999999</v>
      </c>
      <c r="N175" s="8"/>
      <c r="O175" s="8"/>
      <c r="P175" s="88"/>
      <c r="Q175" s="28"/>
      <c r="R175" s="28"/>
    </row>
    <row r="176" spans="1:18" s="170" customFormat="1">
      <c r="A176" s="2"/>
      <c r="B176" s="731"/>
      <c r="C176" s="8"/>
      <c r="D176" s="87"/>
      <c r="E176" s="8"/>
      <c r="F176" s="88"/>
      <c r="G176" s="28"/>
      <c r="H176" s="28"/>
      <c r="I176" s="89" t="s">
        <v>232</v>
      </c>
      <c r="J176" s="8" t="s">
        <v>28</v>
      </c>
      <c r="K176" s="88">
        <v>5</v>
      </c>
      <c r="L176" s="28">
        <f>nails/1000</f>
        <v>124.14419000000001</v>
      </c>
      <c r="M176" s="28">
        <f>K176*L176</f>
        <v>620.72095000000002</v>
      </c>
      <c r="N176" s="8"/>
      <c r="O176" s="8"/>
      <c r="P176" s="88"/>
      <c r="Q176" s="28"/>
      <c r="R176" s="28"/>
    </row>
    <row r="177" spans="1:18" s="170" customFormat="1">
      <c r="A177" s="2"/>
      <c r="B177" s="731"/>
      <c r="C177" s="8"/>
      <c r="D177" s="87"/>
      <c r="E177" s="8"/>
      <c r="F177" s="88"/>
      <c r="G177" s="28"/>
      <c r="H177" s="28"/>
      <c r="I177" s="89"/>
      <c r="J177" s="8"/>
      <c r="K177" s="88"/>
      <c r="L177" s="28"/>
      <c r="M177" s="28"/>
      <c r="N177" s="8"/>
      <c r="O177" s="8"/>
      <c r="P177" s="88"/>
      <c r="Q177" s="28"/>
      <c r="R177" s="28"/>
    </row>
    <row r="178" spans="1:18" s="170" customFormat="1" ht="31.5" customHeight="1">
      <c r="A178" s="2"/>
      <c r="B178" s="731"/>
      <c r="C178" s="8"/>
      <c r="D178" s="87"/>
      <c r="E178" s="8"/>
      <c r="F178" s="88"/>
      <c r="G178" s="28"/>
      <c r="H178" s="28"/>
      <c r="I178" s="89"/>
      <c r="J178" s="8"/>
      <c r="K178" s="88"/>
      <c r="L178" s="28"/>
      <c r="M178" s="28"/>
      <c r="N178" s="8"/>
      <c r="O178" s="8"/>
      <c r="P178" s="88"/>
      <c r="Q178" s="28"/>
      <c r="R178" s="28"/>
    </row>
    <row r="179" spans="1:18" s="170" customFormat="1">
      <c r="A179" s="2"/>
      <c r="B179" s="172"/>
      <c r="C179" s="8"/>
      <c r="D179" s="87"/>
      <c r="E179" s="10"/>
      <c r="F179" s="91"/>
      <c r="G179" s="92"/>
      <c r="H179" s="92"/>
      <c r="I179" s="10"/>
      <c r="J179" s="10"/>
      <c r="K179" s="91"/>
      <c r="L179" s="28"/>
      <c r="M179" s="28"/>
      <c r="N179" s="8"/>
      <c r="O179" s="8"/>
      <c r="P179" s="91"/>
      <c r="Q179" s="28"/>
      <c r="R179" s="28"/>
    </row>
    <row r="180" spans="1:18" s="170" customFormat="1">
      <c r="A180" s="2"/>
      <c r="B180" s="2"/>
      <c r="C180" s="8"/>
      <c r="D180" s="93"/>
      <c r="E180" s="545"/>
      <c r="F180" s="95"/>
      <c r="G180" s="95" t="s">
        <v>20</v>
      </c>
      <c r="H180" s="96">
        <f>SUM(H173:H179)</f>
        <v>8140</v>
      </c>
      <c r="I180" s="717"/>
      <c r="J180" s="717"/>
      <c r="K180" s="97"/>
      <c r="L180" s="95" t="s">
        <v>21</v>
      </c>
      <c r="M180" s="96">
        <f>SUM(M173:M179)</f>
        <v>5399.8221999999996</v>
      </c>
      <c r="N180" s="98"/>
      <c r="O180" s="97"/>
      <c r="P180" s="97"/>
      <c r="Q180" s="95" t="s">
        <v>22</v>
      </c>
      <c r="R180" s="96">
        <f>SUM(R173:R179)</f>
        <v>0</v>
      </c>
    </row>
    <row r="181" spans="1:18" s="170" customFormat="1">
      <c r="A181" s="2"/>
      <c r="B181" s="99" t="s">
        <v>13</v>
      </c>
      <c r="C181" s="97"/>
      <c r="D181" s="97"/>
      <c r="E181" s="97"/>
      <c r="F181" s="97"/>
      <c r="G181" s="95"/>
      <c r="H181" s="100">
        <f>M180+R180+H180</f>
        <v>13539.822199999999</v>
      </c>
      <c r="I181" s="101"/>
      <c r="J181" s="97"/>
      <c r="K181" s="97"/>
      <c r="L181" s="95"/>
      <c r="M181" s="102"/>
      <c r="N181" s="97"/>
      <c r="O181" s="97"/>
      <c r="P181" s="97"/>
      <c r="Q181" s="97"/>
      <c r="R181" s="101"/>
    </row>
    <row r="182" spans="1:18" s="170" customFormat="1">
      <c r="A182" s="2"/>
      <c r="B182" s="2" t="s">
        <v>25</v>
      </c>
      <c r="C182" s="87"/>
      <c r="D182" s="87"/>
      <c r="E182" s="87"/>
      <c r="F182" s="87"/>
      <c r="G182" s="103"/>
      <c r="H182" s="104">
        <v>0</v>
      </c>
      <c r="I182" s="105"/>
      <c r="J182" s="87" t="s">
        <v>26</v>
      </c>
      <c r="K182" s="87"/>
      <c r="L182" s="103"/>
      <c r="M182" s="106"/>
      <c r="N182" s="87"/>
      <c r="O182" s="87"/>
      <c r="P182" s="87"/>
      <c r="Q182" s="87"/>
      <c r="R182" s="105"/>
    </row>
    <row r="183" spans="1:18" s="170" customFormat="1">
      <c r="A183" s="23"/>
      <c r="B183" s="2" t="s">
        <v>14</v>
      </c>
      <c r="C183" s="87"/>
      <c r="D183" s="87"/>
      <c r="E183" s="87"/>
      <c r="F183" s="87"/>
      <c r="G183" s="103"/>
      <c r="H183" s="104">
        <f>SUM(H181:H182)</f>
        <v>13539.822199999999</v>
      </c>
      <c r="I183" s="105"/>
      <c r="J183" s="732"/>
      <c r="K183" s="733"/>
      <c r="L183" s="733"/>
      <c r="M183" s="733"/>
      <c r="N183" s="733"/>
      <c r="O183" s="733"/>
      <c r="P183" s="733"/>
      <c r="Q183" s="733"/>
      <c r="R183" s="734"/>
    </row>
    <row r="184" spans="1:18" s="170" customFormat="1">
      <c r="A184" s="23"/>
      <c r="B184" s="2" t="s">
        <v>24</v>
      </c>
      <c r="C184" s="87"/>
      <c r="D184" s="87"/>
      <c r="E184" s="87"/>
      <c r="F184" s="87"/>
      <c r="G184" s="103"/>
      <c r="H184" s="104">
        <f>H183*15%</f>
        <v>2030.9733299999998</v>
      </c>
      <c r="I184" s="105"/>
      <c r="J184" s="735"/>
      <c r="K184" s="736"/>
      <c r="L184" s="736"/>
      <c r="M184" s="736"/>
      <c r="N184" s="736"/>
      <c r="O184" s="736"/>
      <c r="P184" s="736"/>
      <c r="Q184" s="736"/>
      <c r="R184" s="737"/>
    </row>
    <row r="185" spans="1:18" s="170" customFormat="1">
      <c r="A185" s="23"/>
      <c r="B185" s="2" t="s">
        <v>15</v>
      </c>
      <c r="C185" s="87"/>
      <c r="D185" s="87"/>
      <c r="E185" s="87"/>
      <c r="F185" s="87"/>
      <c r="G185" s="107" t="s">
        <v>16</v>
      </c>
      <c r="H185" s="37">
        <f>H184+H183</f>
        <v>15570.795529999999</v>
      </c>
      <c r="I185" s="108" t="str">
        <f>CONCATENATE("per ",C173, C174)</f>
        <v>per 10sqm</v>
      </c>
      <c r="J185" s="735"/>
      <c r="K185" s="736"/>
      <c r="L185" s="736"/>
      <c r="M185" s="736"/>
      <c r="N185" s="736"/>
      <c r="O185" s="736"/>
      <c r="P185" s="736"/>
      <c r="Q185" s="736"/>
      <c r="R185" s="737"/>
    </row>
    <row r="186" spans="1:18" s="170" customFormat="1">
      <c r="A186" s="23"/>
      <c r="B186" s="2"/>
      <c r="C186" s="87"/>
      <c r="D186" s="87"/>
      <c r="E186" s="87"/>
      <c r="F186" s="87"/>
      <c r="G186" s="107" t="s">
        <v>16</v>
      </c>
      <c r="H186" s="37">
        <f>H185/C173</f>
        <v>1557.079553</v>
      </c>
      <c r="I186" s="108" t="str">
        <f>CONCATENATE("per ",C174)</f>
        <v>per sqm</v>
      </c>
      <c r="J186" s="735"/>
      <c r="K186" s="736"/>
      <c r="L186" s="736"/>
      <c r="M186" s="736"/>
      <c r="N186" s="736"/>
      <c r="O186" s="736"/>
      <c r="P186" s="736"/>
      <c r="Q186" s="736"/>
      <c r="R186" s="737"/>
    </row>
    <row r="187" spans="1:18" s="170" customFormat="1">
      <c r="A187" s="23"/>
      <c r="B187" s="2" t="s">
        <v>18</v>
      </c>
      <c r="C187" s="87" t="s">
        <v>19</v>
      </c>
      <c r="D187" s="87"/>
      <c r="E187" s="87"/>
      <c r="F187" s="87"/>
      <c r="G187" s="107" t="s">
        <v>16</v>
      </c>
      <c r="H187" s="37">
        <f>CEILING(H186,0.5)</f>
        <v>1557.5</v>
      </c>
      <c r="I187" s="108" t="str">
        <f>CONCATENATE("per ",C174)</f>
        <v>per sqm</v>
      </c>
      <c r="J187" s="735"/>
      <c r="K187" s="736"/>
      <c r="L187" s="736"/>
      <c r="M187" s="736"/>
      <c r="N187" s="736"/>
      <c r="O187" s="736"/>
      <c r="P187" s="736"/>
      <c r="Q187" s="736"/>
      <c r="R187" s="737"/>
    </row>
    <row r="188" spans="1:18" s="170" customFormat="1">
      <c r="A188" s="23"/>
      <c r="B188" s="2"/>
      <c r="C188" s="87"/>
      <c r="D188" s="87"/>
      <c r="E188" s="87"/>
      <c r="F188" s="87"/>
      <c r="G188" s="109" t="s">
        <v>17</v>
      </c>
      <c r="H188" s="37">
        <f>H187/exr</f>
        <v>11.98076923076923</v>
      </c>
      <c r="I188" s="108" t="str">
        <f>CONCATENATE("per ",C174)</f>
        <v>per sqm</v>
      </c>
      <c r="J188" s="738"/>
      <c r="K188" s="739"/>
      <c r="L188" s="739"/>
      <c r="M188" s="739"/>
      <c r="N188" s="739"/>
      <c r="O188" s="739"/>
      <c r="P188" s="739"/>
      <c r="Q188" s="739"/>
      <c r="R188" s="740"/>
    </row>
    <row r="189" spans="1:18" s="170" customFormat="1">
      <c r="A189" s="39"/>
      <c r="B189" s="40"/>
      <c r="C189" s="41"/>
      <c r="D189" s="41"/>
      <c r="E189" s="41"/>
      <c r="F189" s="41"/>
      <c r="G189" s="149" t="s">
        <v>460</v>
      </c>
      <c r="H189" s="150">
        <f>CEILING(SUM(M176)/H181,0.0025)</f>
        <v>4.7500000000000001E-2</v>
      </c>
      <c r="I189" s="42"/>
      <c r="J189" s="43"/>
      <c r="K189" s="43"/>
      <c r="L189" s="43"/>
      <c r="M189" s="43"/>
      <c r="N189" s="43"/>
      <c r="O189" s="43"/>
      <c r="P189" s="43"/>
      <c r="Q189" s="43"/>
      <c r="R189" s="44"/>
    </row>
    <row r="190" spans="1:18" s="170" customFormat="1"/>
    <row r="191" spans="1:18" s="170" customFormat="1">
      <c r="A191" s="693" t="s">
        <v>0</v>
      </c>
      <c r="B191" s="695" t="s">
        <v>1</v>
      </c>
      <c r="C191" s="695" t="s">
        <v>2</v>
      </c>
      <c r="D191" s="697" t="s">
        <v>3</v>
      </c>
      <c r="E191" s="698"/>
      <c r="F191" s="698"/>
      <c r="G191" s="698"/>
      <c r="H191" s="698"/>
      <c r="I191" s="699" t="s">
        <v>4</v>
      </c>
      <c r="J191" s="700"/>
      <c r="K191" s="700"/>
      <c r="L191" s="700"/>
      <c r="M191" s="700"/>
      <c r="N191" s="698" t="s">
        <v>5</v>
      </c>
      <c r="O191" s="698"/>
      <c r="P191" s="698"/>
      <c r="Q191" s="698"/>
      <c r="R191" s="698"/>
    </row>
    <row r="192" spans="1:18" s="170" customFormat="1">
      <c r="A192" s="694"/>
      <c r="B192" s="696"/>
      <c r="C192" s="696"/>
      <c r="D192" s="45" t="s">
        <v>6</v>
      </c>
      <c r="E192" s="46" t="s">
        <v>2</v>
      </c>
      <c r="F192" s="46" t="s">
        <v>7</v>
      </c>
      <c r="G192" s="46" t="s">
        <v>8</v>
      </c>
      <c r="H192" s="46" t="s">
        <v>9</v>
      </c>
      <c r="I192" s="46" t="s">
        <v>10</v>
      </c>
      <c r="J192" s="46" t="s">
        <v>2</v>
      </c>
      <c r="K192" s="46" t="s">
        <v>7</v>
      </c>
      <c r="L192" s="46" t="s">
        <v>8</v>
      </c>
      <c r="M192" s="47" t="s">
        <v>9</v>
      </c>
      <c r="N192" s="46" t="s">
        <v>10</v>
      </c>
      <c r="O192" s="46" t="s">
        <v>2</v>
      </c>
      <c r="P192" s="46" t="s">
        <v>7</v>
      </c>
      <c r="Q192" s="46" t="s">
        <v>8</v>
      </c>
      <c r="R192" s="46" t="s">
        <v>9</v>
      </c>
    </row>
    <row r="193" spans="1:18" s="170" customFormat="1">
      <c r="A193" s="33" t="s">
        <v>23</v>
      </c>
      <c r="B193" s="73" t="s">
        <v>624</v>
      </c>
      <c r="C193" s="31"/>
      <c r="D193" s="31"/>
      <c r="E193" s="31"/>
      <c r="F193" s="31"/>
      <c r="G193" s="31"/>
      <c r="H193" s="31"/>
      <c r="I193" s="31"/>
      <c r="J193" s="31"/>
      <c r="K193" s="31"/>
      <c r="L193" s="31"/>
      <c r="M193" s="31"/>
      <c r="N193" s="31"/>
      <c r="O193" s="31"/>
      <c r="P193" s="31"/>
      <c r="Q193" s="31"/>
      <c r="R193" s="32"/>
    </row>
    <row r="194" spans="1:18" s="170" customFormat="1">
      <c r="A194" s="34" t="e">
        <f>A173+1</f>
        <v>#REF!</v>
      </c>
      <c r="B194" s="730" t="s">
        <v>635</v>
      </c>
      <c r="C194" s="546">
        <v>10</v>
      </c>
      <c r="D194" s="87"/>
      <c r="E194" s="8"/>
      <c r="F194" s="88"/>
      <c r="G194" s="28"/>
      <c r="H194" s="28"/>
      <c r="I194" s="8"/>
      <c r="J194" s="8"/>
      <c r="K194" s="88"/>
      <c r="L194" s="28"/>
      <c r="M194" s="28"/>
      <c r="N194" s="8"/>
      <c r="O194" s="8"/>
      <c r="P194" s="88"/>
      <c r="Q194" s="28"/>
      <c r="R194" s="28"/>
    </row>
    <row r="195" spans="1:18" s="170" customFormat="1">
      <c r="A195" s="2"/>
      <c r="B195" s="731"/>
      <c r="C195" s="171" t="s">
        <v>127</v>
      </c>
      <c r="D195" s="87"/>
      <c r="E195" s="8"/>
      <c r="F195" s="88"/>
      <c r="G195" s="28"/>
      <c r="H195" s="28"/>
      <c r="I195" s="89"/>
      <c r="J195" s="8"/>
      <c r="K195" s="88"/>
      <c r="L195" s="28"/>
      <c r="M195" s="28"/>
      <c r="N195" s="8"/>
      <c r="O195" s="8"/>
      <c r="P195" s="88"/>
      <c r="Q195" s="28"/>
      <c r="R195" s="28"/>
    </row>
    <row r="196" spans="1:18" s="170" customFormat="1">
      <c r="A196" s="2"/>
      <c r="B196" s="731"/>
      <c r="C196" s="8"/>
      <c r="D196" s="87"/>
      <c r="E196" s="8"/>
      <c r="F196" s="88"/>
      <c r="G196" s="28"/>
      <c r="H196" s="28"/>
      <c r="I196" s="89"/>
      <c r="J196" s="8"/>
      <c r="K196" s="88"/>
      <c r="L196" s="28"/>
      <c r="M196" s="28"/>
      <c r="N196" s="8"/>
      <c r="O196" s="8"/>
      <c r="P196" s="88"/>
      <c r="Q196" s="28"/>
      <c r="R196" s="28"/>
    </row>
    <row r="197" spans="1:18" s="170" customFormat="1">
      <c r="A197" s="2"/>
      <c r="B197" s="731"/>
      <c r="C197" s="8"/>
      <c r="D197" s="87"/>
      <c r="E197" s="8"/>
      <c r="F197" s="88"/>
      <c r="G197" s="28"/>
      <c r="H197" s="28"/>
      <c r="I197" s="89"/>
      <c r="J197" s="8"/>
      <c r="K197" s="88"/>
      <c r="L197" s="28"/>
      <c r="M197" s="28"/>
      <c r="N197" s="8"/>
      <c r="O197" s="8"/>
      <c r="P197" s="88"/>
      <c r="Q197" s="28"/>
      <c r="R197" s="28"/>
    </row>
    <row r="198" spans="1:18" s="170" customFormat="1">
      <c r="A198" s="2"/>
      <c r="B198" s="731"/>
      <c r="C198" s="8"/>
      <c r="D198" s="87"/>
      <c r="E198" s="8"/>
      <c r="F198" s="88"/>
      <c r="G198" s="28"/>
      <c r="H198" s="28"/>
      <c r="I198" s="89"/>
      <c r="J198" s="8"/>
      <c r="K198" s="88"/>
      <c r="L198" s="28"/>
      <c r="M198" s="28"/>
      <c r="N198" s="8"/>
      <c r="O198" s="8"/>
      <c r="P198" s="88"/>
      <c r="Q198" s="28"/>
      <c r="R198" s="28"/>
    </row>
    <row r="199" spans="1:18" s="170" customFormat="1" ht="31.5" customHeight="1">
      <c r="A199" s="2"/>
      <c r="B199" s="731"/>
      <c r="C199" s="8"/>
      <c r="D199" s="87"/>
      <c r="E199" s="8"/>
      <c r="F199" s="88"/>
      <c r="G199" s="28"/>
      <c r="H199" s="28"/>
      <c r="I199" s="89"/>
      <c r="J199" s="8"/>
      <c r="K199" s="88"/>
      <c r="L199" s="28"/>
      <c r="M199" s="28"/>
      <c r="N199" s="8"/>
      <c r="O199" s="8"/>
      <c r="P199" s="88"/>
      <c r="Q199" s="28"/>
      <c r="R199" s="28"/>
    </row>
    <row r="200" spans="1:18" s="170" customFormat="1">
      <c r="A200" s="2"/>
      <c r="B200" s="172"/>
      <c r="C200" s="8"/>
      <c r="D200" s="87"/>
      <c r="E200" s="10"/>
      <c r="F200" s="91"/>
      <c r="G200" s="92"/>
      <c r="H200" s="92"/>
      <c r="I200" s="10"/>
      <c r="J200" s="10"/>
      <c r="K200" s="91"/>
      <c r="L200" s="28"/>
      <c r="M200" s="28"/>
      <c r="N200" s="8"/>
      <c r="O200" s="8"/>
      <c r="P200" s="91"/>
      <c r="Q200" s="28"/>
      <c r="R200" s="28"/>
    </row>
    <row r="201" spans="1:18" s="170" customFormat="1">
      <c r="A201" s="2"/>
      <c r="B201" s="2"/>
      <c r="C201" s="8"/>
      <c r="D201" s="93"/>
      <c r="E201" s="545"/>
      <c r="F201" s="95"/>
      <c r="G201" s="95" t="s">
        <v>20</v>
      </c>
      <c r="H201" s="96">
        <f>SUM(H194:H200)</f>
        <v>0</v>
      </c>
      <c r="I201" s="717"/>
      <c r="J201" s="717"/>
      <c r="K201" s="97"/>
      <c r="L201" s="95" t="s">
        <v>21</v>
      </c>
      <c r="M201" s="96">
        <f>SUM(M194:M200)</f>
        <v>0</v>
      </c>
      <c r="N201" s="98"/>
      <c r="O201" s="97"/>
      <c r="P201" s="97"/>
      <c r="Q201" s="95" t="s">
        <v>22</v>
      </c>
      <c r="R201" s="96">
        <f>SUM(R194:R200)</f>
        <v>0</v>
      </c>
    </row>
    <row r="202" spans="1:18" s="170" customFormat="1">
      <c r="A202" s="2"/>
      <c r="B202" s="99" t="s">
        <v>13</v>
      </c>
      <c r="C202" s="97"/>
      <c r="D202" s="97"/>
      <c r="E202" s="97"/>
      <c r="F202" s="97"/>
      <c r="G202" s="95"/>
      <c r="H202" s="100">
        <f>M201+R201+H201</f>
        <v>0</v>
      </c>
      <c r="I202" s="101"/>
      <c r="J202" s="97"/>
      <c r="K202" s="97"/>
      <c r="L202" s="95"/>
      <c r="M202" s="102"/>
      <c r="N202" s="97"/>
      <c r="O202" s="97"/>
      <c r="P202" s="97"/>
      <c r="Q202" s="97"/>
      <c r="R202" s="101"/>
    </row>
    <row r="203" spans="1:18" s="170" customFormat="1">
      <c r="A203" s="2"/>
      <c r="B203" s="2" t="s">
        <v>25</v>
      </c>
      <c r="C203" s="87"/>
      <c r="D203" s="87"/>
      <c r="E203" s="87"/>
      <c r="F203" s="87"/>
      <c r="G203" s="103"/>
      <c r="H203" s="104">
        <v>0</v>
      </c>
      <c r="I203" s="105"/>
      <c r="J203" s="87" t="s">
        <v>26</v>
      </c>
      <c r="K203" s="87"/>
      <c r="L203" s="103"/>
      <c r="M203" s="106"/>
      <c r="N203" s="87"/>
      <c r="O203" s="87"/>
      <c r="P203" s="87"/>
      <c r="Q203" s="87"/>
      <c r="R203" s="105"/>
    </row>
    <row r="204" spans="1:18" s="170" customFormat="1">
      <c r="A204" s="23"/>
      <c r="B204" s="2" t="s">
        <v>14</v>
      </c>
      <c r="C204" s="87"/>
      <c r="D204" s="87"/>
      <c r="E204" s="87"/>
      <c r="F204" s="87"/>
      <c r="G204" s="103"/>
      <c r="H204" s="104">
        <f>SUM(H202:H203)</f>
        <v>0</v>
      </c>
      <c r="I204" s="105"/>
      <c r="J204" s="732" t="s">
        <v>239</v>
      </c>
      <c r="K204" s="733"/>
      <c r="L204" s="733"/>
      <c r="M204" s="733"/>
      <c r="N204" s="733"/>
      <c r="O204" s="733"/>
      <c r="P204" s="733"/>
      <c r="Q204" s="733"/>
      <c r="R204" s="734"/>
    </row>
    <row r="205" spans="1:18" s="170" customFormat="1">
      <c r="A205" s="23"/>
      <c r="B205" s="2" t="s">
        <v>24</v>
      </c>
      <c r="C205" s="87"/>
      <c r="D205" s="87"/>
      <c r="E205" s="87"/>
      <c r="F205" s="87"/>
      <c r="G205" s="103"/>
      <c r="H205" s="104">
        <f>H204*15%</f>
        <v>0</v>
      </c>
      <c r="I205" s="105"/>
      <c r="J205" s="735"/>
      <c r="K205" s="736"/>
      <c r="L205" s="736"/>
      <c r="M205" s="736"/>
      <c r="N205" s="736"/>
      <c r="O205" s="736"/>
      <c r="P205" s="736"/>
      <c r="Q205" s="736"/>
      <c r="R205" s="737"/>
    </row>
    <row r="206" spans="1:18" s="170" customFormat="1">
      <c r="A206" s="23"/>
      <c r="B206" s="2" t="s">
        <v>15</v>
      </c>
      <c r="C206" s="87"/>
      <c r="D206" s="87"/>
      <c r="E206" s="87"/>
      <c r="F206" s="87"/>
      <c r="G206" s="107" t="s">
        <v>16</v>
      </c>
      <c r="H206" s="37">
        <f>H205+H204</f>
        <v>0</v>
      </c>
      <c r="I206" s="108" t="str">
        <f>CONCATENATE("per ",C194, C195)</f>
        <v>per 10sqm</v>
      </c>
      <c r="J206" s="735"/>
      <c r="K206" s="736"/>
      <c r="L206" s="736"/>
      <c r="M206" s="736"/>
      <c r="N206" s="736"/>
      <c r="O206" s="736"/>
      <c r="P206" s="736"/>
      <c r="Q206" s="736"/>
      <c r="R206" s="737"/>
    </row>
    <row r="207" spans="1:18" s="170" customFormat="1">
      <c r="A207" s="23"/>
      <c r="B207" s="2"/>
      <c r="C207" s="87"/>
      <c r="D207" s="87"/>
      <c r="E207" s="87"/>
      <c r="F207" s="87"/>
      <c r="G207" s="107" t="s">
        <v>16</v>
      </c>
      <c r="H207" s="37">
        <f>H206/C194</f>
        <v>0</v>
      </c>
      <c r="I207" s="108" t="str">
        <f>CONCATENATE("per ",C195)</f>
        <v>per sqm</v>
      </c>
      <c r="J207" s="735"/>
      <c r="K207" s="736"/>
      <c r="L207" s="736"/>
      <c r="M207" s="736"/>
      <c r="N207" s="736"/>
      <c r="O207" s="736"/>
      <c r="P207" s="736"/>
      <c r="Q207" s="736"/>
      <c r="R207" s="737"/>
    </row>
    <row r="208" spans="1:18" s="170" customFormat="1">
      <c r="A208" s="23"/>
      <c r="B208" s="2" t="s">
        <v>18</v>
      </c>
      <c r="C208" s="87" t="s">
        <v>19</v>
      </c>
      <c r="D208" s="87"/>
      <c r="E208" s="87"/>
      <c r="F208" s="87"/>
      <c r="G208" s="107" t="s">
        <v>16</v>
      </c>
      <c r="H208" s="37">
        <f>CEILING(H207,0.5)</f>
        <v>0</v>
      </c>
      <c r="I208" s="108" t="str">
        <f>CONCATENATE("per ",C195)</f>
        <v>per sqm</v>
      </c>
      <c r="J208" s="735"/>
      <c r="K208" s="736"/>
      <c r="L208" s="736"/>
      <c r="M208" s="736"/>
      <c r="N208" s="736"/>
      <c r="O208" s="736"/>
      <c r="P208" s="736"/>
      <c r="Q208" s="736"/>
      <c r="R208" s="737"/>
    </row>
    <row r="209" spans="1:18" s="170" customFormat="1">
      <c r="A209" s="23"/>
      <c r="B209" s="2"/>
      <c r="C209" s="87"/>
      <c r="D209" s="87"/>
      <c r="E209" s="87"/>
      <c r="F209" s="87"/>
      <c r="G209" s="109" t="s">
        <v>17</v>
      </c>
      <c r="H209" s="37">
        <f>H208/exr</f>
        <v>0</v>
      </c>
      <c r="I209" s="108" t="str">
        <f>CONCATENATE("per ",C195)</f>
        <v>per sqm</v>
      </c>
      <c r="J209" s="738"/>
      <c r="K209" s="739"/>
      <c r="L209" s="739"/>
      <c r="M209" s="739"/>
      <c r="N209" s="739"/>
      <c r="O209" s="739"/>
      <c r="P209" s="739"/>
      <c r="Q209" s="739"/>
      <c r="R209" s="740"/>
    </row>
    <row r="210" spans="1:18" s="170" customFormat="1">
      <c r="A210" s="39"/>
      <c r="B210" s="40"/>
      <c r="C210" s="41"/>
      <c r="D210" s="41"/>
      <c r="E210" s="41"/>
      <c r="F210" s="41"/>
      <c r="G210" s="149" t="s">
        <v>460</v>
      </c>
      <c r="H210" s="150">
        <f>CEILING(0,0.0025)</f>
        <v>0</v>
      </c>
      <c r="I210" s="42"/>
      <c r="J210" s="43"/>
      <c r="K210" s="43"/>
      <c r="L210" s="43"/>
      <c r="M210" s="43"/>
      <c r="N210" s="43"/>
      <c r="O210" s="43"/>
      <c r="P210" s="43"/>
      <c r="Q210" s="43"/>
      <c r="R210" s="44"/>
    </row>
    <row r="211" spans="1:18" s="170" customFormat="1"/>
    <row r="212" spans="1:18" s="170" customFormat="1">
      <c r="A212" s="693" t="s">
        <v>0</v>
      </c>
      <c r="B212" s="695" t="s">
        <v>1</v>
      </c>
      <c r="C212" s="695" t="s">
        <v>2</v>
      </c>
      <c r="D212" s="697" t="s">
        <v>3</v>
      </c>
      <c r="E212" s="698"/>
      <c r="F212" s="698"/>
      <c r="G212" s="698"/>
      <c r="H212" s="698"/>
      <c r="I212" s="699" t="s">
        <v>4</v>
      </c>
      <c r="J212" s="700"/>
      <c r="K212" s="700"/>
      <c r="L212" s="700"/>
      <c r="M212" s="700"/>
      <c r="N212" s="698" t="s">
        <v>5</v>
      </c>
      <c r="O212" s="698"/>
      <c r="P212" s="698"/>
      <c r="Q212" s="698"/>
      <c r="R212" s="698"/>
    </row>
    <row r="213" spans="1:18" s="170" customFormat="1">
      <c r="A213" s="694"/>
      <c r="B213" s="696"/>
      <c r="C213" s="696"/>
      <c r="D213" s="45" t="s">
        <v>6</v>
      </c>
      <c r="E213" s="46" t="s">
        <v>2</v>
      </c>
      <c r="F213" s="46" t="s">
        <v>7</v>
      </c>
      <c r="G213" s="46" t="s">
        <v>8</v>
      </c>
      <c r="H213" s="46" t="s">
        <v>9</v>
      </c>
      <c r="I213" s="46" t="s">
        <v>10</v>
      </c>
      <c r="J213" s="46" t="s">
        <v>2</v>
      </c>
      <c r="K213" s="46" t="s">
        <v>7</v>
      </c>
      <c r="L213" s="46" t="s">
        <v>8</v>
      </c>
      <c r="M213" s="47" t="s">
        <v>9</v>
      </c>
      <c r="N213" s="46" t="s">
        <v>10</v>
      </c>
      <c r="O213" s="46" t="s">
        <v>2</v>
      </c>
      <c r="P213" s="46" t="s">
        <v>7</v>
      </c>
      <c r="Q213" s="46" t="s">
        <v>8</v>
      </c>
      <c r="R213" s="46" t="s">
        <v>9</v>
      </c>
    </row>
    <row r="214" spans="1:18" s="170" customFormat="1">
      <c r="A214" s="33" t="s">
        <v>23</v>
      </c>
      <c r="B214" s="73" t="s">
        <v>625</v>
      </c>
      <c r="C214" s="31"/>
      <c r="D214" s="31"/>
      <c r="E214" s="31"/>
      <c r="F214" s="31"/>
      <c r="G214" s="31"/>
      <c r="H214" s="31"/>
      <c r="I214" s="31"/>
      <c r="J214" s="31"/>
      <c r="K214" s="31"/>
      <c r="L214" s="31"/>
      <c r="M214" s="31"/>
      <c r="N214" s="31"/>
      <c r="O214" s="31"/>
      <c r="P214" s="31"/>
      <c r="Q214" s="31"/>
      <c r="R214" s="32"/>
    </row>
    <row r="215" spans="1:18" s="170" customFormat="1">
      <c r="A215" s="34" t="e">
        <f>A194+1</f>
        <v>#REF!</v>
      </c>
      <c r="B215" s="730" t="s">
        <v>626</v>
      </c>
      <c r="C215" s="546">
        <v>10</v>
      </c>
      <c r="D215" s="87"/>
      <c r="E215" s="8"/>
      <c r="F215" s="88"/>
      <c r="G215" s="28"/>
      <c r="H215" s="28"/>
      <c r="I215" s="8"/>
      <c r="J215" s="8"/>
      <c r="K215" s="88"/>
      <c r="L215" s="28"/>
      <c r="M215" s="28"/>
      <c r="N215" s="8"/>
      <c r="O215" s="8"/>
      <c r="P215" s="88"/>
      <c r="Q215" s="28"/>
      <c r="R215" s="28"/>
    </row>
    <row r="216" spans="1:18" s="170" customFormat="1">
      <c r="A216" s="2"/>
      <c r="B216" s="731"/>
      <c r="C216" s="171" t="s">
        <v>127</v>
      </c>
      <c r="D216" s="87" t="s">
        <v>96</v>
      </c>
      <c r="E216" s="8" t="s">
        <v>81</v>
      </c>
      <c r="F216" s="88">
        <v>3.6</v>
      </c>
      <c r="G216" s="28">
        <f>sr</f>
        <v>1100</v>
      </c>
      <c r="H216" s="28">
        <f>F216*G216</f>
        <v>3960</v>
      </c>
      <c r="I216" s="89" t="s">
        <v>234</v>
      </c>
      <c r="J216" s="8" t="s">
        <v>127</v>
      </c>
      <c r="K216" s="88">
        <f>11/6</f>
        <v>1.8333333333333333</v>
      </c>
      <c r="L216" s="28">
        <f>plywood</f>
        <v>420.36</v>
      </c>
      <c r="M216" s="28">
        <f>K216*L216</f>
        <v>770.66</v>
      </c>
      <c r="N216" s="8"/>
      <c r="O216" s="8"/>
      <c r="P216" s="88"/>
      <c r="Q216" s="28"/>
      <c r="R216" s="28"/>
    </row>
    <row r="217" spans="1:18" s="170" customFormat="1">
      <c r="A217" s="2"/>
      <c r="B217" s="731"/>
      <c r="C217" s="8"/>
      <c r="D217" s="87" t="s">
        <v>97</v>
      </c>
      <c r="E217" s="8" t="s">
        <v>81</v>
      </c>
      <c r="F217" s="88">
        <v>3.3</v>
      </c>
      <c r="G217" s="28">
        <f>ur</f>
        <v>850</v>
      </c>
      <c r="H217" s="28">
        <f>F217*G217</f>
        <v>2805</v>
      </c>
      <c r="I217" s="89" t="s">
        <v>231</v>
      </c>
      <c r="J217" s="8" t="s">
        <v>11</v>
      </c>
      <c r="K217" s="88">
        <f>0.75/12</f>
        <v>6.25E-2</v>
      </c>
      <c r="L217" s="154">
        <f>AVERAGE(timber,planks)</f>
        <v>64135.06</v>
      </c>
      <c r="M217" s="28">
        <f>K217*L217</f>
        <v>4008.4412499999999</v>
      </c>
      <c r="N217" s="8"/>
      <c r="O217" s="8"/>
      <c r="P217" s="88"/>
      <c r="Q217" s="28"/>
      <c r="R217" s="28"/>
    </row>
    <row r="218" spans="1:18" s="170" customFormat="1">
      <c r="A218" s="2"/>
      <c r="B218" s="731"/>
      <c r="C218" s="8"/>
      <c r="D218" s="87"/>
      <c r="E218" s="8"/>
      <c r="F218" s="88"/>
      <c r="G218" s="28"/>
      <c r="H218" s="28"/>
      <c r="I218" s="89" t="s">
        <v>232</v>
      </c>
      <c r="J218" s="8" t="s">
        <v>28</v>
      </c>
      <c r="K218" s="88">
        <v>5</v>
      </c>
      <c r="L218" s="28">
        <f>nails/1000</f>
        <v>124.14419000000001</v>
      </c>
      <c r="M218" s="28">
        <f>K218*L218</f>
        <v>620.72095000000002</v>
      </c>
      <c r="N218" s="8"/>
      <c r="O218" s="8"/>
      <c r="P218" s="88"/>
      <c r="Q218" s="28"/>
      <c r="R218" s="28"/>
    </row>
    <row r="219" spans="1:18" s="170" customFormat="1">
      <c r="A219" s="2"/>
      <c r="B219" s="731"/>
      <c r="C219" s="8"/>
      <c r="D219" s="87"/>
      <c r="E219" s="8"/>
      <c r="F219" s="88"/>
      <c r="G219" s="28"/>
      <c r="H219" s="28"/>
      <c r="I219" s="89"/>
      <c r="J219" s="8"/>
      <c r="K219" s="88"/>
      <c r="L219" s="28"/>
      <c r="M219" s="28"/>
      <c r="N219" s="8"/>
      <c r="O219" s="8"/>
      <c r="P219" s="88"/>
      <c r="Q219" s="28"/>
      <c r="R219" s="28"/>
    </row>
    <row r="220" spans="1:18" s="170" customFormat="1" ht="18" customHeight="1">
      <c r="A220" s="2"/>
      <c r="B220" s="731"/>
      <c r="C220" s="8"/>
      <c r="D220" s="87"/>
      <c r="E220" s="8"/>
      <c r="F220" s="88"/>
      <c r="G220" s="28"/>
      <c r="H220" s="28"/>
      <c r="I220" s="89"/>
      <c r="J220" s="8"/>
      <c r="K220" s="88"/>
      <c r="L220" s="28"/>
      <c r="M220" s="28"/>
      <c r="N220" s="8"/>
      <c r="O220" s="8"/>
      <c r="P220" s="88"/>
      <c r="Q220" s="28"/>
      <c r="R220" s="28"/>
    </row>
    <row r="221" spans="1:18" s="170" customFormat="1">
      <c r="A221" s="2"/>
      <c r="B221" s="172"/>
      <c r="C221" s="8"/>
      <c r="D221" s="87"/>
      <c r="E221" s="10"/>
      <c r="F221" s="91"/>
      <c r="G221" s="92"/>
      <c r="H221" s="92"/>
      <c r="I221" s="10"/>
      <c r="J221" s="10"/>
      <c r="K221" s="91"/>
      <c r="L221" s="28"/>
      <c r="M221" s="28"/>
      <c r="N221" s="8"/>
      <c r="O221" s="8"/>
      <c r="P221" s="91"/>
      <c r="Q221" s="28"/>
      <c r="R221" s="28"/>
    </row>
    <row r="222" spans="1:18" s="170" customFormat="1">
      <c r="A222" s="2"/>
      <c r="B222" s="2"/>
      <c r="C222" s="8"/>
      <c r="D222" s="93"/>
      <c r="E222" s="545"/>
      <c r="F222" s="95"/>
      <c r="G222" s="95" t="s">
        <v>20</v>
      </c>
      <c r="H222" s="96">
        <f>SUM(H215:H221)</f>
        <v>6765</v>
      </c>
      <c r="I222" s="717"/>
      <c r="J222" s="717"/>
      <c r="K222" s="97"/>
      <c r="L222" s="95" t="s">
        <v>21</v>
      </c>
      <c r="M222" s="96">
        <f>SUM(M215:M221)</f>
        <v>5399.8221999999996</v>
      </c>
      <c r="N222" s="98"/>
      <c r="O222" s="97"/>
      <c r="P222" s="97"/>
      <c r="Q222" s="95" t="s">
        <v>22</v>
      </c>
      <c r="R222" s="96">
        <f>SUM(R215:R221)</f>
        <v>0</v>
      </c>
    </row>
    <row r="223" spans="1:18" s="170" customFormat="1">
      <c r="A223" s="2"/>
      <c r="B223" s="99" t="s">
        <v>13</v>
      </c>
      <c r="C223" s="97"/>
      <c r="D223" s="97"/>
      <c r="E223" s="97"/>
      <c r="F223" s="97"/>
      <c r="G223" s="95"/>
      <c r="H223" s="100">
        <f>M222+R222+H222</f>
        <v>12164.822199999999</v>
      </c>
      <c r="I223" s="101"/>
      <c r="J223" s="97"/>
      <c r="K223" s="97"/>
      <c r="L223" s="95"/>
      <c r="M223" s="102"/>
      <c r="N223" s="97"/>
      <c r="O223" s="97"/>
      <c r="P223" s="97"/>
      <c r="Q223" s="97"/>
      <c r="R223" s="101"/>
    </row>
    <row r="224" spans="1:18" s="170" customFormat="1">
      <c r="A224" s="2"/>
      <c r="B224" s="2" t="s">
        <v>25</v>
      </c>
      <c r="C224" s="87"/>
      <c r="D224" s="87"/>
      <c r="E224" s="87"/>
      <c r="F224" s="87"/>
      <c r="G224" s="103"/>
      <c r="H224" s="104">
        <v>0</v>
      </c>
      <c r="I224" s="105"/>
      <c r="J224" s="87" t="s">
        <v>26</v>
      </c>
      <c r="K224" s="87"/>
      <c r="L224" s="103"/>
      <c r="M224" s="106"/>
      <c r="N224" s="87"/>
      <c r="O224" s="87"/>
      <c r="P224" s="87"/>
      <c r="Q224" s="87"/>
      <c r="R224" s="105"/>
    </row>
    <row r="225" spans="1:18" s="170" customFormat="1">
      <c r="A225" s="23"/>
      <c r="B225" s="2" t="s">
        <v>14</v>
      </c>
      <c r="C225" s="87"/>
      <c r="D225" s="87"/>
      <c r="E225" s="87"/>
      <c r="F225" s="87"/>
      <c r="G225" s="103"/>
      <c r="H225" s="104">
        <f>SUM(H223:H224)</f>
        <v>12164.822199999999</v>
      </c>
      <c r="I225" s="105"/>
      <c r="J225" s="732"/>
      <c r="K225" s="733"/>
      <c r="L225" s="733"/>
      <c r="M225" s="733"/>
      <c r="N225" s="733"/>
      <c r="O225" s="733"/>
      <c r="P225" s="733"/>
      <c r="Q225" s="733"/>
      <c r="R225" s="734"/>
    </row>
    <row r="226" spans="1:18" s="170" customFormat="1">
      <c r="A226" s="23"/>
      <c r="B226" s="2" t="s">
        <v>24</v>
      </c>
      <c r="C226" s="87"/>
      <c r="D226" s="87"/>
      <c r="E226" s="87"/>
      <c r="F226" s="87"/>
      <c r="G226" s="103"/>
      <c r="H226" s="104">
        <f>H225*15%</f>
        <v>1824.7233299999998</v>
      </c>
      <c r="I226" s="105"/>
      <c r="J226" s="735"/>
      <c r="K226" s="736"/>
      <c r="L226" s="736"/>
      <c r="M226" s="736"/>
      <c r="N226" s="736"/>
      <c r="O226" s="736"/>
      <c r="P226" s="736"/>
      <c r="Q226" s="736"/>
      <c r="R226" s="737"/>
    </row>
    <row r="227" spans="1:18" s="170" customFormat="1">
      <c r="A227" s="23"/>
      <c r="B227" s="2" t="s">
        <v>15</v>
      </c>
      <c r="C227" s="87"/>
      <c r="D227" s="87"/>
      <c r="E227" s="87"/>
      <c r="F227" s="87"/>
      <c r="G227" s="107" t="s">
        <v>16</v>
      </c>
      <c r="H227" s="37">
        <f>H226+H225</f>
        <v>13989.545529999999</v>
      </c>
      <c r="I227" s="108" t="str">
        <f>CONCATENATE("per ",C215, C216)</f>
        <v>per 10sqm</v>
      </c>
      <c r="J227" s="735"/>
      <c r="K227" s="736"/>
      <c r="L227" s="736"/>
      <c r="M227" s="736"/>
      <c r="N227" s="736"/>
      <c r="O227" s="736"/>
      <c r="P227" s="736"/>
      <c r="Q227" s="736"/>
      <c r="R227" s="737"/>
    </row>
    <row r="228" spans="1:18" s="170" customFormat="1">
      <c r="A228" s="23"/>
      <c r="B228" s="2"/>
      <c r="C228" s="87"/>
      <c r="D228" s="87"/>
      <c r="E228" s="87"/>
      <c r="F228" s="87"/>
      <c r="G228" s="107" t="s">
        <v>16</v>
      </c>
      <c r="H228" s="37">
        <f>H227/C215</f>
        <v>1398.954553</v>
      </c>
      <c r="I228" s="108" t="str">
        <f>CONCATENATE("per ",C216)</f>
        <v>per sqm</v>
      </c>
      <c r="J228" s="735"/>
      <c r="K228" s="736"/>
      <c r="L228" s="736"/>
      <c r="M228" s="736"/>
      <c r="N228" s="736"/>
      <c r="O228" s="736"/>
      <c r="P228" s="736"/>
      <c r="Q228" s="736"/>
      <c r="R228" s="737"/>
    </row>
    <row r="229" spans="1:18" s="170" customFormat="1">
      <c r="A229" s="23"/>
      <c r="B229" s="2" t="s">
        <v>18</v>
      </c>
      <c r="C229" s="87" t="s">
        <v>19</v>
      </c>
      <c r="D229" s="87"/>
      <c r="E229" s="87"/>
      <c r="F229" s="87"/>
      <c r="G229" s="107" t="s">
        <v>16</v>
      </c>
      <c r="H229" s="37">
        <f>CEILING(H228,0.5)</f>
        <v>1399</v>
      </c>
      <c r="I229" s="108" t="str">
        <f>CONCATENATE("per ",C216)</f>
        <v>per sqm</v>
      </c>
      <c r="J229" s="735"/>
      <c r="K229" s="736"/>
      <c r="L229" s="736"/>
      <c r="M229" s="736"/>
      <c r="N229" s="736"/>
      <c r="O229" s="736"/>
      <c r="P229" s="736"/>
      <c r="Q229" s="736"/>
      <c r="R229" s="737"/>
    </row>
    <row r="230" spans="1:18" s="170" customFormat="1">
      <c r="A230" s="23"/>
      <c r="B230" s="2"/>
      <c r="C230" s="87"/>
      <c r="D230" s="87"/>
      <c r="E230" s="87"/>
      <c r="F230" s="87"/>
      <c r="G230" s="109" t="s">
        <v>17</v>
      </c>
      <c r="H230" s="37">
        <f>H229/exr</f>
        <v>10.761538461538462</v>
      </c>
      <c r="I230" s="108" t="str">
        <f>CONCATENATE("per ",C216)</f>
        <v>per sqm</v>
      </c>
      <c r="J230" s="738"/>
      <c r="K230" s="739"/>
      <c r="L230" s="739"/>
      <c r="M230" s="739"/>
      <c r="N230" s="739"/>
      <c r="O230" s="739"/>
      <c r="P230" s="739"/>
      <c r="Q230" s="739"/>
      <c r="R230" s="740"/>
    </row>
    <row r="231" spans="1:18" s="170" customFormat="1">
      <c r="A231" s="39"/>
      <c r="B231" s="40"/>
      <c r="C231" s="41"/>
      <c r="D231" s="41"/>
      <c r="E231" s="41"/>
      <c r="F231" s="41"/>
      <c r="G231" s="149" t="s">
        <v>460</v>
      </c>
      <c r="H231" s="150">
        <f>CEILING(SUM(M218)/H223,0.0025)</f>
        <v>5.2499999999999998E-2</v>
      </c>
      <c r="I231" s="42"/>
      <c r="J231" s="43"/>
      <c r="K231" s="43"/>
      <c r="L231" s="43"/>
      <c r="M231" s="43"/>
      <c r="N231" s="43"/>
      <c r="O231" s="43"/>
      <c r="P231" s="43"/>
      <c r="Q231" s="43"/>
      <c r="R231" s="44"/>
    </row>
    <row r="232" spans="1:18" s="170" customFormat="1"/>
    <row r="233" spans="1:18" s="170" customFormat="1">
      <c r="A233" s="693" t="s">
        <v>0</v>
      </c>
      <c r="B233" s="695" t="s">
        <v>1</v>
      </c>
      <c r="C233" s="695" t="s">
        <v>2</v>
      </c>
      <c r="D233" s="697" t="s">
        <v>3</v>
      </c>
      <c r="E233" s="698"/>
      <c r="F233" s="698"/>
      <c r="G233" s="698"/>
      <c r="H233" s="698"/>
      <c r="I233" s="699" t="s">
        <v>4</v>
      </c>
      <c r="J233" s="700"/>
      <c r="K233" s="700"/>
      <c r="L233" s="700"/>
      <c r="M233" s="700"/>
      <c r="N233" s="698" t="s">
        <v>5</v>
      </c>
      <c r="O233" s="698"/>
      <c r="P233" s="698"/>
      <c r="Q233" s="698"/>
      <c r="R233" s="698"/>
    </row>
    <row r="234" spans="1:18" s="170" customFormat="1">
      <c r="A234" s="694"/>
      <c r="B234" s="696"/>
      <c r="C234" s="696"/>
      <c r="D234" s="45" t="s">
        <v>6</v>
      </c>
      <c r="E234" s="46" t="s">
        <v>2</v>
      </c>
      <c r="F234" s="46" t="s">
        <v>7</v>
      </c>
      <c r="G234" s="46" t="s">
        <v>8</v>
      </c>
      <c r="H234" s="46" t="s">
        <v>9</v>
      </c>
      <c r="I234" s="46" t="s">
        <v>10</v>
      </c>
      <c r="J234" s="46" t="s">
        <v>2</v>
      </c>
      <c r="K234" s="46" t="s">
        <v>7</v>
      </c>
      <c r="L234" s="46" t="s">
        <v>8</v>
      </c>
      <c r="M234" s="47" t="s">
        <v>9</v>
      </c>
      <c r="N234" s="46" t="s">
        <v>10</v>
      </c>
      <c r="O234" s="46" t="s">
        <v>2</v>
      </c>
      <c r="P234" s="46" t="s">
        <v>7</v>
      </c>
      <c r="Q234" s="46" t="s">
        <v>8</v>
      </c>
      <c r="R234" s="46" t="s">
        <v>9</v>
      </c>
    </row>
    <row r="235" spans="1:18" s="170" customFormat="1">
      <c r="A235" s="33" t="s">
        <v>23</v>
      </c>
      <c r="B235" s="73" t="s">
        <v>627</v>
      </c>
      <c r="C235" s="31"/>
      <c r="D235" s="31"/>
      <c r="E235" s="31"/>
      <c r="F235" s="31"/>
      <c r="G235" s="31"/>
      <c r="H235" s="31"/>
      <c r="I235" s="31"/>
      <c r="J235" s="31"/>
      <c r="K235" s="31"/>
      <c r="L235" s="31"/>
      <c r="M235" s="31"/>
      <c r="N235" s="31"/>
      <c r="O235" s="31"/>
      <c r="P235" s="31"/>
      <c r="Q235" s="31"/>
      <c r="R235" s="32"/>
    </row>
    <row r="236" spans="1:18" s="170" customFormat="1">
      <c r="A236" s="34" t="e">
        <f>A215+1</f>
        <v>#REF!</v>
      </c>
      <c r="B236" s="730" t="s">
        <v>628</v>
      </c>
      <c r="C236" s="546">
        <v>10</v>
      </c>
      <c r="D236" s="87"/>
      <c r="E236" s="8"/>
      <c r="F236" s="88"/>
      <c r="G236" s="28"/>
      <c r="H236" s="28"/>
      <c r="I236" s="8"/>
      <c r="J236" s="8"/>
      <c r="K236" s="88"/>
      <c r="L236" s="28"/>
      <c r="M236" s="28"/>
      <c r="N236" s="8"/>
      <c r="O236" s="8"/>
      <c r="P236" s="88"/>
      <c r="Q236" s="28"/>
      <c r="R236" s="28"/>
    </row>
    <row r="237" spans="1:18" s="170" customFormat="1">
      <c r="A237" s="2"/>
      <c r="B237" s="731"/>
      <c r="C237" s="171" t="s">
        <v>127</v>
      </c>
      <c r="D237" s="87" t="s">
        <v>96</v>
      </c>
      <c r="E237" s="8" t="s">
        <v>81</v>
      </c>
      <c r="F237" s="88">
        <v>4.2</v>
      </c>
      <c r="G237" s="28">
        <f>sr</f>
        <v>1100</v>
      </c>
      <c r="H237" s="28">
        <f>F237*G237</f>
        <v>4620</v>
      </c>
      <c r="I237" s="89" t="s">
        <v>234</v>
      </c>
      <c r="J237" s="8" t="s">
        <v>127</v>
      </c>
      <c r="K237" s="88">
        <f>11/6</f>
        <v>1.8333333333333333</v>
      </c>
      <c r="L237" s="28">
        <f>plywood</f>
        <v>420.36</v>
      </c>
      <c r="M237" s="28">
        <f>K237*L237</f>
        <v>770.66</v>
      </c>
      <c r="N237" s="8"/>
      <c r="O237" s="8"/>
      <c r="P237" s="88"/>
      <c r="Q237" s="28"/>
      <c r="R237" s="28"/>
    </row>
    <row r="238" spans="1:18" s="170" customFormat="1">
      <c r="A238" s="2"/>
      <c r="B238" s="731"/>
      <c r="C238" s="8"/>
      <c r="D238" s="87" t="s">
        <v>97</v>
      </c>
      <c r="E238" s="8" t="s">
        <v>81</v>
      </c>
      <c r="F238" s="88">
        <v>4.2</v>
      </c>
      <c r="G238" s="28">
        <f>ur</f>
        <v>850</v>
      </c>
      <c r="H238" s="28">
        <f>F238*G238</f>
        <v>3570</v>
      </c>
      <c r="I238" s="89" t="s">
        <v>231</v>
      </c>
      <c r="J238" s="8" t="s">
        <v>11</v>
      </c>
      <c r="K238" s="88">
        <f>1/12</f>
        <v>8.3333333333333329E-2</v>
      </c>
      <c r="L238" s="154">
        <f>AVERAGE(timber,planks)</f>
        <v>64135.06</v>
      </c>
      <c r="M238" s="28">
        <f>K238*L238</f>
        <v>5344.5883333333331</v>
      </c>
      <c r="N238" s="8"/>
      <c r="O238" s="8"/>
      <c r="P238" s="88"/>
      <c r="Q238" s="28"/>
      <c r="R238" s="28"/>
    </row>
    <row r="239" spans="1:18" s="170" customFormat="1">
      <c r="A239" s="2"/>
      <c r="B239" s="731"/>
      <c r="C239" s="8"/>
      <c r="D239" s="87"/>
      <c r="E239" s="8"/>
      <c r="F239" s="88"/>
      <c r="G239" s="28"/>
      <c r="H239" s="28"/>
      <c r="I239" s="89" t="s">
        <v>232</v>
      </c>
      <c r="J239" s="8" t="s">
        <v>28</v>
      </c>
      <c r="K239" s="88">
        <v>6.5</v>
      </c>
      <c r="L239" s="28">
        <f>nails/1000</f>
        <v>124.14419000000001</v>
      </c>
      <c r="M239" s="28">
        <f>K239*L239</f>
        <v>806.9372350000001</v>
      </c>
      <c r="N239" s="8"/>
      <c r="O239" s="8"/>
      <c r="P239" s="88"/>
      <c r="Q239" s="28"/>
      <c r="R239" s="28"/>
    </row>
    <row r="240" spans="1:18" s="170" customFormat="1">
      <c r="A240" s="2"/>
      <c r="B240" s="731"/>
      <c r="C240" s="8"/>
      <c r="D240" s="87"/>
      <c r="E240" s="8"/>
      <c r="F240" s="88"/>
      <c r="G240" s="28"/>
      <c r="H240" s="28"/>
      <c r="I240" s="89"/>
      <c r="J240" s="8"/>
      <c r="K240" s="88"/>
      <c r="L240" s="28"/>
      <c r="M240" s="28"/>
      <c r="N240" s="8"/>
      <c r="O240" s="8"/>
      <c r="P240" s="88"/>
      <c r="Q240" s="28"/>
      <c r="R240" s="28"/>
    </row>
    <row r="241" spans="1:18" s="170" customFormat="1" ht="30.75" customHeight="1">
      <c r="A241" s="2"/>
      <c r="B241" s="731"/>
      <c r="C241" s="8"/>
      <c r="D241" s="87"/>
      <c r="E241" s="8"/>
      <c r="F241" s="88"/>
      <c r="G241" s="28"/>
      <c r="H241" s="28"/>
      <c r="I241" s="89"/>
      <c r="J241" s="8"/>
      <c r="K241" s="88"/>
      <c r="L241" s="28"/>
      <c r="M241" s="28"/>
      <c r="N241" s="8"/>
      <c r="O241" s="8"/>
      <c r="P241" s="88"/>
      <c r="Q241" s="28"/>
      <c r="R241" s="28"/>
    </row>
    <row r="242" spans="1:18" s="170" customFormat="1">
      <c r="A242" s="2"/>
      <c r="B242" s="172"/>
      <c r="C242" s="8"/>
      <c r="D242" s="87"/>
      <c r="E242" s="10"/>
      <c r="F242" s="91"/>
      <c r="G242" s="92"/>
      <c r="H242" s="92"/>
      <c r="I242" s="10"/>
      <c r="J242" s="10"/>
      <c r="K242" s="91"/>
      <c r="L242" s="28"/>
      <c r="M242" s="28"/>
      <c r="N242" s="8"/>
      <c r="O242" s="8"/>
      <c r="P242" s="91"/>
      <c r="Q242" s="28"/>
      <c r="R242" s="28"/>
    </row>
    <row r="243" spans="1:18" s="170" customFormat="1">
      <c r="A243" s="2"/>
      <c r="B243" s="2"/>
      <c r="C243" s="8"/>
      <c r="D243" s="93"/>
      <c r="E243" s="545"/>
      <c r="F243" s="95"/>
      <c r="G243" s="95" t="s">
        <v>20</v>
      </c>
      <c r="H243" s="96">
        <f>SUM(H236:H242)</f>
        <v>8190</v>
      </c>
      <c r="I243" s="717"/>
      <c r="J243" s="717"/>
      <c r="K243" s="97"/>
      <c r="L243" s="95" t="s">
        <v>21</v>
      </c>
      <c r="M243" s="96">
        <f>SUM(M236:M242)</f>
        <v>6922.1855683333333</v>
      </c>
      <c r="N243" s="98"/>
      <c r="O243" s="97"/>
      <c r="P243" s="97"/>
      <c r="Q243" s="95" t="s">
        <v>22</v>
      </c>
      <c r="R243" s="96">
        <f>SUM(R236:R242)</f>
        <v>0</v>
      </c>
    </row>
    <row r="244" spans="1:18" s="170" customFormat="1">
      <c r="A244" s="2"/>
      <c r="B244" s="99" t="s">
        <v>13</v>
      </c>
      <c r="C244" s="97"/>
      <c r="D244" s="97"/>
      <c r="E244" s="97"/>
      <c r="F244" s="97"/>
      <c r="G244" s="95"/>
      <c r="H244" s="100">
        <f>M243+R243+H243</f>
        <v>15112.185568333334</v>
      </c>
      <c r="I244" s="101"/>
      <c r="J244" s="97"/>
      <c r="K244" s="97"/>
      <c r="L244" s="95"/>
      <c r="M244" s="102"/>
      <c r="N244" s="97"/>
      <c r="O244" s="97"/>
      <c r="P244" s="97"/>
      <c r="Q244" s="97"/>
      <c r="R244" s="101"/>
    </row>
    <row r="245" spans="1:18" s="170" customFormat="1">
      <c r="A245" s="2"/>
      <c r="B245" s="2" t="s">
        <v>25</v>
      </c>
      <c r="C245" s="87"/>
      <c r="D245" s="87"/>
      <c r="E245" s="87"/>
      <c r="F245" s="87"/>
      <c r="G245" s="103"/>
      <c r="H245" s="104">
        <v>0</v>
      </c>
      <c r="I245" s="105"/>
      <c r="J245" s="87" t="s">
        <v>26</v>
      </c>
      <c r="K245" s="87"/>
      <c r="L245" s="103"/>
      <c r="M245" s="106"/>
      <c r="N245" s="87"/>
      <c r="O245" s="87"/>
      <c r="P245" s="87"/>
      <c r="Q245" s="87"/>
      <c r="R245" s="105"/>
    </row>
    <row r="246" spans="1:18" s="170" customFormat="1">
      <c r="A246" s="23"/>
      <c r="B246" s="2" t="s">
        <v>14</v>
      </c>
      <c r="C246" s="87"/>
      <c r="D246" s="87"/>
      <c r="E246" s="87"/>
      <c r="F246" s="87"/>
      <c r="G246" s="103"/>
      <c r="H246" s="104">
        <f>SUM(H244:H245)</f>
        <v>15112.185568333334</v>
      </c>
      <c r="I246" s="105"/>
      <c r="J246" s="732"/>
      <c r="K246" s="733"/>
      <c r="L246" s="733"/>
      <c r="M246" s="733"/>
      <c r="N246" s="733"/>
      <c r="O246" s="733"/>
      <c r="P246" s="733"/>
      <c r="Q246" s="733"/>
      <c r="R246" s="734"/>
    </row>
    <row r="247" spans="1:18" s="170" customFormat="1">
      <c r="A247" s="23"/>
      <c r="B247" s="2" t="s">
        <v>24</v>
      </c>
      <c r="C247" s="87"/>
      <c r="D247" s="87"/>
      <c r="E247" s="87"/>
      <c r="F247" s="87"/>
      <c r="G247" s="103"/>
      <c r="H247" s="104">
        <f>H246*15%</f>
        <v>2266.8278352500001</v>
      </c>
      <c r="I247" s="105"/>
      <c r="J247" s="735"/>
      <c r="K247" s="736"/>
      <c r="L247" s="736"/>
      <c r="M247" s="736"/>
      <c r="N247" s="736"/>
      <c r="O247" s="736"/>
      <c r="P247" s="736"/>
      <c r="Q247" s="736"/>
      <c r="R247" s="737"/>
    </row>
    <row r="248" spans="1:18" s="170" customFormat="1">
      <c r="A248" s="23"/>
      <c r="B248" s="2" t="s">
        <v>15</v>
      </c>
      <c r="C248" s="87"/>
      <c r="D248" s="87"/>
      <c r="E248" s="87"/>
      <c r="F248" s="87"/>
      <c r="G248" s="107" t="s">
        <v>16</v>
      </c>
      <c r="H248" s="37">
        <f>H247+H246</f>
        <v>17379.013403583333</v>
      </c>
      <c r="I248" s="108" t="str">
        <f>CONCATENATE("per ",C236, C237)</f>
        <v>per 10sqm</v>
      </c>
      <c r="J248" s="735"/>
      <c r="K248" s="736"/>
      <c r="L248" s="736"/>
      <c r="M248" s="736"/>
      <c r="N248" s="736"/>
      <c r="O248" s="736"/>
      <c r="P248" s="736"/>
      <c r="Q248" s="736"/>
      <c r="R248" s="737"/>
    </row>
    <row r="249" spans="1:18" s="170" customFormat="1">
      <c r="A249" s="23"/>
      <c r="B249" s="2"/>
      <c r="C249" s="87"/>
      <c r="D249" s="87"/>
      <c r="E249" s="87"/>
      <c r="F249" s="87"/>
      <c r="G249" s="107" t="s">
        <v>16</v>
      </c>
      <c r="H249" s="37">
        <f>H248/C236</f>
        <v>1737.9013403583333</v>
      </c>
      <c r="I249" s="108" t="str">
        <f>CONCATENATE("per ",C237)</f>
        <v>per sqm</v>
      </c>
      <c r="J249" s="735"/>
      <c r="K249" s="736"/>
      <c r="L249" s="736"/>
      <c r="M249" s="736"/>
      <c r="N249" s="736"/>
      <c r="O249" s="736"/>
      <c r="P249" s="736"/>
      <c r="Q249" s="736"/>
      <c r="R249" s="737"/>
    </row>
    <row r="250" spans="1:18" s="170" customFormat="1">
      <c r="A250" s="23"/>
      <c r="B250" s="2" t="s">
        <v>18</v>
      </c>
      <c r="C250" s="87" t="s">
        <v>19</v>
      </c>
      <c r="D250" s="87"/>
      <c r="E250" s="87"/>
      <c r="F250" s="87"/>
      <c r="G250" s="107" t="s">
        <v>16</v>
      </c>
      <c r="H250" s="37">
        <f>CEILING(H249,0.5)</f>
        <v>1738</v>
      </c>
      <c r="I250" s="108" t="str">
        <f>CONCATENATE("per ",C237)</f>
        <v>per sqm</v>
      </c>
      <c r="J250" s="735"/>
      <c r="K250" s="736"/>
      <c r="L250" s="736"/>
      <c r="M250" s="736"/>
      <c r="N250" s="736"/>
      <c r="O250" s="736"/>
      <c r="P250" s="736"/>
      <c r="Q250" s="736"/>
      <c r="R250" s="737"/>
    </row>
    <row r="251" spans="1:18" s="170" customFormat="1">
      <c r="A251" s="23"/>
      <c r="B251" s="2"/>
      <c r="C251" s="87"/>
      <c r="D251" s="87"/>
      <c r="E251" s="87"/>
      <c r="F251" s="87"/>
      <c r="G251" s="109" t="s">
        <v>17</v>
      </c>
      <c r="H251" s="37">
        <f>H250/exr</f>
        <v>13.36923076923077</v>
      </c>
      <c r="I251" s="108" t="str">
        <f>CONCATENATE("per ",C237)</f>
        <v>per sqm</v>
      </c>
      <c r="J251" s="738"/>
      <c r="K251" s="739"/>
      <c r="L251" s="739"/>
      <c r="M251" s="739"/>
      <c r="N251" s="739"/>
      <c r="O251" s="739"/>
      <c r="P251" s="739"/>
      <c r="Q251" s="739"/>
      <c r="R251" s="740"/>
    </row>
    <row r="252" spans="1:18" s="170" customFormat="1">
      <c r="A252" s="39"/>
      <c r="B252" s="40"/>
      <c r="C252" s="41"/>
      <c r="D252" s="41"/>
      <c r="E252" s="41"/>
      <c r="F252" s="41"/>
      <c r="G252" s="149" t="s">
        <v>460</v>
      </c>
      <c r="H252" s="150">
        <f>CEILING(SUM(M239)/H244,0.0025)</f>
        <v>5.5E-2</v>
      </c>
      <c r="I252" s="42"/>
      <c r="J252" s="43"/>
      <c r="K252" s="43"/>
      <c r="L252" s="43"/>
      <c r="M252" s="43"/>
      <c r="N252" s="43"/>
      <c r="O252" s="43"/>
      <c r="P252" s="43"/>
      <c r="Q252" s="43"/>
      <c r="R252" s="44"/>
    </row>
    <row r="253" spans="1:18" s="170" customFormat="1"/>
    <row r="254" spans="1:18" s="170" customFormat="1">
      <c r="A254" s="693" t="s">
        <v>0</v>
      </c>
      <c r="B254" s="695" t="s">
        <v>1</v>
      </c>
      <c r="C254" s="695" t="s">
        <v>2</v>
      </c>
      <c r="D254" s="697" t="s">
        <v>3</v>
      </c>
      <c r="E254" s="698"/>
      <c r="F254" s="698"/>
      <c r="G254" s="698"/>
      <c r="H254" s="698"/>
      <c r="I254" s="699" t="s">
        <v>4</v>
      </c>
      <c r="J254" s="700"/>
      <c r="K254" s="700"/>
      <c r="L254" s="700"/>
      <c r="M254" s="700"/>
      <c r="N254" s="698" t="s">
        <v>5</v>
      </c>
      <c r="O254" s="698"/>
      <c r="P254" s="698"/>
      <c r="Q254" s="698"/>
      <c r="R254" s="698"/>
    </row>
    <row r="255" spans="1:18" s="170" customFormat="1">
      <c r="A255" s="694"/>
      <c r="B255" s="696"/>
      <c r="C255" s="696"/>
      <c r="D255" s="45" t="s">
        <v>6</v>
      </c>
      <c r="E255" s="46" t="s">
        <v>2</v>
      </c>
      <c r="F255" s="46" t="s">
        <v>7</v>
      </c>
      <c r="G255" s="46" t="s">
        <v>8</v>
      </c>
      <c r="H255" s="46" t="s">
        <v>9</v>
      </c>
      <c r="I255" s="46" t="s">
        <v>10</v>
      </c>
      <c r="J255" s="46" t="s">
        <v>2</v>
      </c>
      <c r="K255" s="46" t="s">
        <v>7</v>
      </c>
      <c r="L255" s="46" t="s">
        <v>8</v>
      </c>
      <c r="M255" s="47" t="s">
        <v>9</v>
      </c>
      <c r="N255" s="46" t="s">
        <v>10</v>
      </c>
      <c r="O255" s="46" t="s">
        <v>2</v>
      </c>
      <c r="P255" s="46" t="s">
        <v>7</v>
      </c>
      <c r="Q255" s="46" t="s">
        <v>8</v>
      </c>
      <c r="R255" s="46" t="s">
        <v>9</v>
      </c>
    </row>
    <row r="256" spans="1:18" s="170" customFormat="1">
      <c r="A256" s="33" t="s">
        <v>23</v>
      </c>
      <c r="B256" s="73" t="s">
        <v>629</v>
      </c>
      <c r="C256" s="31"/>
      <c r="D256" s="31"/>
      <c r="E256" s="31"/>
      <c r="F256" s="31"/>
      <c r="G256" s="31"/>
      <c r="H256" s="31"/>
      <c r="I256" s="31"/>
      <c r="J256" s="31"/>
      <c r="K256" s="31"/>
      <c r="L256" s="31"/>
      <c r="M256" s="31"/>
      <c r="N256" s="31"/>
      <c r="O256" s="31"/>
      <c r="P256" s="31"/>
      <c r="Q256" s="31"/>
      <c r="R256" s="32"/>
    </row>
    <row r="257" spans="1:18" s="170" customFormat="1">
      <c r="A257" s="34" t="e">
        <f>A236+1</f>
        <v>#REF!</v>
      </c>
      <c r="B257" s="730" t="s">
        <v>630</v>
      </c>
      <c r="C257" s="546">
        <v>10</v>
      </c>
      <c r="D257" s="87"/>
      <c r="E257" s="8"/>
      <c r="F257" s="88"/>
      <c r="G257" s="28"/>
      <c r="H257" s="28"/>
      <c r="I257" s="8"/>
      <c r="J257" s="8"/>
      <c r="K257" s="88"/>
      <c r="L257" s="28"/>
      <c r="M257" s="28"/>
      <c r="N257" s="8"/>
      <c r="O257" s="8"/>
      <c r="P257" s="88"/>
      <c r="Q257" s="28"/>
      <c r="R257" s="28"/>
    </row>
    <row r="258" spans="1:18" s="170" customFormat="1">
      <c r="A258" s="2"/>
      <c r="B258" s="731"/>
      <c r="C258" s="171" t="s">
        <v>127</v>
      </c>
      <c r="D258" s="87" t="s">
        <v>96</v>
      </c>
      <c r="E258" s="8" t="s">
        <v>81</v>
      </c>
      <c r="F258" s="88">
        <v>5.2</v>
      </c>
      <c r="G258" s="28">
        <f>sr</f>
        <v>1100</v>
      </c>
      <c r="H258" s="28">
        <f>F258*G258</f>
        <v>5720</v>
      </c>
      <c r="I258" s="89" t="s">
        <v>234</v>
      </c>
      <c r="J258" s="8" t="s">
        <v>127</v>
      </c>
      <c r="K258" s="88">
        <f>11/6</f>
        <v>1.8333333333333333</v>
      </c>
      <c r="L258" s="28">
        <f>plywood</f>
        <v>420.36</v>
      </c>
      <c r="M258" s="28">
        <f>K258*L258</f>
        <v>770.66</v>
      </c>
      <c r="N258" s="8"/>
      <c r="O258" s="8"/>
      <c r="P258" s="88"/>
      <c r="Q258" s="28"/>
      <c r="R258" s="28"/>
    </row>
    <row r="259" spans="1:18" s="170" customFormat="1">
      <c r="A259" s="2"/>
      <c r="B259" s="731"/>
      <c r="C259" s="8"/>
      <c r="D259" s="87" t="s">
        <v>97</v>
      </c>
      <c r="E259" s="8" t="s">
        <v>81</v>
      </c>
      <c r="F259" s="88">
        <v>5.9</v>
      </c>
      <c r="G259" s="28">
        <f>ur</f>
        <v>850</v>
      </c>
      <c r="H259" s="28">
        <f>F259*G259</f>
        <v>5015</v>
      </c>
      <c r="I259" s="89" t="s">
        <v>231</v>
      </c>
      <c r="J259" s="8" t="s">
        <v>11</v>
      </c>
      <c r="K259" s="88">
        <f>1.2/12</f>
        <v>9.9999999999999992E-2</v>
      </c>
      <c r="L259" s="154">
        <f>AVERAGE(timber,planks)</f>
        <v>64135.06</v>
      </c>
      <c r="M259" s="28">
        <f>K259*L259</f>
        <v>6413.5059999999994</v>
      </c>
      <c r="N259" s="8"/>
      <c r="O259" s="8"/>
      <c r="P259" s="88"/>
      <c r="Q259" s="28"/>
      <c r="R259" s="28"/>
    </row>
    <row r="260" spans="1:18" s="170" customFormat="1">
      <c r="A260" s="2"/>
      <c r="B260" s="731"/>
      <c r="C260" s="8"/>
      <c r="D260" s="87"/>
      <c r="E260" s="8"/>
      <c r="F260" s="88"/>
      <c r="G260" s="28"/>
      <c r="H260" s="28"/>
      <c r="I260" s="89" t="s">
        <v>232</v>
      </c>
      <c r="J260" s="8" t="s">
        <v>28</v>
      </c>
      <c r="K260" s="88">
        <v>8</v>
      </c>
      <c r="L260" s="28">
        <f>nails/1000</f>
        <v>124.14419000000001</v>
      </c>
      <c r="M260" s="28">
        <f>K260*L260</f>
        <v>993.15352000000007</v>
      </c>
      <c r="N260" s="8"/>
      <c r="O260" s="8"/>
      <c r="P260" s="88"/>
      <c r="Q260" s="28"/>
      <c r="R260" s="28"/>
    </row>
    <row r="261" spans="1:18" s="170" customFormat="1">
      <c r="A261" s="2"/>
      <c r="B261" s="731"/>
      <c r="C261" s="8"/>
      <c r="D261" s="87"/>
      <c r="E261" s="8"/>
      <c r="F261" s="88"/>
      <c r="G261" s="28"/>
      <c r="H261" s="28"/>
      <c r="I261" s="89"/>
      <c r="J261" s="8"/>
      <c r="K261" s="88"/>
      <c r="L261" s="28"/>
      <c r="M261" s="28"/>
      <c r="N261" s="8"/>
      <c r="O261" s="8"/>
      <c r="P261" s="88"/>
      <c r="Q261" s="28"/>
      <c r="R261" s="28"/>
    </row>
    <row r="262" spans="1:18" s="170" customFormat="1" ht="30.75" customHeight="1">
      <c r="A262" s="2"/>
      <c r="B262" s="731"/>
      <c r="C262" s="8"/>
      <c r="D262" s="87"/>
      <c r="E262" s="8"/>
      <c r="F262" s="88"/>
      <c r="G262" s="28"/>
      <c r="H262" s="28"/>
      <c r="I262" s="89"/>
      <c r="J262" s="8"/>
      <c r="K262" s="88"/>
      <c r="L262" s="28"/>
      <c r="M262" s="28"/>
      <c r="N262" s="8"/>
      <c r="O262" s="8"/>
      <c r="P262" s="88"/>
      <c r="Q262" s="28"/>
      <c r="R262" s="28"/>
    </row>
    <row r="263" spans="1:18" s="170" customFormat="1">
      <c r="A263" s="2"/>
      <c r="B263" s="172"/>
      <c r="C263" s="8"/>
      <c r="D263" s="87"/>
      <c r="E263" s="10"/>
      <c r="F263" s="91"/>
      <c r="G263" s="92"/>
      <c r="H263" s="92"/>
      <c r="I263" s="10"/>
      <c r="J263" s="10"/>
      <c r="K263" s="91"/>
      <c r="L263" s="28"/>
      <c r="M263" s="28"/>
      <c r="N263" s="8"/>
      <c r="O263" s="8"/>
      <c r="P263" s="91"/>
      <c r="Q263" s="28"/>
      <c r="R263" s="28"/>
    </row>
    <row r="264" spans="1:18" s="170" customFormat="1">
      <c r="A264" s="2"/>
      <c r="B264" s="2"/>
      <c r="C264" s="8"/>
      <c r="D264" s="93"/>
      <c r="E264" s="545"/>
      <c r="F264" s="95"/>
      <c r="G264" s="95" t="s">
        <v>20</v>
      </c>
      <c r="H264" s="96">
        <f>SUM(H257:H263)</f>
        <v>10735</v>
      </c>
      <c r="I264" s="717"/>
      <c r="J264" s="717"/>
      <c r="K264" s="97"/>
      <c r="L264" s="95" t="s">
        <v>21</v>
      </c>
      <c r="M264" s="96">
        <f>SUM(M257:M263)</f>
        <v>8177.3195199999991</v>
      </c>
      <c r="N264" s="98"/>
      <c r="O264" s="97"/>
      <c r="P264" s="97"/>
      <c r="Q264" s="95" t="s">
        <v>22</v>
      </c>
      <c r="R264" s="96">
        <f>SUM(R257:R263)</f>
        <v>0</v>
      </c>
    </row>
    <row r="265" spans="1:18" s="170" customFormat="1">
      <c r="A265" s="2"/>
      <c r="B265" s="99" t="s">
        <v>13</v>
      </c>
      <c r="C265" s="97"/>
      <c r="D265" s="97"/>
      <c r="E265" s="97"/>
      <c r="F265" s="97"/>
      <c r="G265" s="95"/>
      <c r="H265" s="100">
        <f>M264+R264+H264</f>
        <v>18912.319519999997</v>
      </c>
      <c r="I265" s="101"/>
      <c r="J265" s="97"/>
      <c r="K265" s="97"/>
      <c r="L265" s="95"/>
      <c r="M265" s="102"/>
      <c r="N265" s="97"/>
      <c r="O265" s="97"/>
      <c r="P265" s="97"/>
      <c r="Q265" s="97"/>
      <c r="R265" s="101"/>
    </row>
    <row r="266" spans="1:18" s="170" customFormat="1">
      <c r="A266" s="2"/>
      <c r="B266" s="2" t="s">
        <v>25</v>
      </c>
      <c r="C266" s="87"/>
      <c r="D266" s="87"/>
      <c r="E266" s="87"/>
      <c r="F266" s="87"/>
      <c r="G266" s="103"/>
      <c r="H266" s="104">
        <v>0</v>
      </c>
      <c r="I266" s="105"/>
      <c r="J266" s="87" t="s">
        <v>26</v>
      </c>
      <c r="K266" s="87"/>
      <c r="L266" s="103"/>
      <c r="M266" s="106"/>
      <c r="N266" s="87"/>
      <c r="O266" s="87"/>
      <c r="P266" s="87"/>
      <c r="Q266" s="87"/>
      <c r="R266" s="105"/>
    </row>
    <row r="267" spans="1:18" s="170" customFormat="1">
      <c r="A267" s="23"/>
      <c r="B267" s="2" t="s">
        <v>14</v>
      </c>
      <c r="C267" s="87"/>
      <c r="D267" s="87"/>
      <c r="E267" s="87"/>
      <c r="F267" s="87"/>
      <c r="G267" s="103"/>
      <c r="H267" s="104">
        <f>SUM(H265:H266)</f>
        <v>18912.319519999997</v>
      </c>
      <c r="I267" s="105"/>
      <c r="J267" s="732"/>
      <c r="K267" s="733"/>
      <c r="L267" s="733"/>
      <c r="M267" s="733"/>
      <c r="N267" s="733"/>
      <c r="O267" s="733"/>
      <c r="P267" s="733"/>
      <c r="Q267" s="733"/>
      <c r="R267" s="734"/>
    </row>
    <row r="268" spans="1:18" s="170" customFormat="1">
      <c r="A268" s="23"/>
      <c r="B268" s="2" t="s">
        <v>24</v>
      </c>
      <c r="C268" s="87"/>
      <c r="D268" s="87"/>
      <c r="E268" s="87"/>
      <c r="F268" s="87"/>
      <c r="G268" s="103"/>
      <c r="H268" s="104">
        <f>H267*15%</f>
        <v>2836.8479279999997</v>
      </c>
      <c r="I268" s="105"/>
      <c r="J268" s="735"/>
      <c r="K268" s="736"/>
      <c r="L268" s="736"/>
      <c r="M268" s="736"/>
      <c r="N268" s="736"/>
      <c r="O268" s="736"/>
      <c r="P268" s="736"/>
      <c r="Q268" s="736"/>
      <c r="R268" s="737"/>
    </row>
    <row r="269" spans="1:18" s="170" customFormat="1">
      <c r="A269" s="23"/>
      <c r="B269" s="2" t="s">
        <v>15</v>
      </c>
      <c r="C269" s="87"/>
      <c r="D269" s="87"/>
      <c r="E269" s="87"/>
      <c r="F269" s="87"/>
      <c r="G269" s="107" t="s">
        <v>16</v>
      </c>
      <c r="H269" s="37">
        <f>H268+H267</f>
        <v>21749.167447999997</v>
      </c>
      <c r="I269" s="108" t="str">
        <f>CONCATENATE("per ",C257, C258)</f>
        <v>per 10sqm</v>
      </c>
      <c r="J269" s="735"/>
      <c r="K269" s="736"/>
      <c r="L269" s="736"/>
      <c r="M269" s="736"/>
      <c r="N269" s="736"/>
      <c r="O269" s="736"/>
      <c r="P269" s="736"/>
      <c r="Q269" s="736"/>
      <c r="R269" s="737"/>
    </row>
    <row r="270" spans="1:18" s="170" customFormat="1">
      <c r="A270" s="23"/>
      <c r="B270" s="2"/>
      <c r="C270" s="87"/>
      <c r="D270" s="87"/>
      <c r="E270" s="87"/>
      <c r="F270" s="87"/>
      <c r="G270" s="107" t="s">
        <v>16</v>
      </c>
      <c r="H270" s="37">
        <f>H269/C257</f>
        <v>2174.9167447999998</v>
      </c>
      <c r="I270" s="108" t="str">
        <f>CONCATENATE("per ",C258)</f>
        <v>per sqm</v>
      </c>
      <c r="J270" s="735"/>
      <c r="K270" s="736"/>
      <c r="L270" s="736"/>
      <c r="M270" s="736"/>
      <c r="N270" s="736"/>
      <c r="O270" s="736"/>
      <c r="P270" s="736"/>
      <c r="Q270" s="736"/>
      <c r="R270" s="737"/>
    </row>
    <row r="271" spans="1:18" s="170" customFormat="1">
      <c r="A271" s="23"/>
      <c r="B271" s="2" t="s">
        <v>18</v>
      </c>
      <c r="C271" s="87" t="s">
        <v>19</v>
      </c>
      <c r="D271" s="87"/>
      <c r="E271" s="87"/>
      <c r="F271" s="87"/>
      <c r="G271" s="107" t="s">
        <v>16</v>
      </c>
      <c r="H271" s="37">
        <f>CEILING(H270,0.5)</f>
        <v>2175</v>
      </c>
      <c r="I271" s="108" t="str">
        <f>CONCATENATE("per ",C258)</f>
        <v>per sqm</v>
      </c>
      <c r="J271" s="735"/>
      <c r="K271" s="736"/>
      <c r="L271" s="736"/>
      <c r="M271" s="736"/>
      <c r="N271" s="736"/>
      <c r="O271" s="736"/>
      <c r="P271" s="736"/>
      <c r="Q271" s="736"/>
      <c r="R271" s="737"/>
    </row>
    <row r="272" spans="1:18" s="170" customFormat="1">
      <c r="A272" s="23"/>
      <c r="B272" s="2"/>
      <c r="C272" s="87"/>
      <c r="D272" s="87"/>
      <c r="E272" s="87"/>
      <c r="F272" s="87"/>
      <c r="G272" s="109" t="s">
        <v>17</v>
      </c>
      <c r="H272" s="37">
        <f>H271/exr</f>
        <v>16.73076923076923</v>
      </c>
      <c r="I272" s="108" t="str">
        <f>CONCATENATE("per ",C258)</f>
        <v>per sqm</v>
      </c>
      <c r="J272" s="738"/>
      <c r="K272" s="739"/>
      <c r="L272" s="739"/>
      <c r="M272" s="739"/>
      <c r="N272" s="739"/>
      <c r="O272" s="739"/>
      <c r="P272" s="739"/>
      <c r="Q272" s="739"/>
      <c r="R272" s="740"/>
    </row>
    <row r="273" spans="1:18" s="170" customFormat="1">
      <c r="A273" s="39"/>
      <c r="B273" s="40"/>
      <c r="C273" s="41"/>
      <c r="D273" s="41"/>
      <c r="E273" s="41"/>
      <c r="F273" s="41"/>
      <c r="G273" s="149" t="s">
        <v>460</v>
      </c>
      <c r="H273" s="150">
        <f>CEILING(SUM(M260)/H265,0.0025)</f>
        <v>5.5E-2</v>
      </c>
      <c r="I273" s="42"/>
      <c r="J273" s="43"/>
      <c r="K273" s="43"/>
      <c r="L273" s="43"/>
      <c r="M273" s="43"/>
      <c r="N273" s="43"/>
      <c r="O273" s="43"/>
      <c r="P273" s="43"/>
      <c r="Q273" s="43"/>
      <c r="R273" s="44"/>
    </row>
    <row r="274" spans="1:18" s="170" customFormat="1"/>
    <row r="275" spans="1:18" s="170" customFormat="1">
      <c r="A275" s="693" t="s">
        <v>0</v>
      </c>
      <c r="B275" s="695" t="s">
        <v>1</v>
      </c>
      <c r="C275" s="695" t="s">
        <v>2</v>
      </c>
      <c r="D275" s="697" t="s">
        <v>3</v>
      </c>
      <c r="E275" s="698"/>
      <c r="F275" s="698"/>
      <c r="G275" s="698"/>
      <c r="H275" s="698"/>
      <c r="I275" s="699" t="s">
        <v>4</v>
      </c>
      <c r="J275" s="700"/>
      <c r="K275" s="700"/>
      <c r="L275" s="700"/>
      <c r="M275" s="700"/>
      <c r="N275" s="698" t="s">
        <v>5</v>
      </c>
      <c r="O275" s="698"/>
      <c r="P275" s="698"/>
      <c r="Q275" s="698"/>
      <c r="R275" s="698"/>
    </row>
    <row r="276" spans="1:18" s="170" customFormat="1">
      <c r="A276" s="694"/>
      <c r="B276" s="696"/>
      <c r="C276" s="696"/>
      <c r="D276" s="45" t="s">
        <v>6</v>
      </c>
      <c r="E276" s="46" t="s">
        <v>2</v>
      </c>
      <c r="F276" s="46" t="s">
        <v>7</v>
      </c>
      <c r="G276" s="46" t="s">
        <v>8</v>
      </c>
      <c r="H276" s="46" t="s">
        <v>9</v>
      </c>
      <c r="I276" s="46" t="s">
        <v>10</v>
      </c>
      <c r="J276" s="46" t="s">
        <v>2</v>
      </c>
      <c r="K276" s="46" t="s">
        <v>7</v>
      </c>
      <c r="L276" s="46" t="s">
        <v>8</v>
      </c>
      <c r="M276" s="47" t="s">
        <v>9</v>
      </c>
      <c r="N276" s="46" t="s">
        <v>10</v>
      </c>
      <c r="O276" s="46" t="s">
        <v>2</v>
      </c>
      <c r="P276" s="46" t="s">
        <v>7</v>
      </c>
      <c r="Q276" s="46" t="s">
        <v>8</v>
      </c>
      <c r="R276" s="46" t="s">
        <v>9</v>
      </c>
    </row>
    <row r="277" spans="1:18" s="170" customFormat="1">
      <c r="A277" s="33" t="s">
        <v>23</v>
      </c>
      <c r="B277" s="73" t="s">
        <v>631</v>
      </c>
      <c r="C277" s="31"/>
      <c r="D277" s="31"/>
      <c r="E277" s="31"/>
      <c r="F277" s="31"/>
      <c r="G277" s="31"/>
      <c r="H277" s="31"/>
      <c r="I277" s="31"/>
      <c r="J277" s="31"/>
      <c r="K277" s="31"/>
      <c r="L277" s="31"/>
      <c r="M277" s="31"/>
      <c r="N277" s="31"/>
      <c r="O277" s="31"/>
      <c r="P277" s="31"/>
      <c r="Q277" s="31"/>
      <c r="R277" s="32"/>
    </row>
    <row r="278" spans="1:18" s="170" customFormat="1">
      <c r="A278" s="34" t="e">
        <f>A257+1</f>
        <v>#REF!</v>
      </c>
      <c r="B278" s="730" t="s">
        <v>632</v>
      </c>
      <c r="C278" s="546">
        <v>10</v>
      </c>
      <c r="D278" s="87"/>
      <c r="E278" s="8"/>
      <c r="F278" s="88"/>
      <c r="G278" s="28"/>
      <c r="H278" s="28"/>
      <c r="I278" s="8"/>
      <c r="J278" s="8"/>
      <c r="K278" s="88"/>
      <c r="L278" s="28"/>
      <c r="M278" s="28"/>
      <c r="N278" s="8"/>
      <c r="O278" s="8"/>
      <c r="P278" s="88"/>
      <c r="Q278" s="28"/>
      <c r="R278" s="28"/>
    </row>
    <row r="279" spans="1:18" s="170" customFormat="1">
      <c r="A279" s="2"/>
      <c r="B279" s="731"/>
      <c r="C279" s="171" t="s">
        <v>127</v>
      </c>
      <c r="D279" s="87"/>
      <c r="E279" s="8"/>
      <c r="F279" s="88"/>
      <c r="G279" s="28"/>
      <c r="H279" s="28"/>
      <c r="I279" s="89"/>
      <c r="J279" s="8"/>
      <c r="K279" s="88"/>
      <c r="L279" s="28"/>
      <c r="M279" s="28"/>
      <c r="N279" s="8"/>
      <c r="O279" s="8"/>
      <c r="P279" s="88"/>
      <c r="Q279" s="28"/>
      <c r="R279" s="28"/>
    </row>
    <row r="280" spans="1:18" s="170" customFormat="1">
      <c r="A280" s="2"/>
      <c r="B280" s="731"/>
      <c r="C280" s="8"/>
      <c r="D280" s="87"/>
      <c r="E280" s="8"/>
      <c r="F280" s="88"/>
      <c r="G280" s="28"/>
      <c r="H280" s="28"/>
      <c r="I280" s="89"/>
      <c r="J280" s="8"/>
      <c r="K280" s="88"/>
      <c r="L280" s="28"/>
      <c r="M280" s="28"/>
      <c r="N280" s="8"/>
      <c r="O280" s="8"/>
      <c r="P280" s="88"/>
      <c r="Q280" s="28"/>
      <c r="R280" s="28"/>
    </row>
    <row r="281" spans="1:18" s="170" customFormat="1">
      <c r="A281" s="2"/>
      <c r="B281" s="731"/>
      <c r="C281" s="8"/>
      <c r="D281" s="87"/>
      <c r="E281" s="8"/>
      <c r="F281" s="88"/>
      <c r="G281" s="28"/>
      <c r="H281" s="28"/>
      <c r="I281" s="89"/>
      <c r="J281" s="8"/>
      <c r="K281" s="88"/>
      <c r="L281" s="28"/>
      <c r="M281" s="28"/>
      <c r="N281" s="8"/>
      <c r="O281" s="8"/>
      <c r="P281" s="88"/>
      <c r="Q281" s="28"/>
      <c r="R281" s="28"/>
    </row>
    <row r="282" spans="1:18" s="170" customFormat="1">
      <c r="A282" s="2"/>
      <c r="B282" s="731"/>
      <c r="C282" s="8"/>
      <c r="D282" s="87"/>
      <c r="E282" s="8"/>
      <c r="F282" s="88"/>
      <c r="G282" s="28"/>
      <c r="H282" s="28"/>
      <c r="I282" s="89"/>
      <c r="J282" s="8"/>
      <c r="K282" s="88"/>
      <c r="L282" s="28"/>
      <c r="M282" s="28"/>
      <c r="N282" s="8"/>
      <c r="O282" s="8"/>
      <c r="P282" s="88"/>
      <c r="Q282" s="28"/>
      <c r="R282" s="28"/>
    </row>
    <row r="283" spans="1:18" s="170" customFormat="1" ht="31.5" customHeight="1">
      <c r="A283" s="2"/>
      <c r="B283" s="731"/>
      <c r="C283" s="8"/>
      <c r="D283" s="87"/>
      <c r="E283" s="8"/>
      <c r="F283" s="88"/>
      <c r="G283" s="28"/>
      <c r="H283" s="28"/>
      <c r="I283" s="89"/>
      <c r="J283" s="8"/>
      <c r="K283" s="88"/>
      <c r="L283" s="28"/>
      <c r="M283" s="28"/>
      <c r="N283" s="8"/>
      <c r="O283" s="8"/>
      <c r="P283" s="88"/>
      <c r="Q283" s="28"/>
      <c r="R283" s="28"/>
    </row>
    <row r="284" spans="1:18" s="170" customFormat="1">
      <c r="A284" s="2"/>
      <c r="B284" s="172"/>
      <c r="C284" s="8"/>
      <c r="D284" s="87"/>
      <c r="E284" s="10"/>
      <c r="F284" s="91"/>
      <c r="G284" s="92"/>
      <c r="H284" s="92"/>
      <c r="I284" s="10"/>
      <c r="J284" s="10"/>
      <c r="K284" s="91"/>
      <c r="L284" s="28"/>
      <c r="M284" s="28"/>
      <c r="N284" s="8"/>
      <c r="O284" s="8"/>
      <c r="P284" s="91"/>
      <c r="Q284" s="28"/>
      <c r="R284" s="28"/>
    </row>
    <row r="285" spans="1:18" s="170" customFormat="1">
      <c r="A285" s="2"/>
      <c r="B285" s="2"/>
      <c r="C285" s="8"/>
      <c r="D285" s="93"/>
      <c r="E285" s="545"/>
      <c r="F285" s="95"/>
      <c r="G285" s="95" t="s">
        <v>20</v>
      </c>
      <c r="H285" s="96">
        <f>SUM(H278:H284)</f>
        <v>0</v>
      </c>
      <c r="I285" s="717"/>
      <c r="J285" s="717"/>
      <c r="K285" s="97"/>
      <c r="L285" s="95" t="s">
        <v>21</v>
      </c>
      <c r="M285" s="96">
        <f>SUM(M278:M284)</f>
        <v>0</v>
      </c>
      <c r="N285" s="98"/>
      <c r="O285" s="97"/>
      <c r="P285" s="97"/>
      <c r="Q285" s="95" t="s">
        <v>22</v>
      </c>
      <c r="R285" s="96">
        <f>SUM(R278:R284)</f>
        <v>0</v>
      </c>
    </row>
    <row r="286" spans="1:18" s="170" customFormat="1">
      <c r="A286" s="2"/>
      <c r="B286" s="99" t="s">
        <v>13</v>
      </c>
      <c r="C286" s="97"/>
      <c r="D286" s="97"/>
      <c r="E286" s="97"/>
      <c r="F286" s="97"/>
      <c r="G286" s="95"/>
      <c r="H286" s="100">
        <f>M285+R285+H285</f>
        <v>0</v>
      </c>
      <c r="I286" s="101"/>
      <c r="J286" s="97"/>
      <c r="K286" s="97"/>
      <c r="L286" s="95"/>
      <c r="M286" s="102"/>
      <c r="N286" s="97"/>
      <c r="O286" s="97"/>
      <c r="P286" s="97"/>
      <c r="Q286" s="97"/>
      <c r="R286" s="101"/>
    </row>
    <row r="287" spans="1:18" s="170" customFormat="1">
      <c r="A287" s="2"/>
      <c r="B287" s="2" t="s">
        <v>25</v>
      </c>
      <c r="C287" s="87"/>
      <c r="D287" s="87"/>
      <c r="E287" s="87"/>
      <c r="F287" s="87"/>
      <c r="G287" s="103"/>
      <c r="H287" s="104">
        <v>0</v>
      </c>
      <c r="I287" s="105"/>
      <c r="J287" s="87" t="s">
        <v>26</v>
      </c>
      <c r="K287" s="87"/>
      <c r="L287" s="103"/>
      <c r="M287" s="106"/>
      <c r="N287" s="87"/>
      <c r="O287" s="87"/>
      <c r="P287" s="87"/>
      <c r="Q287" s="87"/>
      <c r="R287" s="105"/>
    </row>
    <row r="288" spans="1:18" s="170" customFormat="1">
      <c r="A288" s="23"/>
      <c r="B288" s="2" t="s">
        <v>14</v>
      </c>
      <c r="C288" s="87"/>
      <c r="D288" s="87"/>
      <c r="E288" s="87"/>
      <c r="F288" s="87"/>
      <c r="G288" s="103"/>
      <c r="H288" s="104">
        <f>SUM(H286:H287)</f>
        <v>0</v>
      </c>
      <c r="I288" s="105"/>
      <c r="J288" s="732" t="s">
        <v>239</v>
      </c>
      <c r="K288" s="733"/>
      <c r="L288" s="733"/>
      <c r="M288" s="733"/>
      <c r="N288" s="733"/>
      <c r="O288" s="733"/>
      <c r="P288" s="733"/>
      <c r="Q288" s="733"/>
      <c r="R288" s="734"/>
    </row>
    <row r="289" spans="1:18" s="170" customFormat="1">
      <c r="A289" s="23"/>
      <c r="B289" s="2" t="s">
        <v>24</v>
      </c>
      <c r="C289" s="87"/>
      <c r="D289" s="87"/>
      <c r="E289" s="87"/>
      <c r="F289" s="87"/>
      <c r="G289" s="103"/>
      <c r="H289" s="104">
        <f>H288*15%</f>
        <v>0</v>
      </c>
      <c r="I289" s="105"/>
      <c r="J289" s="735"/>
      <c r="K289" s="736"/>
      <c r="L289" s="736"/>
      <c r="M289" s="736"/>
      <c r="N289" s="736"/>
      <c r="O289" s="736"/>
      <c r="P289" s="736"/>
      <c r="Q289" s="736"/>
      <c r="R289" s="737"/>
    </row>
    <row r="290" spans="1:18" s="170" customFormat="1">
      <c r="A290" s="23"/>
      <c r="B290" s="2" t="s">
        <v>15</v>
      </c>
      <c r="C290" s="87"/>
      <c r="D290" s="87"/>
      <c r="E290" s="87"/>
      <c r="F290" s="87"/>
      <c r="G290" s="107" t="s">
        <v>16</v>
      </c>
      <c r="H290" s="37">
        <f>H289+H288</f>
        <v>0</v>
      </c>
      <c r="I290" s="108" t="str">
        <f>CONCATENATE("per ",C278, C279)</f>
        <v>per 10sqm</v>
      </c>
      <c r="J290" s="735"/>
      <c r="K290" s="736"/>
      <c r="L290" s="736"/>
      <c r="M290" s="736"/>
      <c r="N290" s="736"/>
      <c r="O290" s="736"/>
      <c r="P290" s="736"/>
      <c r="Q290" s="736"/>
      <c r="R290" s="737"/>
    </row>
    <row r="291" spans="1:18" s="170" customFormat="1">
      <c r="A291" s="23"/>
      <c r="B291" s="2"/>
      <c r="C291" s="87"/>
      <c r="D291" s="87"/>
      <c r="E291" s="87"/>
      <c r="F291" s="87"/>
      <c r="G291" s="107" t="s">
        <v>16</v>
      </c>
      <c r="H291" s="37">
        <f>H290/C278</f>
        <v>0</v>
      </c>
      <c r="I291" s="108" t="str">
        <f>CONCATENATE("per ",C279)</f>
        <v>per sqm</v>
      </c>
      <c r="J291" s="735"/>
      <c r="K291" s="736"/>
      <c r="L291" s="736"/>
      <c r="M291" s="736"/>
      <c r="N291" s="736"/>
      <c r="O291" s="736"/>
      <c r="P291" s="736"/>
      <c r="Q291" s="736"/>
      <c r="R291" s="737"/>
    </row>
    <row r="292" spans="1:18" s="170" customFormat="1">
      <c r="A292" s="23"/>
      <c r="B292" s="2" t="s">
        <v>18</v>
      </c>
      <c r="C292" s="87" t="s">
        <v>19</v>
      </c>
      <c r="D292" s="87"/>
      <c r="E292" s="87"/>
      <c r="F292" s="87"/>
      <c r="G292" s="107" t="s">
        <v>16</v>
      </c>
      <c r="H292" s="37">
        <f>CEILING(H291,0.5)</f>
        <v>0</v>
      </c>
      <c r="I292" s="108" t="str">
        <f>CONCATENATE("per ",C279)</f>
        <v>per sqm</v>
      </c>
      <c r="J292" s="735"/>
      <c r="K292" s="736"/>
      <c r="L292" s="736"/>
      <c r="M292" s="736"/>
      <c r="N292" s="736"/>
      <c r="O292" s="736"/>
      <c r="P292" s="736"/>
      <c r="Q292" s="736"/>
      <c r="R292" s="737"/>
    </row>
    <row r="293" spans="1:18" s="170" customFormat="1">
      <c r="A293" s="23"/>
      <c r="B293" s="2"/>
      <c r="C293" s="87"/>
      <c r="D293" s="87"/>
      <c r="E293" s="87"/>
      <c r="F293" s="87"/>
      <c r="G293" s="109" t="s">
        <v>17</v>
      </c>
      <c r="H293" s="37">
        <f>H292/exr</f>
        <v>0</v>
      </c>
      <c r="I293" s="108" t="str">
        <f>CONCATENATE("per ",C279)</f>
        <v>per sqm</v>
      </c>
      <c r="J293" s="738"/>
      <c r="K293" s="739"/>
      <c r="L293" s="739"/>
      <c r="M293" s="739"/>
      <c r="N293" s="739"/>
      <c r="O293" s="739"/>
      <c r="P293" s="739"/>
      <c r="Q293" s="739"/>
      <c r="R293" s="740"/>
    </row>
    <row r="294" spans="1:18" s="170" customFormat="1">
      <c r="A294" s="39"/>
      <c r="B294" s="40"/>
      <c r="C294" s="41"/>
      <c r="D294" s="41"/>
      <c r="E294" s="41"/>
      <c r="F294" s="41"/>
      <c r="G294" s="149" t="s">
        <v>460</v>
      </c>
      <c r="H294" s="150">
        <f>CEILING(0,0.0025)</f>
        <v>0</v>
      </c>
      <c r="I294" s="42"/>
      <c r="J294" s="43"/>
      <c r="K294" s="43"/>
      <c r="L294" s="43"/>
      <c r="M294" s="43"/>
      <c r="N294" s="43"/>
      <c r="O294" s="43"/>
      <c r="P294" s="43"/>
      <c r="Q294" s="43"/>
      <c r="R294" s="44"/>
    </row>
    <row r="295" spans="1:18" s="170" customFormat="1"/>
    <row r="296" spans="1:18">
      <c r="A296" s="693" t="s">
        <v>0</v>
      </c>
      <c r="B296" s="695" t="s">
        <v>1</v>
      </c>
      <c r="C296" s="695" t="s">
        <v>2</v>
      </c>
      <c r="D296" s="697" t="s">
        <v>3</v>
      </c>
      <c r="E296" s="698"/>
      <c r="F296" s="698"/>
      <c r="G296" s="698"/>
      <c r="H296" s="698"/>
      <c r="I296" s="699" t="s">
        <v>4</v>
      </c>
      <c r="J296" s="700"/>
      <c r="K296" s="700"/>
      <c r="L296" s="700"/>
      <c r="M296" s="700"/>
      <c r="N296" s="698" t="s">
        <v>5</v>
      </c>
      <c r="O296" s="698"/>
      <c r="P296" s="698"/>
      <c r="Q296" s="698"/>
      <c r="R296" s="698"/>
    </row>
    <row r="297" spans="1:18">
      <c r="A297" s="694"/>
      <c r="B297" s="696"/>
      <c r="C297" s="696"/>
      <c r="D297" s="45" t="s">
        <v>6</v>
      </c>
      <c r="E297" s="46" t="s">
        <v>2</v>
      </c>
      <c r="F297" s="46" t="s">
        <v>7</v>
      </c>
      <c r="G297" s="46" t="s">
        <v>8</v>
      </c>
      <c r="H297" s="46" t="s">
        <v>9</v>
      </c>
      <c r="I297" s="46" t="s">
        <v>10</v>
      </c>
      <c r="J297" s="46" t="s">
        <v>2</v>
      </c>
      <c r="K297" s="46" t="s">
        <v>7</v>
      </c>
      <c r="L297" s="46" t="s">
        <v>8</v>
      </c>
      <c r="M297" s="47" t="s">
        <v>9</v>
      </c>
      <c r="N297" s="46" t="s">
        <v>10</v>
      </c>
      <c r="O297" s="46" t="s">
        <v>2</v>
      </c>
      <c r="P297" s="46" t="s">
        <v>7</v>
      </c>
      <c r="Q297" s="46" t="s">
        <v>8</v>
      </c>
      <c r="R297" s="46" t="s">
        <v>9</v>
      </c>
    </row>
    <row r="298" spans="1:18">
      <c r="A298" s="33" t="s">
        <v>23</v>
      </c>
      <c r="B298" s="73" t="s">
        <v>243</v>
      </c>
      <c r="C298" s="31"/>
      <c r="D298" s="31"/>
      <c r="E298" s="31"/>
      <c r="F298" s="31"/>
      <c r="G298" s="31"/>
      <c r="H298" s="31"/>
      <c r="I298" s="31"/>
      <c r="J298" s="31"/>
      <c r="K298" s="31"/>
      <c r="L298" s="31"/>
      <c r="M298" s="31"/>
      <c r="N298" s="31"/>
      <c r="O298" s="31"/>
      <c r="P298" s="31"/>
      <c r="Q298" s="31"/>
      <c r="R298" s="32"/>
    </row>
    <row r="299" spans="1:18">
      <c r="A299" s="34" t="e">
        <f>A278+1</f>
        <v>#REF!</v>
      </c>
      <c r="B299" s="713" t="s">
        <v>240</v>
      </c>
      <c r="C299" s="66">
        <v>10</v>
      </c>
      <c r="D299" s="4"/>
      <c r="E299" s="6"/>
      <c r="F299" s="29"/>
      <c r="G299" s="26"/>
      <c r="H299" s="26"/>
      <c r="I299" s="6"/>
      <c r="J299" s="6"/>
      <c r="K299" s="29"/>
      <c r="L299" s="26"/>
      <c r="M299" s="26"/>
      <c r="N299" s="6"/>
      <c r="O299" s="6"/>
      <c r="P299" s="29"/>
      <c r="Q299" s="26"/>
      <c r="R299" s="26"/>
    </row>
    <row r="300" spans="1:18">
      <c r="A300" s="2"/>
      <c r="B300" s="714"/>
      <c r="C300" s="124" t="s">
        <v>127</v>
      </c>
      <c r="D300" s="4" t="s">
        <v>241</v>
      </c>
      <c r="E300" s="6" t="s">
        <v>81</v>
      </c>
      <c r="F300" s="29">
        <v>3</v>
      </c>
      <c r="G300" s="26">
        <f>sr</f>
        <v>1100</v>
      </c>
      <c r="H300" s="26">
        <f>F300*G300</f>
        <v>3300</v>
      </c>
      <c r="I300" s="7" t="s">
        <v>230</v>
      </c>
      <c r="J300" s="8" t="s">
        <v>11</v>
      </c>
      <c r="K300" s="29">
        <f>0.6/6</f>
        <v>9.9999999999999992E-2</v>
      </c>
      <c r="L300" s="28">
        <f>planks</f>
        <v>34635.06</v>
      </c>
      <c r="M300" s="26">
        <f>K300*L300</f>
        <v>3463.5059999999994</v>
      </c>
      <c r="N300" s="8"/>
      <c r="O300" s="6"/>
      <c r="P300" s="29"/>
      <c r="Q300" s="28"/>
      <c r="R300" s="26"/>
    </row>
    <row r="301" spans="1:18">
      <c r="A301" s="2"/>
      <c r="B301" s="714"/>
      <c r="C301" s="6"/>
      <c r="D301" s="4" t="s">
        <v>242</v>
      </c>
      <c r="E301" s="6" t="s">
        <v>81</v>
      </c>
      <c r="F301" s="29">
        <v>3</v>
      </c>
      <c r="G301" s="26">
        <f>ur</f>
        <v>850</v>
      </c>
      <c r="H301" s="26">
        <f>F301*G301</f>
        <v>2550</v>
      </c>
      <c r="I301" s="7" t="s">
        <v>231</v>
      </c>
      <c r="J301" s="8" t="s">
        <v>11</v>
      </c>
      <c r="K301" s="29">
        <f>0.22/8</f>
        <v>2.75E-2</v>
      </c>
      <c r="L301" s="154">
        <f>AVERAGE(timber,planks)</f>
        <v>64135.06</v>
      </c>
      <c r="M301" s="26">
        <f>K301*L301</f>
        <v>1763.71415</v>
      </c>
      <c r="N301" s="8"/>
      <c r="O301" s="6"/>
      <c r="P301" s="29"/>
      <c r="Q301" s="28"/>
      <c r="R301" s="26"/>
    </row>
    <row r="302" spans="1:18">
      <c r="A302" s="2"/>
      <c r="B302" s="714"/>
      <c r="C302" s="6"/>
      <c r="D302" s="4"/>
      <c r="E302" s="6"/>
      <c r="F302" s="29"/>
      <c r="G302" s="26"/>
      <c r="H302" s="26"/>
      <c r="I302" s="7" t="s">
        <v>232</v>
      </c>
      <c r="J302" s="8" t="s">
        <v>28</v>
      </c>
      <c r="K302" s="29">
        <v>4</v>
      </c>
      <c r="L302" s="28">
        <f>nails/1000</f>
        <v>124.14419000000001</v>
      </c>
      <c r="M302" s="26">
        <f>K302*L302</f>
        <v>496.57676000000004</v>
      </c>
      <c r="N302" s="8"/>
      <c r="O302" s="6"/>
      <c r="P302" s="29"/>
      <c r="Q302" s="28"/>
      <c r="R302" s="26"/>
    </row>
    <row r="303" spans="1:18">
      <c r="A303" s="2"/>
      <c r="B303" s="714"/>
      <c r="C303" s="6"/>
      <c r="D303" s="4"/>
      <c r="E303" s="6"/>
      <c r="F303" s="29"/>
      <c r="G303" s="26"/>
      <c r="H303" s="26"/>
      <c r="I303" s="7"/>
      <c r="J303" s="8"/>
      <c r="K303" s="29"/>
      <c r="L303" s="28"/>
      <c r="M303" s="26"/>
      <c r="N303" s="8"/>
      <c r="O303" s="6"/>
      <c r="P303" s="29"/>
      <c r="Q303" s="28"/>
      <c r="R303" s="26"/>
    </row>
    <row r="304" spans="1:18">
      <c r="A304" s="2"/>
      <c r="B304" s="714"/>
      <c r="C304" s="6"/>
      <c r="D304" s="4"/>
      <c r="E304" s="6"/>
      <c r="F304" s="29"/>
      <c r="G304" s="26"/>
      <c r="H304" s="26"/>
      <c r="I304" s="7"/>
      <c r="J304" s="8"/>
      <c r="K304" s="29"/>
      <c r="L304" s="28"/>
      <c r="M304" s="28"/>
      <c r="N304" s="8"/>
      <c r="O304" s="6"/>
      <c r="P304" s="29"/>
      <c r="Q304" s="28"/>
      <c r="R304" s="28"/>
    </row>
    <row r="305" spans="1:18">
      <c r="A305" s="2"/>
      <c r="B305" s="5"/>
      <c r="C305" s="6"/>
      <c r="D305" s="4"/>
      <c r="E305" s="9"/>
      <c r="F305" s="30"/>
      <c r="G305" s="27"/>
      <c r="H305" s="27"/>
      <c r="I305" s="9"/>
      <c r="J305" s="10"/>
      <c r="K305" s="30"/>
      <c r="L305" s="28"/>
      <c r="M305" s="28"/>
      <c r="N305" s="8"/>
      <c r="O305" s="6"/>
      <c r="P305" s="30"/>
      <c r="Q305" s="28"/>
      <c r="R305" s="28"/>
    </row>
    <row r="306" spans="1:18">
      <c r="A306" s="2"/>
      <c r="B306" s="11"/>
      <c r="C306" s="6"/>
      <c r="D306" s="12"/>
      <c r="E306" s="544"/>
      <c r="F306" s="13"/>
      <c r="G306" s="13" t="s">
        <v>20</v>
      </c>
      <c r="H306" s="25">
        <f>SUM(H299:H305)</f>
        <v>5850</v>
      </c>
      <c r="I306" s="703"/>
      <c r="J306" s="703"/>
      <c r="K306" s="14"/>
      <c r="L306" s="13" t="s">
        <v>21</v>
      </c>
      <c r="M306" s="25">
        <f>SUM(M299:M305)</f>
        <v>5723.7969099999991</v>
      </c>
      <c r="N306" s="3"/>
      <c r="O306" s="14"/>
      <c r="P306" s="14"/>
      <c r="Q306" s="13" t="s">
        <v>22</v>
      </c>
      <c r="R306" s="25">
        <f>SUM(R299:R305)</f>
        <v>0</v>
      </c>
    </row>
    <row r="307" spans="1:18">
      <c r="A307" s="2"/>
      <c r="B307" s="16" t="s">
        <v>13</v>
      </c>
      <c r="C307" s="14"/>
      <c r="D307" s="14"/>
      <c r="E307" s="14"/>
      <c r="F307" s="14"/>
      <c r="G307" s="13"/>
      <c r="H307" s="35">
        <f>M306+R306+H306</f>
        <v>11573.796909999999</v>
      </c>
      <c r="I307" s="17"/>
      <c r="J307" s="14"/>
      <c r="K307" s="14"/>
      <c r="L307" s="13"/>
      <c r="M307" s="15"/>
      <c r="N307" s="14"/>
      <c r="O307" s="14"/>
      <c r="P307" s="14"/>
      <c r="Q307" s="14"/>
      <c r="R307" s="17"/>
    </row>
    <row r="308" spans="1:18">
      <c r="A308" s="2"/>
      <c r="B308" s="11" t="s">
        <v>25</v>
      </c>
      <c r="C308" s="4"/>
      <c r="D308" s="4"/>
      <c r="E308" s="4"/>
      <c r="F308" s="4"/>
      <c r="G308" s="18"/>
      <c r="H308" s="36">
        <v>0</v>
      </c>
      <c r="I308" s="20"/>
      <c r="J308" s="4" t="s">
        <v>26</v>
      </c>
      <c r="K308" s="4"/>
      <c r="L308" s="18"/>
      <c r="M308" s="19"/>
      <c r="N308" s="4"/>
      <c r="O308" s="4"/>
      <c r="P308" s="4"/>
      <c r="Q308" s="4"/>
      <c r="R308" s="20"/>
    </row>
    <row r="309" spans="1:18">
      <c r="A309" s="23"/>
      <c r="B309" s="11" t="s">
        <v>14</v>
      </c>
      <c r="C309" s="4"/>
      <c r="D309" s="4"/>
      <c r="E309" s="4"/>
      <c r="F309" s="4"/>
      <c r="G309" s="18"/>
      <c r="H309" s="36">
        <f>SUM(H307:H308)</f>
        <v>11573.796909999999</v>
      </c>
      <c r="I309" s="20"/>
      <c r="J309" s="741"/>
      <c r="K309" s="742"/>
      <c r="L309" s="742"/>
      <c r="M309" s="742"/>
      <c r="N309" s="742"/>
      <c r="O309" s="742"/>
      <c r="P309" s="742"/>
      <c r="Q309" s="742"/>
      <c r="R309" s="743"/>
    </row>
    <row r="310" spans="1:18">
      <c r="A310" s="23"/>
      <c r="B310" s="11" t="s">
        <v>24</v>
      </c>
      <c r="C310" s="4"/>
      <c r="D310" s="4"/>
      <c r="E310" s="4"/>
      <c r="F310" s="4"/>
      <c r="G310" s="18"/>
      <c r="H310" s="36">
        <f>H309*15%</f>
        <v>1736.0695364999999</v>
      </c>
      <c r="I310" s="20"/>
      <c r="J310" s="744"/>
      <c r="K310" s="745"/>
      <c r="L310" s="745"/>
      <c r="M310" s="745"/>
      <c r="N310" s="745"/>
      <c r="O310" s="745"/>
      <c r="P310" s="745"/>
      <c r="Q310" s="745"/>
      <c r="R310" s="746"/>
    </row>
    <row r="311" spans="1:18">
      <c r="A311" s="23"/>
      <c r="B311" s="11" t="s">
        <v>15</v>
      </c>
      <c r="C311" s="4"/>
      <c r="D311" s="4"/>
      <c r="E311" s="4"/>
      <c r="F311" s="4"/>
      <c r="G311" s="21" t="s">
        <v>16</v>
      </c>
      <c r="H311" s="37">
        <f>H310+H309</f>
        <v>13309.866446499998</v>
      </c>
      <c r="I311" s="38" t="str">
        <f>CONCATENATE("per ",C299, C300)</f>
        <v>per 10sqm</v>
      </c>
      <c r="J311" s="744"/>
      <c r="K311" s="745"/>
      <c r="L311" s="745"/>
      <c r="M311" s="745"/>
      <c r="N311" s="745"/>
      <c r="O311" s="745"/>
      <c r="P311" s="745"/>
      <c r="Q311" s="745"/>
      <c r="R311" s="746"/>
    </row>
    <row r="312" spans="1:18">
      <c r="A312" s="23"/>
      <c r="B312" s="11"/>
      <c r="C312" s="4"/>
      <c r="D312" s="4"/>
      <c r="E312" s="4"/>
      <c r="F312" s="4"/>
      <c r="G312" s="21" t="s">
        <v>16</v>
      </c>
      <c r="H312" s="37">
        <f>H311/C299</f>
        <v>1330.9866446499998</v>
      </c>
      <c r="I312" s="38" t="str">
        <f>CONCATENATE("per ",C300)</f>
        <v>per sqm</v>
      </c>
      <c r="J312" s="744"/>
      <c r="K312" s="745"/>
      <c r="L312" s="745"/>
      <c r="M312" s="745"/>
      <c r="N312" s="745"/>
      <c r="O312" s="745"/>
      <c r="P312" s="745"/>
      <c r="Q312" s="745"/>
      <c r="R312" s="746"/>
    </row>
    <row r="313" spans="1:18">
      <c r="A313" s="23"/>
      <c r="B313" s="11" t="s">
        <v>18</v>
      </c>
      <c r="C313" s="4" t="s">
        <v>19</v>
      </c>
      <c r="D313" s="4"/>
      <c r="E313" s="4"/>
      <c r="F313" s="4"/>
      <c r="G313" s="21" t="s">
        <v>16</v>
      </c>
      <c r="H313" s="37">
        <f>CEILING(H312,0.5)</f>
        <v>1331</v>
      </c>
      <c r="I313" s="38" t="str">
        <f>CONCATENATE("per ",C300)</f>
        <v>per sqm</v>
      </c>
      <c r="J313" s="744"/>
      <c r="K313" s="745"/>
      <c r="L313" s="745"/>
      <c r="M313" s="745"/>
      <c r="N313" s="745"/>
      <c r="O313" s="745"/>
      <c r="P313" s="745"/>
      <c r="Q313" s="745"/>
      <c r="R313" s="746"/>
    </row>
    <row r="314" spans="1:18">
      <c r="A314" s="23"/>
      <c r="B314" s="11"/>
      <c r="C314" s="4"/>
      <c r="D314" s="4"/>
      <c r="E314" s="4"/>
      <c r="F314" s="4"/>
      <c r="G314" s="24" t="s">
        <v>17</v>
      </c>
      <c r="H314" s="37">
        <f>H313/exr</f>
        <v>10.238461538461538</v>
      </c>
      <c r="I314" s="38" t="str">
        <f>CONCATENATE("per ",C300)</f>
        <v>per sqm</v>
      </c>
      <c r="J314" s="747"/>
      <c r="K314" s="748"/>
      <c r="L314" s="748"/>
      <c r="M314" s="748"/>
      <c r="N314" s="748"/>
      <c r="O314" s="748"/>
      <c r="P314" s="748"/>
      <c r="Q314" s="748"/>
      <c r="R314" s="749"/>
    </row>
    <row r="315" spans="1:18">
      <c r="A315" s="39"/>
      <c r="B315" s="40"/>
      <c r="C315" s="41"/>
      <c r="D315" s="41"/>
      <c r="E315" s="41"/>
      <c r="F315" s="41"/>
      <c r="G315" s="149" t="s">
        <v>460</v>
      </c>
      <c r="H315" s="150">
        <f>CEILING(SUM(M302)/H307,0.0025)</f>
        <v>4.4999999999999998E-2</v>
      </c>
      <c r="I315" s="42"/>
      <c r="J315" s="43"/>
      <c r="K315" s="43"/>
      <c r="L315" s="43"/>
      <c r="M315" s="43"/>
      <c r="N315" s="43"/>
      <c r="O315" s="43"/>
      <c r="P315" s="43"/>
      <c r="Q315" s="43"/>
      <c r="R315" s="44"/>
    </row>
    <row r="317" spans="1:18">
      <c r="A317" s="693" t="s">
        <v>0</v>
      </c>
      <c r="B317" s="695" t="s">
        <v>1</v>
      </c>
      <c r="C317" s="695" t="s">
        <v>2</v>
      </c>
      <c r="D317" s="697" t="s">
        <v>3</v>
      </c>
      <c r="E317" s="698"/>
      <c r="F317" s="698"/>
      <c r="G317" s="698"/>
      <c r="H317" s="698"/>
      <c r="I317" s="699" t="s">
        <v>4</v>
      </c>
      <c r="J317" s="700"/>
      <c r="K317" s="700"/>
      <c r="L317" s="700"/>
      <c r="M317" s="700"/>
      <c r="N317" s="698" t="s">
        <v>5</v>
      </c>
      <c r="O317" s="698"/>
      <c r="P317" s="698"/>
      <c r="Q317" s="698"/>
      <c r="R317" s="698"/>
    </row>
    <row r="318" spans="1:18">
      <c r="A318" s="694"/>
      <c r="B318" s="696"/>
      <c r="C318" s="696"/>
      <c r="D318" s="45" t="s">
        <v>6</v>
      </c>
      <c r="E318" s="46" t="s">
        <v>2</v>
      </c>
      <c r="F318" s="46" t="s">
        <v>7</v>
      </c>
      <c r="G318" s="46" t="s">
        <v>8</v>
      </c>
      <c r="H318" s="46" t="s">
        <v>9</v>
      </c>
      <c r="I318" s="46" t="s">
        <v>10</v>
      </c>
      <c r="J318" s="46" t="s">
        <v>2</v>
      </c>
      <c r="K318" s="46" t="s">
        <v>7</v>
      </c>
      <c r="L318" s="46" t="s">
        <v>8</v>
      </c>
      <c r="M318" s="47" t="s">
        <v>9</v>
      </c>
      <c r="N318" s="46" t="s">
        <v>10</v>
      </c>
      <c r="O318" s="46" t="s">
        <v>2</v>
      </c>
      <c r="P318" s="46" t="s">
        <v>7</v>
      </c>
      <c r="Q318" s="46" t="s">
        <v>8</v>
      </c>
      <c r="R318" s="46" t="s">
        <v>9</v>
      </c>
    </row>
    <row r="319" spans="1:18">
      <c r="A319" s="33" t="s">
        <v>23</v>
      </c>
      <c r="B319" s="73" t="s">
        <v>245</v>
      </c>
      <c r="C319" s="31"/>
      <c r="D319" s="31"/>
      <c r="E319" s="31"/>
      <c r="F319" s="31"/>
      <c r="G319" s="31"/>
      <c r="H319" s="31"/>
      <c r="I319" s="31"/>
      <c r="J319" s="31"/>
      <c r="K319" s="31"/>
      <c r="L319" s="31"/>
      <c r="M319" s="31"/>
      <c r="N319" s="31"/>
      <c r="O319" s="31"/>
      <c r="P319" s="31"/>
      <c r="Q319" s="31"/>
      <c r="R319" s="32"/>
    </row>
    <row r="320" spans="1:18">
      <c r="A320" s="34" t="e">
        <f>A299+1</f>
        <v>#REF!</v>
      </c>
      <c r="B320" s="713" t="s">
        <v>244</v>
      </c>
      <c r="C320" s="66">
        <v>10</v>
      </c>
      <c r="D320" s="4"/>
      <c r="E320" s="6"/>
      <c r="F320" s="29"/>
      <c r="G320" s="26"/>
      <c r="H320" s="26"/>
      <c r="I320" s="6"/>
      <c r="J320" s="6"/>
      <c r="K320" s="29"/>
      <c r="L320" s="26"/>
      <c r="M320" s="26"/>
      <c r="N320" s="6"/>
      <c r="O320" s="6"/>
      <c r="P320" s="29"/>
      <c r="Q320" s="26"/>
      <c r="R320" s="26"/>
    </row>
    <row r="321" spans="1:18">
      <c r="A321" s="2"/>
      <c r="B321" s="714"/>
      <c r="C321" s="124" t="s">
        <v>127</v>
      </c>
      <c r="D321" s="4" t="s">
        <v>241</v>
      </c>
      <c r="E321" s="6" t="s">
        <v>81</v>
      </c>
      <c r="F321" s="29">
        <v>3.5</v>
      </c>
      <c r="G321" s="26">
        <f>sr</f>
        <v>1100</v>
      </c>
      <c r="H321" s="26">
        <f>F321*G321</f>
        <v>3850</v>
      </c>
      <c r="I321" s="7" t="s">
        <v>234</v>
      </c>
      <c r="J321" s="8" t="s">
        <v>127</v>
      </c>
      <c r="K321" s="29">
        <f>11/6</f>
        <v>1.8333333333333333</v>
      </c>
      <c r="L321" s="28">
        <f>plywood</f>
        <v>420.36</v>
      </c>
      <c r="M321" s="26">
        <f>K321*L321</f>
        <v>770.66</v>
      </c>
      <c r="N321" s="8"/>
      <c r="O321" s="6"/>
      <c r="P321" s="29"/>
      <c r="Q321" s="28"/>
      <c r="R321" s="26"/>
    </row>
    <row r="322" spans="1:18">
      <c r="A322" s="2"/>
      <c r="B322" s="714"/>
      <c r="C322" s="6"/>
      <c r="D322" s="4" t="s">
        <v>242</v>
      </c>
      <c r="E322" s="6" t="s">
        <v>81</v>
      </c>
      <c r="F322" s="29">
        <v>3</v>
      </c>
      <c r="G322" s="26">
        <f>ur</f>
        <v>850</v>
      </c>
      <c r="H322" s="26">
        <f>F322*G322</f>
        <v>2550</v>
      </c>
      <c r="I322" s="7" t="s">
        <v>231</v>
      </c>
      <c r="J322" s="8" t="s">
        <v>11</v>
      </c>
      <c r="K322" s="29">
        <f>0.3/6</f>
        <v>4.9999999999999996E-2</v>
      </c>
      <c r="L322" s="154">
        <f>AVERAGE(timber,planks)</f>
        <v>64135.06</v>
      </c>
      <c r="M322" s="26">
        <f>K322*L322</f>
        <v>3206.7529999999997</v>
      </c>
      <c r="N322" s="8"/>
      <c r="O322" s="6"/>
      <c r="P322" s="29"/>
      <c r="Q322" s="28"/>
      <c r="R322" s="26"/>
    </row>
    <row r="323" spans="1:18">
      <c r="A323" s="2"/>
      <c r="B323" s="714"/>
      <c r="C323" s="6"/>
      <c r="D323" s="4"/>
      <c r="E323" s="6"/>
      <c r="F323" s="29"/>
      <c r="G323" s="26"/>
      <c r="H323" s="26"/>
      <c r="I323" s="7" t="s">
        <v>232</v>
      </c>
      <c r="J323" s="8" t="s">
        <v>28</v>
      </c>
      <c r="K323" s="29">
        <v>4</v>
      </c>
      <c r="L323" s="28">
        <f>nails/1000</f>
        <v>124.14419000000001</v>
      </c>
      <c r="M323" s="26">
        <f>K323*L323</f>
        <v>496.57676000000004</v>
      </c>
      <c r="N323" s="8"/>
      <c r="O323" s="6"/>
      <c r="P323" s="29"/>
      <c r="Q323" s="28"/>
      <c r="R323" s="26"/>
    </row>
    <row r="324" spans="1:18">
      <c r="A324" s="2"/>
      <c r="B324" s="714"/>
      <c r="C324" s="6"/>
      <c r="D324" s="4"/>
      <c r="E324" s="6"/>
      <c r="F324" s="29"/>
      <c r="G324" s="26"/>
      <c r="H324" s="26"/>
      <c r="I324" s="7"/>
      <c r="J324" s="8"/>
      <c r="K324" s="29"/>
      <c r="L324" s="28"/>
      <c r="M324" s="26"/>
      <c r="N324" s="8"/>
      <c r="O324" s="6"/>
      <c r="P324" s="29"/>
      <c r="Q324" s="28"/>
      <c r="R324" s="26"/>
    </row>
    <row r="325" spans="1:18">
      <c r="A325" s="2"/>
      <c r="B325" s="714"/>
      <c r="C325" s="6"/>
      <c r="D325" s="4"/>
      <c r="E325" s="6"/>
      <c r="F325" s="29"/>
      <c r="G325" s="26"/>
      <c r="H325" s="26"/>
      <c r="I325" s="7"/>
      <c r="J325" s="8"/>
      <c r="K325" s="29"/>
      <c r="L325" s="28"/>
      <c r="M325" s="28"/>
      <c r="N325" s="8"/>
      <c r="O325" s="6"/>
      <c r="P325" s="29"/>
      <c r="Q325" s="28"/>
      <c r="R325" s="28"/>
    </row>
    <row r="326" spans="1:18">
      <c r="A326" s="2"/>
      <c r="B326" s="5"/>
      <c r="C326" s="6"/>
      <c r="D326" s="4"/>
      <c r="E326" s="9"/>
      <c r="F326" s="30"/>
      <c r="G326" s="27"/>
      <c r="H326" s="27"/>
      <c r="I326" s="9"/>
      <c r="J326" s="10"/>
      <c r="K326" s="30"/>
      <c r="L326" s="28"/>
      <c r="M326" s="28"/>
      <c r="N326" s="8"/>
      <c r="O326" s="6"/>
      <c r="P326" s="30"/>
      <c r="Q326" s="28"/>
      <c r="R326" s="28"/>
    </row>
    <row r="327" spans="1:18">
      <c r="A327" s="2"/>
      <c r="B327" s="11"/>
      <c r="C327" s="6"/>
      <c r="D327" s="12"/>
      <c r="E327" s="544"/>
      <c r="F327" s="13"/>
      <c r="G327" s="13" t="s">
        <v>20</v>
      </c>
      <c r="H327" s="25">
        <f>SUM(H320:H326)</f>
        <v>6400</v>
      </c>
      <c r="I327" s="703"/>
      <c r="J327" s="703"/>
      <c r="K327" s="14"/>
      <c r="L327" s="13" t="s">
        <v>21</v>
      </c>
      <c r="M327" s="25">
        <f>SUM(M320:M326)</f>
        <v>4473.9897599999995</v>
      </c>
      <c r="N327" s="3"/>
      <c r="O327" s="14"/>
      <c r="P327" s="14"/>
      <c r="Q327" s="13" t="s">
        <v>22</v>
      </c>
      <c r="R327" s="25">
        <f>SUM(R320:R326)</f>
        <v>0</v>
      </c>
    </row>
    <row r="328" spans="1:18">
      <c r="A328" s="2"/>
      <c r="B328" s="16" t="s">
        <v>13</v>
      </c>
      <c r="C328" s="14"/>
      <c r="D328" s="14"/>
      <c r="E328" s="14"/>
      <c r="F328" s="14"/>
      <c r="G328" s="13"/>
      <c r="H328" s="35">
        <f>M327+R327+H327</f>
        <v>10873.98976</v>
      </c>
      <c r="I328" s="17"/>
      <c r="J328" s="14"/>
      <c r="K328" s="14"/>
      <c r="L328" s="13"/>
      <c r="M328" s="15"/>
      <c r="N328" s="14"/>
      <c r="O328" s="14"/>
      <c r="P328" s="14"/>
      <c r="Q328" s="14"/>
      <c r="R328" s="17"/>
    </row>
    <row r="329" spans="1:18">
      <c r="A329" s="2"/>
      <c r="B329" s="11" t="s">
        <v>25</v>
      </c>
      <c r="C329" s="4"/>
      <c r="D329" s="4"/>
      <c r="E329" s="4"/>
      <c r="F329" s="4"/>
      <c r="G329" s="18"/>
      <c r="H329" s="36">
        <v>0</v>
      </c>
      <c r="I329" s="20"/>
      <c r="J329" s="4" t="s">
        <v>26</v>
      </c>
      <c r="K329" s="4"/>
      <c r="L329" s="18"/>
      <c r="M329" s="19"/>
      <c r="N329" s="4"/>
      <c r="O329" s="4"/>
      <c r="P329" s="4"/>
      <c r="Q329" s="4"/>
      <c r="R329" s="20"/>
    </row>
    <row r="330" spans="1:18">
      <c r="A330" s="23"/>
      <c r="B330" s="11" t="s">
        <v>14</v>
      </c>
      <c r="C330" s="4"/>
      <c r="D330" s="4"/>
      <c r="E330" s="4"/>
      <c r="F330" s="4"/>
      <c r="G330" s="18"/>
      <c r="H330" s="36">
        <f>SUM(H328:H329)</f>
        <v>10873.98976</v>
      </c>
      <c r="I330" s="20"/>
      <c r="J330" s="741"/>
      <c r="K330" s="742"/>
      <c r="L330" s="742"/>
      <c r="M330" s="742"/>
      <c r="N330" s="742"/>
      <c r="O330" s="742"/>
      <c r="P330" s="742"/>
      <c r="Q330" s="742"/>
      <c r="R330" s="743"/>
    </row>
    <row r="331" spans="1:18">
      <c r="A331" s="23"/>
      <c r="B331" s="11" t="s">
        <v>24</v>
      </c>
      <c r="C331" s="4"/>
      <c r="D331" s="4"/>
      <c r="E331" s="4"/>
      <c r="F331" s="4"/>
      <c r="G331" s="18"/>
      <c r="H331" s="36">
        <f>H330*15%</f>
        <v>1631.0984639999999</v>
      </c>
      <c r="I331" s="20"/>
      <c r="J331" s="744"/>
      <c r="K331" s="745"/>
      <c r="L331" s="745"/>
      <c r="M331" s="745"/>
      <c r="N331" s="745"/>
      <c r="O331" s="745"/>
      <c r="P331" s="745"/>
      <c r="Q331" s="745"/>
      <c r="R331" s="746"/>
    </row>
    <row r="332" spans="1:18">
      <c r="A332" s="23"/>
      <c r="B332" s="11" t="s">
        <v>15</v>
      </c>
      <c r="C332" s="4"/>
      <c r="D332" s="4"/>
      <c r="E332" s="4"/>
      <c r="F332" s="4"/>
      <c r="G332" s="21" t="s">
        <v>16</v>
      </c>
      <c r="H332" s="37">
        <f>H331+H330</f>
        <v>12505.088224000001</v>
      </c>
      <c r="I332" s="38" t="str">
        <f>CONCATENATE("per ",C320, C321)</f>
        <v>per 10sqm</v>
      </c>
      <c r="J332" s="744"/>
      <c r="K332" s="745"/>
      <c r="L332" s="745"/>
      <c r="M332" s="745"/>
      <c r="N332" s="745"/>
      <c r="O332" s="745"/>
      <c r="P332" s="745"/>
      <c r="Q332" s="745"/>
      <c r="R332" s="746"/>
    </row>
    <row r="333" spans="1:18">
      <c r="A333" s="23"/>
      <c r="B333" s="11"/>
      <c r="C333" s="4"/>
      <c r="D333" s="4"/>
      <c r="E333" s="4"/>
      <c r="F333" s="4"/>
      <c r="G333" s="21" t="s">
        <v>16</v>
      </c>
      <c r="H333" s="37">
        <f>H332/C320</f>
        <v>1250.5088224000001</v>
      </c>
      <c r="I333" s="38" t="str">
        <f>CONCATENATE("per ",C321)</f>
        <v>per sqm</v>
      </c>
      <c r="J333" s="744"/>
      <c r="K333" s="745"/>
      <c r="L333" s="745"/>
      <c r="M333" s="745"/>
      <c r="N333" s="745"/>
      <c r="O333" s="745"/>
      <c r="P333" s="745"/>
      <c r="Q333" s="745"/>
      <c r="R333" s="746"/>
    </row>
    <row r="334" spans="1:18">
      <c r="A334" s="23"/>
      <c r="B334" s="11" t="s">
        <v>18</v>
      </c>
      <c r="C334" s="4" t="s">
        <v>19</v>
      </c>
      <c r="D334" s="4"/>
      <c r="E334" s="4"/>
      <c r="F334" s="4"/>
      <c r="G334" s="21" t="s">
        <v>16</v>
      </c>
      <c r="H334" s="37">
        <f>CEILING(H333,0.5)</f>
        <v>1251</v>
      </c>
      <c r="I334" s="38" t="str">
        <f>CONCATENATE("per ",C321)</f>
        <v>per sqm</v>
      </c>
      <c r="J334" s="744"/>
      <c r="K334" s="745"/>
      <c r="L334" s="745"/>
      <c r="M334" s="745"/>
      <c r="N334" s="745"/>
      <c r="O334" s="745"/>
      <c r="P334" s="745"/>
      <c r="Q334" s="745"/>
      <c r="R334" s="746"/>
    </row>
    <row r="335" spans="1:18">
      <c r="A335" s="23"/>
      <c r="B335" s="11"/>
      <c r="C335" s="4"/>
      <c r="D335" s="4"/>
      <c r="E335" s="4"/>
      <c r="F335" s="4"/>
      <c r="G335" s="24" t="s">
        <v>17</v>
      </c>
      <c r="H335" s="37">
        <f>H334/exr</f>
        <v>9.6230769230769226</v>
      </c>
      <c r="I335" s="38" t="str">
        <f>CONCATENATE("per ",C321)</f>
        <v>per sqm</v>
      </c>
      <c r="J335" s="747"/>
      <c r="K335" s="748"/>
      <c r="L335" s="748"/>
      <c r="M335" s="748"/>
      <c r="N335" s="748"/>
      <c r="O335" s="748"/>
      <c r="P335" s="748"/>
      <c r="Q335" s="748"/>
      <c r="R335" s="749"/>
    </row>
    <row r="336" spans="1:18">
      <c r="A336" s="39"/>
      <c r="B336" s="40"/>
      <c r="C336" s="41"/>
      <c r="D336" s="41"/>
      <c r="E336" s="41"/>
      <c r="F336" s="41"/>
      <c r="G336" s="149" t="s">
        <v>460</v>
      </c>
      <c r="H336" s="150">
        <f>CEILING(SUM(M323)/H328,0.0025)</f>
        <v>4.7500000000000001E-2</v>
      </c>
      <c r="I336" s="42"/>
      <c r="J336" s="43"/>
      <c r="K336" s="43"/>
      <c r="L336" s="43"/>
      <c r="M336" s="43"/>
      <c r="N336" s="43"/>
      <c r="O336" s="43"/>
      <c r="P336" s="43"/>
      <c r="Q336" s="43"/>
      <c r="R336" s="44"/>
    </row>
  </sheetData>
  <mergeCells count="144">
    <mergeCell ref="A296:A297"/>
    <mergeCell ref="B296:B297"/>
    <mergeCell ref="C296:C297"/>
    <mergeCell ref="D296:H296"/>
    <mergeCell ref="I296:M296"/>
    <mergeCell ref="N296:R296"/>
    <mergeCell ref="B320:B325"/>
    <mergeCell ref="I327:J327"/>
    <mergeCell ref="J330:R335"/>
    <mergeCell ref="B299:B304"/>
    <mergeCell ref="I306:J306"/>
    <mergeCell ref="J309:R314"/>
    <mergeCell ref="A317:A318"/>
    <mergeCell ref="B317:B318"/>
    <mergeCell ref="C317:C318"/>
    <mergeCell ref="D317:H317"/>
    <mergeCell ref="I317:M317"/>
    <mergeCell ref="N317:R317"/>
    <mergeCell ref="A275:A276"/>
    <mergeCell ref="B275:B276"/>
    <mergeCell ref="C275:C276"/>
    <mergeCell ref="D275:H275"/>
    <mergeCell ref="I275:M275"/>
    <mergeCell ref="N275:R275"/>
    <mergeCell ref="B278:B283"/>
    <mergeCell ref="I285:J285"/>
    <mergeCell ref="J288:R293"/>
    <mergeCell ref="A254:A255"/>
    <mergeCell ref="B254:B255"/>
    <mergeCell ref="C254:C255"/>
    <mergeCell ref="D254:H254"/>
    <mergeCell ref="I254:M254"/>
    <mergeCell ref="N254:R254"/>
    <mergeCell ref="B257:B262"/>
    <mergeCell ref="I264:J264"/>
    <mergeCell ref="J267:R272"/>
    <mergeCell ref="A233:A234"/>
    <mergeCell ref="B233:B234"/>
    <mergeCell ref="C233:C234"/>
    <mergeCell ref="D233:H233"/>
    <mergeCell ref="I233:M233"/>
    <mergeCell ref="N233:R233"/>
    <mergeCell ref="B236:B241"/>
    <mergeCell ref="I243:J243"/>
    <mergeCell ref="J246:R251"/>
    <mergeCell ref="A212:A213"/>
    <mergeCell ref="B212:B213"/>
    <mergeCell ref="C212:C213"/>
    <mergeCell ref="D212:H212"/>
    <mergeCell ref="I212:M212"/>
    <mergeCell ref="N212:R212"/>
    <mergeCell ref="B215:B220"/>
    <mergeCell ref="I222:J222"/>
    <mergeCell ref="J225:R230"/>
    <mergeCell ref="A191:A192"/>
    <mergeCell ref="B191:B192"/>
    <mergeCell ref="C191:C192"/>
    <mergeCell ref="D191:H191"/>
    <mergeCell ref="I191:M191"/>
    <mergeCell ref="N191:R191"/>
    <mergeCell ref="B194:B199"/>
    <mergeCell ref="I201:J201"/>
    <mergeCell ref="J204:R209"/>
    <mergeCell ref="A170:A171"/>
    <mergeCell ref="B170:B171"/>
    <mergeCell ref="C170:C171"/>
    <mergeCell ref="D170:H170"/>
    <mergeCell ref="I170:M170"/>
    <mergeCell ref="N170:R170"/>
    <mergeCell ref="B173:B178"/>
    <mergeCell ref="I180:J180"/>
    <mergeCell ref="J183:R188"/>
    <mergeCell ref="A149:A150"/>
    <mergeCell ref="B149:B150"/>
    <mergeCell ref="C149:C150"/>
    <mergeCell ref="D149:H149"/>
    <mergeCell ref="I149:M149"/>
    <mergeCell ref="N149:R149"/>
    <mergeCell ref="B152:B157"/>
    <mergeCell ref="I159:J159"/>
    <mergeCell ref="J162:R167"/>
    <mergeCell ref="A128:A129"/>
    <mergeCell ref="B128:B129"/>
    <mergeCell ref="C128:C129"/>
    <mergeCell ref="D128:H128"/>
    <mergeCell ref="I128:M128"/>
    <mergeCell ref="N128:R128"/>
    <mergeCell ref="B131:B136"/>
    <mergeCell ref="I138:J138"/>
    <mergeCell ref="J141:R146"/>
    <mergeCell ref="A107:A108"/>
    <mergeCell ref="B107:B108"/>
    <mergeCell ref="C107:C108"/>
    <mergeCell ref="D107:H107"/>
    <mergeCell ref="I107:M107"/>
    <mergeCell ref="N107:R107"/>
    <mergeCell ref="B110:B115"/>
    <mergeCell ref="I117:J117"/>
    <mergeCell ref="J120:R125"/>
    <mergeCell ref="A86:A87"/>
    <mergeCell ref="B86:B87"/>
    <mergeCell ref="C86:C87"/>
    <mergeCell ref="D86:H86"/>
    <mergeCell ref="I86:M86"/>
    <mergeCell ref="N86:R86"/>
    <mergeCell ref="B89:B94"/>
    <mergeCell ref="I96:J96"/>
    <mergeCell ref="J99:R104"/>
    <mergeCell ref="A65:A66"/>
    <mergeCell ref="B65:B66"/>
    <mergeCell ref="C65:C66"/>
    <mergeCell ref="D65:H65"/>
    <mergeCell ref="I65:M65"/>
    <mergeCell ref="N65:R65"/>
    <mergeCell ref="B68:B73"/>
    <mergeCell ref="I75:J75"/>
    <mergeCell ref="J78:R83"/>
    <mergeCell ref="A44:A45"/>
    <mergeCell ref="B44:B45"/>
    <mergeCell ref="C44:C45"/>
    <mergeCell ref="D44:H44"/>
    <mergeCell ref="I44:M44"/>
    <mergeCell ref="N44:R44"/>
    <mergeCell ref="B47:B52"/>
    <mergeCell ref="I54:J54"/>
    <mergeCell ref="J57:R62"/>
    <mergeCell ref="A23:A24"/>
    <mergeCell ref="B23:B24"/>
    <mergeCell ref="C23:C24"/>
    <mergeCell ref="D23:H23"/>
    <mergeCell ref="I23:M23"/>
    <mergeCell ref="N23:R23"/>
    <mergeCell ref="B26:B31"/>
    <mergeCell ref="I33:J33"/>
    <mergeCell ref="J36:R41"/>
    <mergeCell ref="A2:A3"/>
    <mergeCell ref="B2:B3"/>
    <mergeCell ref="C2:C3"/>
    <mergeCell ref="D2:H2"/>
    <mergeCell ref="I2:M2"/>
    <mergeCell ref="N2:R2"/>
    <mergeCell ref="B5:B10"/>
    <mergeCell ref="I12:J12"/>
    <mergeCell ref="J15:R20"/>
  </mergeCells>
  <pageMargins left="0.7" right="0.7" top="0.75" bottom="0.75" header="0.3" footer="0.3"/>
  <pageSetup scale="12"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E71"/>
  <sheetViews>
    <sheetView workbookViewId="0">
      <selection sqref="A1:A2"/>
    </sheetView>
  </sheetViews>
  <sheetFormatPr defaultColWidth="9.140625" defaultRowHeight="12.75"/>
  <cols>
    <col min="1" max="1" width="4.85546875" style="248" customWidth="1"/>
    <col min="2" max="2" width="22" style="248" customWidth="1"/>
    <col min="3" max="3" width="8.28515625" style="248" customWidth="1"/>
    <col min="4" max="4" width="7.7109375" style="248" customWidth="1"/>
    <col min="5" max="5" width="8.42578125" style="248" customWidth="1"/>
    <col min="6" max="6" width="6.85546875" style="248" customWidth="1"/>
    <col min="7" max="7" width="7.5703125" style="248" customWidth="1"/>
    <col min="8" max="8" width="12" style="248" customWidth="1"/>
    <col min="9" max="9" width="11.7109375" style="248" customWidth="1"/>
    <col min="10" max="10" width="10.7109375" style="248" customWidth="1"/>
    <col min="11" max="11" width="6.42578125" style="248" customWidth="1"/>
    <col min="12" max="12" width="8.28515625" style="248" customWidth="1"/>
    <col min="13" max="13" width="11.28515625" style="248" customWidth="1"/>
    <col min="14" max="14" width="13.7109375" style="248" bestFit="1" customWidth="1"/>
    <col min="15" max="15" width="5" style="248" customWidth="1"/>
    <col min="16" max="16" width="6.7109375" style="248" customWidth="1"/>
    <col min="17" max="17" width="9.42578125" style="248" customWidth="1"/>
    <col min="18" max="18" width="12.140625" style="248" bestFit="1" customWidth="1"/>
    <col min="19" max="19" width="9.140625" style="248"/>
    <col min="20" max="20" width="10" style="248" bestFit="1" customWidth="1"/>
    <col min="21" max="21" width="6.140625" style="248" bestFit="1" customWidth="1"/>
    <col min="22" max="23" width="9.5703125" style="248" bestFit="1" customWidth="1"/>
    <col min="24" max="24" width="5.42578125" style="248" bestFit="1" customWidth="1"/>
    <col min="25" max="25" width="6.140625" style="248" bestFit="1" customWidth="1"/>
    <col min="26" max="28" width="9.5703125" style="248" bestFit="1" customWidth="1"/>
    <col min="29" max="29" width="6" style="248" bestFit="1" customWidth="1"/>
    <col min="30" max="30" width="6.140625" style="248" bestFit="1" customWidth="1"/>
    <col min="31" max="16384" width="9.140625" style="248"/>
  </cols>
  <sheetData>
    <row r="1" spans="1:31">
      <c r="A1" s="839" t="s">
        <v>0</v>
      </c>
      <c r="B1" s="841" t="s">
        <v>1</v>
      </c>
      <c r="C1" s="841" t="s">
        <v>2</v>
      </c>
      <c r="D1" s="844" t="s">
        <v>3</v>
      </c>
      <c r="E1" s="832"/>
      <c r="F1" s="832"/>
      <c r="G1" s="832"/>
      <c r="H1" s="832"/>
      <c r="I1" s="845" t="s">
        <v>4</v>
      </c>
      <c r="J1" s="846"/>
      <c r="K1" s="846"/>
      <c r="L1" s="846"/>
      <c r="M1" s="846"/>
      <c r="N1" s="832" t="s">
        <v>5</v>
      </c>
      <c r="O1" s="832"/>
      <c r="P1" s="832"/>
      <c r="Q1" s="832"/>
      <c r="R1" s="832"/>
    </row>
    <row r="2" spans="1:31">
      <c r="A2" s="840"/>
      <c r="B2" s="842"/>
      <c r="C2" s="843"/>
      <c r="D2" s="360" t="s">
        <v>6</v>
      </c>
      <c r="E2" s="361" t="s">
        <v>2</v>
      </c>
      <c r="F2" s="362" t="s">
        <v>7</v>
      </c>
      <c r="G2" s="362" t="s">
        <v>8</v>
      </c>
      <c r="H2" s="362" t="s">
        <v>9</v>
      </c>
      <c r="I2" s="363" t="s">
        <v>10</v>
      </c>
      <c r="J2" s="363" t="s">
        <v>2</v>
      </c>
      <c r="K2" s="363" t="s">
        <v>7</v>
      </c>
      <c r="L2" s="358" t="s">
        <v>8</v>
      </c>
      <c r="M2" s="359" t="s">
        <v>9</v>
      </c>
      <c r="N2" s="363" t="s">
        <v>10</v>
      </c>
      <c r="O2" s="363" t="s">
        <v>2</v>
      </c>
      <c r="P2" s="363" t="s">
        <v>7</v>
      </c>
      <c r="Q2" s="363" t="s">
        <v>8</v>
      </c>
      <c r="R2" s="363" t="s">
        <v>9</v>
      </c>
    </row>
    <row r="3" spans="1:31" ht="12.75" customHeight="1">
      <c r="A3" s="364">
        <v>1</v>
      </c>
      <c r="B3" s="833" t="s">
        <v>1018</v>
      </c>
      <c r="C3" s="365" t="s">
        <v>805</v>
      </c>
      <c r="D3" s="366"/>
      <c r="E3" s="361"/>
      <c r="F3" s="367"/>
      <c r="G3" s="362"/>
      <c r="H3" s="362"/>
      <c r="I3" s="361"/>
      <c r="J3" s="361"/>
      <c r="K3" s="361"/>
      <c r="L3" s="362"/>
      <c r="M3" s="362"/>
      <c r="N3" s="361"/>
      <c r="O3" s="361"/>
      <c r="P3" s="361"/>
      <c r="Q3" s="361"/>
      <c r="R3" s="361"/>
    </row>
    <row r="4" spans="1:31" ht="22.5">
      <c r="A4" s="368"/>
      <c r="B4" s="834"/>
      <c r="C4" s="369">
        <v>14.65</v>
      </c>
      <c r="D4" s="370" t="s">
        <v>75</v>
      </c>
      <c r="E4" s="371" t="s">
        <v>766</v>
      </c>
      <c r="F4" s="372">
        <v>0.5</v>
      </c>
      <c r="G4" s="357">
        <f>fr</f>
        <v>1100</v>
      </c>
      <c r="H4" s="373">
        <f>G4*F4</f>
        <v>550</v>
      </c>
      <c r="I4" s="374" t="s">
        <v>806</v>
      </c>
      <c r="J4" s="375" t="s">
        <v>28</v>
      </c>
      <c r="K4" s="376">
        <f>B7*C4*1.15</f>
        <v>515.5335</v>
      </c>
      <c r="L4" s="377">
        <f>1.5*(rebars/1000)</f>
        <v>192.96628500000003</v>
      </c>
      <c r="M4" s="378">
        <f>K4*L4</f>
        <v>99480.58428804751</v>
      </c>
      <c r="N4" s="379" t="s">
        <v>807</v>
      </c>
      <c r="O4" s="379" t="s">
        <v>101</v>
      </c>
      <c r="P4" s="373">
        <v>0.75</v>
      </c>
      <c r="Q4" s="380">
        <f>wheel_barrow</f>
        <v>27.04</v>
      </c>
      <c r="R4" s="381">
        <f>P4*Q4</f>
        <v>20.28</v>
      </c>
    </row>
    <row r="5" spans="1:31" ht="22.5">
      <c r="A5" s="368"/>
      <c r="B5" s="382">
        <v>8.4</v>
      </c>
      <c r="C5" s="383"/>
      <c r="D5" s="370" t="s">
        <v>768</v>
      </c>
      <c r="E5" s="371" t="s">
        <v>766</v>
      </c>
      <c r="F5" s="372">
        <v>0.6</v>
      </c>
      <c r="G5" s="357">
        <f>ur</f>
        <v>850</v>
      </c>
      <c r="H5" s="373">
        <f>G5*F5</f>
        <v>510</v>
      </c>
      <c r="I5" s="374" t="s">
        <v>808</v>
      </c>
      <c r="J5" s="375" t="s">
        <v>28</v>
      </c>
      <c r="K5" s="377">
        <f>2.2%*K4</f>
        <v>11.341737000000002</v>
      </c>
      <c r="L5" s="377">
        <f>L$4</f>
        <v>192.96628500000003</v>
      </c>
      <c r="M5" s="378">
        <f>K5*L5</f>
        <v>2188.5728543370456</v>
      </c>
      <c r="N5" s="379"/>
      <c r="O5" s="384"/>
      <c r="P5" s="385"/>
      <c r="Q5" s="386"/>
      <c r="R5" s="387"/>
    </row>
    <row r="6" spans="1:31" ht="12.75" customHeight="1">
      <c r="A6" s="368"/>
      <c r="B6" s="388">
        <v>38.979999999999997</v>
      </c>
      <c r="C6" s="383"/>
      <c r="D6" s="370" t="s">
        <v>747</v>
      </c>
      <c r="E6" s="371" t="s">
        <v>766</v>
      </c>
      <c r="F6" s="372">
        <v>1</v>
      </c>
      <c r="G6" s="357">
        <f>sr</f>
        <v>1100</v>
      </c>
      <c r="H6" s="373">
        <f>F6*G6</f>
        <v>1100</v>
      </c>
      <c r="I6" s="389" t="s">
        <v>809</v>
      </c>
      <c r="J6" s="389" t="s">
        <v>28</v>
      </c>
      <c r="K6" s="390">
        <v>2</v>
      </c>
      <c r="L6" s="391">
        <f>Nuts_Bolts</f>
        <v>274.48</v>
      </c>
      <c r="M6" s="392">
        <f>K6*L6</f>
        <v>548.96</v>
      </c>
      <c r="N6" s="393"/>
      <c r="O6" s="381"/>
      <c r="P6" s="385"/>
      <c r="Q6" s="386"/>
      <c r="R6" s="387"/>
    </row>
    <row r="7" spans="1:31" ht="22.5" customHeight="1">
      <c r="A7" s="368"/>
      <c r="B7" s="394">
        <v>30.6</v>
      </c>
      <c r="C7" s="383"/>
      <c r="D7" s="370"/>
      <c r="E7" s="371"/>
      <c r="F7" s="373"/>
      <c r="G7" s="373"/>
      <c r="H7" s="373"/>
      <c r="I7" s="374" t="s">
        <v>810</v>
      </c>
      <c r="J7" s="395" t="s">
        <v>771</v>
      </c>
      <c r="K7" s="393"/>
      <c r="L7" s="396"/>
      <c r="M7" s="437">
        <v>1000</v>
      </c>
      <c r="N7" s="379"/>
      <c r="O7" s="384"/>
      <c r="P7" s="385"/>
      <c r="Q7" s="380"/>
      <c r="R7" s="387"/>
    </row>
    <row r="8" spans="1:31" ht="12.75" customHeight="1">
      <c r="A8" s="368"/>
      <c r="B8" s="284"/>
      <c r="C8" s="383"/>
      <c r="D8" s="370"/>
      <c r="E8" s="371"/>
      <c r="F8" s="373"/>
      <c r="G8" s="373"/>
      <c r="H8" s="373"/>
      <c r="I8" s="374" t="s">
        <v>811</v>
      </c>
      <c r="J8" s="395" t="s">
        <v>771</v>
      </c>
      <c r="K8" s="395"/>
      <c r="L8" s="395"/>
      <c r="M8" s="437">
        <v>200</v>
      </c>
      <c r="N8" s="374"/>
      <c r="O8" s="385"/>
      <c r="P8" s="385"/>
      <c r="Q8" s="386"/>
      <c r="R8" s="387"/>
    </row>
    <row r="9" spans="1:31" ht="24" customHeight="1">
      <c r="A9" s="368"/>
      <c r="B9" s="284"/>
      <c r="C9" s="383"/>
      <c r="D9" s="370"/>
      <c r="E9" s="371"/>
      <c r="F9" s="373"/>
      <c r="G9" s="373"/>
      <c r="H9" s="373"/>
      <c r="I9" s="374" t="s">
        <v>812</v>
      </c>
      <c r="J9" s="395" t="s">
        <v>28</v>
      </c>
      <c r="K9" s="397">
        <f>K4</f>
        <v>515.5335</v>
      </c>
      <c r="L9" s="377">
        <f>70+20</f>
        <v>90</v>
      </c>
      <c r="M9" s="378">
        <f>+K9*L9</f>
        <v>46398.014999999999</v>
      </c>
      <c r="N9" s="374"/>
      <c r="O9" s="385"/>
      <c r="P9" s="385"/>
      <c r="Q9" s="386"/>
      <c r="R9" s="387"/>
      <c r="T9" s="292" t="s">
        <v>772</v>
      </c>
      <c r="U9" s="293"/>
      <c r="V9" s="292" t="s">
        <v>773</v>
      </c>
      <c r="W9" s="293"/>
      <c r="X9" s="292" t="s">
        <v>774</v>
      </c>
      <c r="Y9" s="293"/>
      <c r="Z9" s="292" t="s">
        <v>14</v>
      </c>
      <c r="AA9" s="293"/>
      <c r="AB9" s="293"/>
      <c r="AC9" s="292" t="s">
        <v>775</v>
      </c>
      <c r="AD9" s="293"/>
    </row>
    <row r="10" spans="1:31" ht="12.75" customHeight="1">
      <c r="A10" s="368"/>
      <c r="B10" s="284"/>
      <c r="C10" s="383"/>
      <c r="D10" s="398"/>
      <c r="E10" s="399"/>
      <c r="F10" s="399"/>
      <c r="G10" s="399"/>
      <c r="H10" s="399"/>
      <c r="I10" s="400"/>
      <c r="J10" s="401"/>
      <c r="K10" s="375"/>
      <c r="L10" s="376"/>
      <c r="M10" s="380"/>
      <c r="N10" s="375"/>
      <c r="O10" s="383"/>
      <c r="P10" s="383"/>
      <c r="Q10" s="383"/>
      <c r="R10" s="402"/>
      <c r="T10" s="296" t="s">
        <v>777</v>
      </c>
      <c r="U10" s="296" t="s">
        <v>778</v>
      </c>
      <c r="V10" s="296" t="s">
        <v>777</v>
      </c>
      <c r="W10" s="296" t="s">
        <v>778</v>
      </c>
      <c r="X10" s="296" t="s">
        <v>777</v>
      </c>
      <c r="Y10" s="296" t="s">
        <v>778</v>
      </c>
      <c r="Z10" s="296" t="s">
        <v>779</v>
      </c>
      <c r="AA10" s="297" t="s">
        <v>778</v>
      </c>
      <c r="AB10" s="298" t="s">
        <v>14</v>
      </c>
      <c r="AC10" s="296" t="s">
        <v>779</v>
      </c>
      <c r="AD10" s="297" t="s">
        <v>778</v>
      </c>
    </row>
    <row r="11" spans="1:31" ht="14.25" customHeight="1">
      <c r="A11" s="368"/>
      <c r="B11" s="403"/>
      <c r="C11" s="383"/>
      <c r="D11" s="404"/>
      <c r="E11" s="405"/>
      <c r="F11" s="406" t="s">
        <v>780</v>
      </c>
      <c r="G11" s="406"/>
      <c r="H11" s="407">
        <f>SUM(H3:H9)</f>
        <v>2160</v>
      </c>
      <c r="I11" s="835" t="s">
        <v>781</v>
      </c>
      <c r="J11" s="836"/>
      <c r="K11" s="408"/>
      <c r="L11" s="409"/>
      <c r="M11" s="410">
        <f>SUM(M3:M10)</f>
        <v>149816.13214238457</v>
      </c>
      <c r="N11" s="411"/>
      <c r="O11" s="408"/>
      <c r="P11" s="408" t="s">
        <v>782</v>
      </c>
      <c r="Q11" s="408"/>
      <c r="R11" s="412">
        <f>SUM(R3:R10)</f>
        <v>20.28</v>
      </c>
      <c r="T11" s="308">
        <f>H11</f>
        <v>2160</v>
      </c>
      <c r="U11" s="308">
        <f>H11-T11</f>
        <v>0</v>
      </c>
      <c r="V11" s="309">
        <f>M11-W11</f>
        <v>59926.452856953823</v>
      </c>
      <c r="W11" s="308">
        <f>M11*60%</f>
        <v>89889.679285430742</v>
      </c>
      <c r="X11" s="308">
        <f>R11-Y11</f>
        <v>0</v>
      </c>
      <c r="Y11" s="308">
        <f>R11</f>
        <v>20.28</v>
      </c>
      <c r="Z11" s="308">
        <f>T11+V11+X11</f>
        <v>62086.452856953823</v>
      </c>
      <c r="AA11" s="308">
        <f>Y11+W11+U11</f>
        <v>89909.959285430741</v>
      </c>
      <c r="AB11" s="308">
        <f>AA11+Z11</f>
        <v>151996.41214238456</v>
      </c>
      <c r="AC11" s="310"/>
      <c r="AD11" s="310"/>
    </row>
    <row r="12" spans="1:31" ht="15">
      <c r="A12" s="368"/>
      <c r="B12" s="413" t="s">
        <v>13</v>
      </c>
      <c r="C12" s="408"/>
      <c r="D12" s="408"/>
      <c r="E12" s="408"/>
      <c r="F12" s="414"/>
      <c r="G12" s="409"/>
      <c r="H12" s="515">
        <f>M11+R11+H11</f>
        <v>151996.41214238456</v>
      </c>
      <c r="I12" s="411"/>
      <c r="J12" s="408"/>
      <c r="K12" s="408"/>
      <c r="L12" s="409"/>
      <c r="M12" s="410"/>
      <c r="N12" s="408"/>
      <c r="O12" s="408"/>
      <c r="P12" s="408"/>
      <c r="Q12" s="408"/>
      <c r="R12" s="415"/>
      <c r="T12" s="308">
        <f t="shared" ref="T12:Y12" si="0">T11*1.15/$K4*1000</f>
        <v>4818.3095763902829</v>
      </c>
      <c r="U12" s="308">
        <f t="shared" si="0"/>
        <v>0</v>
      </c>
      <c r="V12" s="308">
        <f t="shared" si="0"/>
        <v>133677.8711480377</v>
      </c>
      <c r="W12" s="308">
        <f t="shared" si="0"/>
        <v>200516.80672205656</v>
      </c>
      <c r="X12" s="308">
        <f t="shared" si="0"/>
        <v>0</v>
      </c>
      <c r="Y12" s="308">
        <f t="shared" si="0"/>
        <v>45.23857324499766</v>
      </c>
      <c r="Z12" s="315">
        <f>T12+V12+X12</f>
        <v>138496.18072442798</v>
      </c>
      <c r="AA12" s="315">
        <f>Y12+W12+U12</f>
        <v>200562.04529530156</v>
      </c>
      <c r="AB12" s="315">
        <f>AA12+Z12</f>
        <v>339058.22601972951</v>
      </c>
      <c r="AC12" s="308">
        <f>ROUND(Z12/AB12%,2)</f>
        <v>40.85</v>
      </c>
      <c r="AD12" s="308">
        <f>ROUND(AA12/AB12%,2)</f>
        <v>59.15</v>
      </c>
      <c r="AE12" s="275">
        <f>AB12-H16</f>
        <v>0</v>
      </c>
    </row>
    <row r="13" spans="1:31" ht="15.75">
      <c r="A13" s="368"/>
      <c r="B13" s="413" t="s">
        <v>14</v>
      </c>
      <c r="C13" s="366"/>
      <c r="D13" s="366"/>
      <c r="E13" s="366"/>
      <c r="F13" s="416"/>
      <c r="G13" s="406"/>
      <c r="H13" s="407">
        <f>SUM(H12:H12)</f>
        <v>151996.41214238456</v>
      </c>
      <c r="I13" s="417"/>
      <c r="J13" s="366"/>
      <c r="K13" s="366"/>
      <c r="L13" s="406"/>
      <c r="M13" s="418"/>
      <c r="N13" s="366"/>
      <c r="O13" s="366"/>
      <c r="P13" s="366"/>
      <c r="Q13" s="366"/>
      <c r="R13" s="419"/>
      <c r="T13"/>
      <c r="U13"/>
      <c r="V13" s="316">
        <f>V12/($V12+$W12)%</f>
        <v>40</v>
      </c>
      <c r="W13" s="316">
        <f>W12/($V12+$W12)%</f>
        <v>60</v>
      </c>
      <c r="X13"/>
      <c r="Y13"/>
      <c r="Z13"/>
      <c r="AA13"/>
      <c r="AB13"/>
      <c r="AC13"/>
      <c r="AD13"/>
    </row>
    <row r="14" spans="1:31">
      <c r="A14" s="368"/>
      <c r="B14" s="413" t="s">
        <v>24</v>
      </c>
      <c r="C14" s="366"/>
      <c r="D14" s="366"/>
      <c r="E14" s="366"/>
      <c r="F14" s="416"/>
      <c r="G14" s="406"/>
      <c r="H14" s="407">
        <f>H13*15%</f>
        <v>22799.461821357683</v>
      </c>
      <c r="I14" s="417"/>
      <c r="J14" s="366"/>
      <c r="K14" s="366"/>
      <c r="L14" s="406"/>
      <c r="M14" s="406"/>
      <c r="N14" s="366"/>
      <c r="O14" s="366"/>
      <c r="P14" s="366"/>
      <c r="Q14" s="366"/>
      <c r="R14" s="419"/>
    </row>
    <row r="15" spans="1:31" ht="14.25">
      <c r="A15" s="420"/>
      <c r="B15" s="421" t="s">
        <v>15</v>
      </c>
      <c r="C15" s="837" t="s">
        <v>813</v>
      </c>
      <c r="D15" s="837"/>
      <c r="E15" s="837"/>
      <c r="F15" s="837"/>
      <c r="G15" s="422" t="s">
        <v>16</v>
      </c>
      <c r="H15" s="423">
        <f>(H14+H13)</f>
        <v>174795.87396374226</v>
      </c>
      <c r="I15" s="424" t="s">
        <v>17</v>
      </c>
      <c r="J15" s="425">
        <v>1355.3941877520347</v>
      </c>
      <c r="K15" s="426"/>
      <c r="L15" s="406"/>
      <c r="M15" s="338" t="s">
        <v>783</v>
      </c>
      <c r="N15" s="427">
        <f>ROUND(H15*100%,2)</f>
        <v>174795.87</v>
      </c>
      <c r="O15" s="340"/>
      <c r="P15" s="340"/>
      <c r="Q15" s="340" t="s">
        <v>784</v>
      </c>
      <c r="R15" s="428">
        <f>ROUND((H15-N15),2)</f>
        <v>0</v>
      </c>
    </row>
    <row r="16" spans="1:31" ht="14.25">
      <c r="A16" s="298"/>
      <c r="B16" s="429"/>
      <c r="C16" s="837" t="s">
        <v>1019</v>
      </c>
      <c r="D16" s="837"/>
      <c r="E16" s="837"/>
      <c r="F16" s="838"/>
      <c r="G16" s="430" t="str">
        <f>G15</f>
        <v>NRs.</v>
      </c>
      <c r="H16" s="431">
        <f>H15/K4*1000</f>
        <v>339058.22601972957</v>
      </c>
      <c r="I16" s="432" t="str">
        <f>I15</f>
        <v>US$</v>
      </c>
      <c r="J16" s="504">
        <f>H16/exr</f>
        <v>2608.1402001517658</v>
      </c>
      <c r="K16" s="433"/>
      <c r="L16" s="434"/>
      <c r="M16" s="332" t="s">
        <v>783</v>
      </c>
      <c r="N16" s="435">
        <f>ROUND(H16*100%,2)</f>
        <v>339058.23</v>
      </c>
      <c r="O16" s="334"/>
      <c r="P16" s="334"/>
      <c r="Q16" s="334" t="s">
        <v>784</v>
      </c>
      <c r="R16" s="436">
        <f>ROUND(H16-N16,2)</f>
        <v>0</v>
      </c>
    </row>
    <row r="17" spans="5:17">
      <c r="E17" s="248" t="s">
        <v>1020</v>
      </c>
      <c r="H17" s="248">
        <f>MROUND(H16+0.25,0.5)</f>
        <v>339058.5</v>
      </c>
    </row>
    <row r="18" spans="5:17" ht="12.75" customHeight="1"/>
    <row r="19" spans="5:17" ht="15.75">
      <c r="H19" s="518"/>
      <c r="N19" s="516"/>
      <c r="O19" s="516"/>
      <c r="P19" s="517" t="s">
        <v>460</v>
      </c>
      <c r="Q19" s="516">
        <f>CEILING(SUM(M4,M5,M6,R4)/H12,0.0025)</f>
        <v>0.67500000000000004</v>
      </c>
    </row>
    <row r="20" spans="5:17" ht="12.75" customHeight="1">
      <c r="I20" s="518"/>
    </row>
    <row r="23" spans="5:17" ht="12.75" customHeight="1"/>
    <row r="25" spans="5:17" ht="12.75" customHeight="1"/>
    <row r="27" spans="5:17" ht="12.75" customHeight="1"/>
    <row r="35" spans="2:13" ht="12.75" customHeight="1"/>
    <row r="37" spans="2:13" ht="12.75" customHeight="1"/>
    <row r="40" spans="2:13" ht="12.75" customHeight="1"/>
    <row r="42" spans="2:13" ht="12.75" customHeight="1"/>
    <row r="43" spans="2:13" ht="15">
      <c r="B43" s="292" t="s">
        <v>772</v>
      </c>
      <c r="C43" s="293"/>
      <c r="D43" s="292" t="s">
        <v>773</v>
      </c>
      <c r="E43" s="293"/>
      <c r="F43" s="292" t="s">
        <v>774</v>
      </c>
      <c r="G43" s="293"/>
      <c r="H43" s="292" t="s">
        <v>14</v>
      </c>
      <c r="I43" s="293"/>
      <c r="J43" s="293"/>
      <c r="K43" s="292" t="s">
        <v>775</v>
      </c>
      <c r="L43" s="293"/>
    </row>
    <row r="44" spans="2:13" ht="12.75" customHeight="1">
      <c r="B44" s="296" t="s">
        <v>777</v>
      </c>
      <c r="C44" s="296" t="s">
        <v>778</v>
      </c>
      <c r="D44" s="296" t="s">
        <v>777</v>
      </c>
      <c r="E44" s="296" t="s">
        <v>778</v>
      </c>
      <c r="F44" s="296" t="s">
        <v>777</v>
      </c>
      <c r="G44" s="296" t="s">
        <v>778</v>
      </c>
      <c r="H44" s="296" t="s">
        <v>779</v>
      </c>
      <c r="I44" s="297" t="s">
        <v>778</v>
      </c>
      <c r="J44" s="298" t="s">
        <v>14</v>
      </c>
      <c r="K44" s="296" t="s">
        <v>779</v>
      </c>
      <c r="L44" s="297" t="s">
        <v>778</v>
      </c>
    </row>
    <row r="45" spans="2:13" ht="15">
      <c r="B45" s="308" t="e">
        <f>#REF!</f>
        <v>#REF!</v>
      </c>
      <c r="C45" s="308" t="e">
        <f>#REF!-B45</f>
        <v>#REF!</v>
      </c>
      <c r="D45" s="309" t="e">
        <f>#REF!-E45</f>
        <v>#REF!</v>
      </c>
      <c r="E45" s="308" t="e">
        <f>#REF!*60%</f>
        <v>#REF!</v>
      </c>
      <c r="F45" s="308" t="e">
        <f>#REF!-G45</f>
        <v>#REF!</v>
      </c>
      <c r="G45" s="308" t="e">
        <f>#REF!</f>
        <v>#REF!</v>
      </c>
      <c r="H45" s="308" t="e">
        <f>B45+D45+F45</f>
        <v>#REF!</v>
      </c>
      <c r="I45" s="308" t="e">
        <f>G45+E45+C45</f>
        <v>#REF!</v>
      </c>
      <c r="J45" s="308" t="e">
        <f>I45+H45</f>
        <v>#REF!</v>
      </c>
      <c r="K45" s="310"/>
      <c r="L45" s="310"/>
    </row>
    <row r="46" spans="2:13" ht="15">
      <c r="B46" s="308" t="e">
        <f>B45*1.15/#REF!*1000</f>
        <v>#REF!</v>
      </c>
      <c r="C46" s="308" t="e">
        <f>C45*1.15/#REF!*1000</f>
        <v>#REF!</v>
      </c>
      <c r="D46" s="308" t="e">
        <f>D45*1.15/#REF!*1000</f>
        <v>#REF!</v>
      </c>
      <c r="E46" s="308" t="e">
        <f>E45*1.15/#REF!*1000</f>
        <v>#REF!</v>
      </c>
      <c r="F46" s="308" t="e">
        <f>F45*1.15/#REF!*1000</f>
        <v>#REF!</v>
      </c>
      <c r="G46" s="308" t="e">
        <f>G45*1.15/#REF!*1000</f>
        <v>#REF!</v>
      </c>
      <c r="H46" s="315" t="e">
        <f>B46+D46+F46</f>
        <v>#REF!</v>
      </c>
      <c r="I46" s="315" t="e">
        <f>G46+E46+C46</f>
        <v>#REF!</v>
      </c>
      <c r="J46" s="315" t="e">
        <f>I46+H46</f>
        <v>#REF!</v>
      </c>
      <c r="K46" s="308" t="e">
        <f>ROUND(H46/J46%,2)</f>
        <v>#REF!</v>
      </c>
      <c r="L46" s="308" t="e">
        <f>ROUND(I46/J46%,2)</f>
        <v>#REF!</v>
      </c>
      <c r="M46" s="275" t="e">
        <f>J46-#REF!</f>
        <v>#REF!</v>
      </c>
    </row>
    <row r="47" spans="2:13" ht="15.75">
      <c r="B47"/>
      <c r="C47"/>
      <c r="D47" s="316" t="e">
        <f>D46/($D46+$E46)%</f>
        <v>#REF!</v>
      </c>
      <c r="E47" s="316" t="e">
        <f>E46/($D46+$E46)%</f>
        <v>#REF!</v>
      </c>
      <c r="F47"/>
      <c r="G47"/>
      <c r="H47"/>
      <c r="I47"/>
      <c r="J47"/>
      <c r="K47"/>
      <c r="L47"/>
    </row>
    <row r="52" ht="12.75" customHeight="1"/>
    <row r="54" ht="12.75" customHeight="1"/>
    <row r="57" ht="12.75" customHeight="1"/>
    <row r="58" ht="12.75" customHeight="1"/>
    <row r="59" ht="12.75" customHeight="1"/>
    <row r="61" ht="12.75" customHeight="1"/>
    <row r="69" ht="12.75" customHeight="1"/>
    <row r="71" ht="12.75" customHeight="1"/>
  </sheetData>
  <mergeCells count="10">
    <mergeCell ref="A1:A2"/>
    <mergeCell ref="B1:B2"/>
    <mergeCell ref="C1:C2"/>
    <mergeCell ref="D1:H1"/>
    <mergeCell ref="I1:M1"/>
    <mergeCell ref="N1:R1"/>
    <mergeCell ref="B3:B4"/>
    <mergeCell ref="I11:J11"/>
    <mergeCell ref="C15:F15"/>
    <mergeCell ref="C16:F16"/>
  </mergeCells>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R335"/>
  <sheetViews>
    <sheetView workbookViewId="0">
      <selection sqref="A1:A2"/>
    </sheetView>
  </sheetViews>
  <sheetFormatPr defaultColWidth="9.140625" defaultRowHeight="15.75"/>
  <cols>
    <col min="1" max="1" width="10.7109375" style="1" customWidth="1"/>
    <col min="2" max="2" width="33" style="1" customWidth="1"/>
    <col min="3" max="3" width="5.28515625" style="1" customWidth="1"/>
    <col min="4" max="4" width="23.140625" style="1" customWidth="1"/>
    <col min="5" max="5" width="5.28515625" style="1" customWidth="1"/>
    <col min="6" max="7" width="9.140625" style="1"/>
    <col min="8" max="8" width="12.140625" style="1" customWidth="1"/>
    <col min="9" max="9" width="25.5703125" style="1" customWidth="1"/>
    <col min="10" max="10" width="5.28515625" style="1" customWidth="1"/>
    <col min="11" max="11" width="9.140625" style="1"/>
    <col min="12" max="12" width="11.5703125" style="1" customWidth="1"/>
    <col min="13" max="13" width="10.7109375" style="1" customWidth="1"/>
    <col min="14" max="14" width="19.8554687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759"/>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c r="A3" s="33" t="s">
        <v>23</v>
      </c>
      <c r="B3" s="127"/>
      <c r="C3" s="31"/>
      <c r="D3" s="31"/>
      <c r="E3" s="31"/>
      <c r="F3" s="31"/>
      <c r="G3" s="31"/>
      <c r="H3" s="31"/>
      <c r="I3" s="31"/>
      <c r="J3" s="31"/>
      <c r="K3" s="31"/>
      <c r="L3" s="31"/>
      <c r="M3" s="31"/>
      <c r="N3" s="31"/>
      <c r="O3" s="31"/>
      <c r="P3" s="31"/>
      <c r="Q3" s="31"/>
      <c r="R3" s="32"/>
    </row>
    <row r="4" spans="1:18">
      <c r="A4" s="34">
        <v>1</v>
      </c>
      <c r="B4" s="713" t="s">
        <v>501</v>
      </c>
      <c r="C4" s="66">
        <v>30</v>
      </c>
      <c r="D4" s="4"/>
      <c r="E4" s="6"/>
      <c r="F4" s="29"/>
      <c r="G4" s="26"/>
      <c r="H4" s="26"/>
      <c r="I4" s="6"/>
      <c r="J4" s="6"/>
      <c r="K4" s="29"/>
      <c r="L4" s="26"/>
      <c r="M4" s="26"/>
      <c r="N4" s="6"/>
      <c r="O4" s="6"/>
      <c r="P4" s="29"/>
      <c r="Q4" s="26"/>
      <c r="R4" s="26"/>
    </row>
    <row r="5" spans="1:18">
      <c r="A5" s="2"/>
      <c r="B5" s="714"/>
      <c r="C5" s="124" t="s">
        <v>11</v>
      </c>
      <c r="D5" s="4" t="s">
        <v>75</v>
      </c>
      <c r="E5" s="66" t="s">
        <v>81</v>
      </c>
      <c r="F5" s="29">
        <v>0.125</v>
      </c>
      <c r="G5" s="26">
        <f>fr</f>
        <v>1100</v>
      </c>
      <c r="H5" s="26">
        <f t="shared" ref="H5:H10" si="0">F5*G5</f>
        <v>137.5</v>
      </c>
      <c r="I5" s="7" t="s">
        <v>67</v>
      </c>
      <c r="J5" s="145" t="s">
        <v>250</v>
      </c>
      <c r="K5" s="29">
        <v>25</v>
      </c>
      <c r="L5" s="28">
        <f>diesel</f>
        <v>177.6</v>
      </c>
      <c r="M5" s="26">
        <f>K5*L5</f>
        <v>4440</v>
      </c>
      <c r="N5" s="8" t="s">
        <v>384</v>
      </c>
      <c r="O5" s="66" t="s">
        <v>101</v>
      </c>
      <c r="P5" s="29">
        <v>1</v>
      </c>
      <c r="Q5" s="28">
        <f>wheel_loader</f>
        <v>1622.4</v>
      </c>
      <c r="R5" s="26">
        <f>P5*Q5</f>
        <v>1622.4</v>
      </c>
    </row>
    <row r="6" spans="1:18">
      <c r="A6" s="2"/>
      <c r="B6" s="714"/>
      <c r="C6" s="6"/>
      <c r="D6" s="4" t="s">
        <v>461</v>
      </c>
      <c r="E6" s="66" t="s">
        <v>81</v>
      </c>
      <c r="F6" s="29">
        <v>1</v>
      </c>
      <c r="G6" s="26">
        <f>sup</f>
        <v>900</v>
      </c>
      <c r="H6" s="26">
        <f t="shared" si="0"/>
        <v>900</v>
      </c>
      <c r="I6" s="7" t="s">
        <v>467</v>
      </c>
      <c r="J6" s="145" t="s">
        <v>250</v>
      </c>
      <c r="K6" s="29">
        <v>0.25</v>
      </c>
      <c r="L6" s="28">
        <f>lubricant</f>
        <v>459.84</v>
      </c>
      <c r="M6" s="26">
        <f>K6*L6</f>
        <v>114.96</v>
      </c>
      <c r="N6" s="8" t="s">
        <v>204</v>
      </c>
      <c r="O6" s="66" t="s">
        <v>101</v>
      </c>
      <c r="P6" s="29">
        <v>1</v>
      </c>
      <c r="Q6" s="28">
        <f>truck</f>
        <v>486.72</v>
      </c>
      <c r="R6" s="26">
        <f>P6*Q6</f>
        <v>486.72</v>
      </c>
    </row>
    <row r="7" spans="1:18">
      <c r="A7" s="2"/>
      <c r="B7" s="126"/>
      <c r="C7" s="6"/>
      <c r="D7" s="4" t="s">
        <v>489</v>
      </c>
      <c r="E7" s="66" t="s">
        <v>81</v>
      </c>
      <c r="F7" s="29">
        <v>0.125</v>
      </c>
      <c r="G7" s="26">
        <f>drv</f>
        <v>1100</v>
      </c>
      <c r="H7" s="26">
        <f t="shared" si="0"/>
        <v>137.5</v>
      </c>
      <c r="I7" s="7"/>
      <c r="J7" s="145"/>
      <c r="K7" s="29"/>
      <c r="L7" s="28"/>
      <c r="M7" s="26"/>
      <c r="N7" s="8" t="s">
        <v>480</v>
      </c>
      <c r="O7" s="66" t="s">
        <v>101</v>
      </c>
      <c r="P7" s="29">
        <v>0.5</v>
      </c>
      <c r="Q7" s="28">
        <f>survey_equipments</f>
        <v>378.56</v>
      </c>
      <c r="R7" s="26">
        <f>P7*Q7</f>
        <v>189.28</v>
      </c>
    </row>
    <row r="8" spans="1:18">
      <c r="A8" s="2"/>
      <c r="B8" s="126"/>
      <c r="C8" s="6"/>
      <c r="D8" s="4" t="s">
        <v>490</v>
      </c>
      <c r="E8" s="66" t="s">
        <v>81</v>
      </c>
      <c r="F8" s="29">
        <v>0.125</v>
      </c>
      <c r="G8" s="26">
        <f>drv</f>
        <v>1100</v>
      </c>
      <c r="H8" s="26">
        <f t="shared" si="0"/>
        <v>137.5</v>
      </c>
      <c r="I8" s="7"/>
      <c r="J8" s="145"/>
      <c r="K8" s="29"/>
      <c r="L8" s="28"/>
      <c r="M8" s="26"/>
      <c r="N8" s="8"/>
      <c r="O8" s="66"/>
      <c r="P8" s="29"/>
      <c r="Q8" s="28"/>
      <c r="R8" s="26"/>
    </row>
    <row r="9" spans="1:18">
      <c r="A9" s="2"/>
      <c r="B9" s="126"/>
      <c r="C9" s="6"/>
      <c r="D9" s="4" t="s">
        <v>491</v>
      </c>
      <c r="E9" s="66" t="s">
        <v>81</v>
      </c>
      <c r="F9" s="29">
        <v>0.125</v>
      </c>
      <c r="G9" s="26">
        <f>hr</f>
        <v>750</v>
      </c>
      <c r="H9" s="26">
        <f t="shared" si="0"/>
        <v>93.75</v>
      </c>
      <c r="I9" s="7"/>
      <c r="J9" s="145"/>
      <c r="K9" s="29"/>
      <c r="L9" s="28"/>
      <c r="M9" s="26"/>
      <c r="N9" s="8"/>
      <c r="O9" s="66"/>
      <c r="P9" s="29"/>
      <c r="Q9" s="28"/>
      <c r="R9" s="26"/>
    </row>
    <row r="10" spans="1:18">
      <c r="A10" s="2"/>
      <c r="B10" s="126"/>
      <c r="C10" s="6"/>
      <c r="D10" s="4" t="s">
        <v>492</v>
      </c>
      <c r="E10" s="66" t="s">
        <v>81</v>
      </c>
      <c r="F10" s="29">
        <v>30</v>
      </c>
      <c r="G10" s="26">
        <f>ur</f>
        <v>850</v>
      </c>
      <c r="H10" s="26">
        <f t="shared" si="0"/>
        <v>25500</v>
      </c>
      <c r="I10" s="7"/>
      <c r="J10" s="145"/>
      <c r="K10" s="29"/>
      <c r="L10" s="28"/>
      <c r="M10" s="26"/>
      <c r="N10" s="8"/>
      <c r="O10" s="66"/>
      <c r="P10" s="29"/>
      <c r="Q10" s="28"/>
      <c r="R10" s="26"/>
    </row>
    <row r="11" spans="1:18">
      <c r="A11" s="2"/>
      <c r="B11" s="5"/>
      <c r="C11" s="6"/>
      <c r="D11" s="4"/>
      <c r="E11" s="9"/>
      <c r="F11" s="30"/>
      <c r="G11" s="27"/>
      <c r="H11" s="27"/>
      <c r="I11" s="9"/>
      <c r="J11" s="10"/>
      <c r="K11" s="30"/>
      <c r="L11" s="28"/>
      <c r="M11" s="28"/>
      <c r="N11" s="8"/>
      <c r="O11" s="6"/>
      <c r="P11" s="30"/>
      <c r="Q11" s="28"/>
      <c r="R11" s="28"/>
    </row>
    <row r="12" spans="1:18">
      <c r="A12" s="2"/>
      <c r="B12" s="11"/>
      <c r="C12" s="6"/>
      <c r="D12" s="12"/>
      <c r="E12" s="59"/>
      <c r="F12" s="13"/>
      <c r="G12" s="13" t="s">
        <v>20</v>
      </c>
      <c r="H12" s="25">
        <f>SUM(H4:H11)</f>
        <v>26906.25</v>
      </c>
      <c r="I12" s="703"/>
      <c r="J12" s="703"/>
      <c r="K12" s="14"/>
      <c r="L12" s="13" t="s">
        <v>21</v>
      </c>
      <c r="M12" s="25">
        <f>SUM(M4:M11)</f>
        <v>4554.96</v>
      </c>
      <c r="N12" s="3"/>
      <c r="O12" s="14"/>
      <c r="P12" s="14"/>
      <c r="Q12" s="13" t="s">
        <v>22</v>
      </c>
      <c r="R12" s="25">
        <f>SUM(R4:R11)</f>
        <v>2298.4</v>
      </c>
    </row>
    <row r="13" spans="1:18">
      <c r="A13" s="2"/>
      <c r="B13" s="16" t="s">
        <v>13</v>
      </c>
      <c r="C13" s="14"/>
      <c r="D13" s="14"/>
      <c r="E13" s="14"/>
      <c r="F13" s="14"/>
      <c r="G13" s="13"/>
      <c r="H13" s="35">
        <f>M12+R12+H12</f>
        <v>33759.61</v>
      </c>
      <c r="I13" s="17"/>
      <c r="J13" s="14"/>
      <c r="K13" s="14"/>
      <c r="L13" s="13"/>
      <c r="M13" s="15"/>
      <c r="N13" s="14"/>
      <c r="O13" s="14"/>
      <c r="P13" s="14"/>
      <c r="Q13" s="14"/>
      <c r="R13" s="17"/>
    </row>
    <row r="14" spans="1:18">
      <c r="A14" s="2"/>
      <c r="B14" s="11" t="s">
        <v>25</v>
      </c>
      <c r="C14" s="4"/>
      <c r="D14" s="4"/>
      <c r="E14" s="4"/>
      <c r="F14" s="4"/>
      <c r="G14" s="18"/>
      <c r="H14" s="36">
        <v>0</v>
      </c>
      <c r="I14" s="20"/>
      <c r="J14" s="4" t="s">
        <v>26</v>
      </c>
      <c r="K14" s="4"/>
      <c r="L14" s="18"/>
      <c r="M14" s="19"/>
      <c r="N14" s="4"/>
      <c r="O14" s="4"/>
      <c r="P14" s="4"/>
      <c r="Q14" s="4"/>
      <c r="R14" s="20"/>
    </row>
    <row r="15" spans="1:18">
      <c r="A15" s="23"/>
      <c r="B15" s="11" t="s">
        <v>14</v>
      </c>
      <c r="C15" s="4"/>
      <c r="D15" s="4"/>
      <c r="E15" s="4"/>
      <c r="F15" s="4"/>
      <c r="G15" s="18"/>
      <c r="H15" s="36">
        <f>SUM(H13:H14)</f>
        <v>33759.61</v>
      </c>
      <c r="I15" s="20"/>
      <c r="J15" s="741"/>
      <c r="K15" s="742"/>
      <c r="L15" s="742"/>
      <c r="M15" s="742"/>
      <c r="N15" s="742"/>
      <c r="O15" s="742"/>
      <c r="P15" s="742"/>
      <c r="Q15" s="742"/>
      <c r="R15" s="743"/>
    </row>
    <row r="16" spans="1:18">
      <c r="A16" s="23"/>
      <c r="B16" s="11" t="s">
        <v>24</v>
      </c>
      <c r="C16" s="4"/>
      <c r="D16" s="4"/>
      <c r="E16" s="4"/>
      <c r="F16" s="4"/>
      <c r="G16" s="18"/>
      <c r="H16" s="36">
        <f>H15*15%</f>
        <v>5063.9414999999999</v>
      </c>
      <c r="I16" s="20"/>
      <c r="J16" s="744"/>
      <c r="K16" s="745"/>
      <c r="L16" s="745"/>
      <c r="M16" s="745"/>
      <c r="N16" s="745"/>
      <c r="O16" s="745"/>
      <c r="P16" s="745"/>
      <c r="Q16" s="745"/>
      <c r="R16" s="746"/>
    </row>
    <row r="17" spans="1:18">
      <c r="A17" s="23"/>
      <c r="B17" s="11" t="s">
        <v>15</v>
      </c>
      <c r="C17" s="4"/>
      <c r="D17" s="4"/>
      <c r="E17" s="4"/>
      <c r="F17" s="4"/>
      <c r="G17" s="21" t="s">
        <v>16</v>
      </c>
      <c r="H17" s="37">
        <f>H16+H15</f>
        <v>38823.551500000001</v>
      </c>
      <c r="I17" s="38" t="str">
        <f>CONCATENATE("per ",C4, C5)</f>
        <v>per 30cum</v>
      </c>
      <c r="J17" s="744"/>
      <c r="K17" s="745"/>
      <c r="L17" s="745"/>
      <c r="M17" s="745"/>
      <c r="N17" s="745"/>
      <c r="O17" s="745"/>
      <c r="P17" s="745"/>
      <c r="Q17" s="745"/>
      <c r="R17" s="746"/>
    </row>
    <row r="18" spans="1:18">
      <c r="A18" s="23"/>
      <c r="B18" s="11"/>
      <c r="C18" s="4"/>
      <c r="D18" s="4"/>
      <c r="E18" s="4"/>
      <c r="F18" s="4"/>
      <c r="G18" s="21" t="s">
        <v>16</v>
      </c>
      <c r="H18" s="37">
        <f>H17/C4</f>
        <v>1294.1183833333334</v>
      </c>
      <c r="I18" s="38" t="str">
        <f>CONCATENATE("per ",C5)</f>
        <v>per cum</v>
      </c>
      <c r="J18" s="744"/>
      <c r="K18" s="745"/>
      <c r="L18" s="745"/>
      <c r="M18" s="745"/>
      <c r="N18" s="745"/>
      <c r="O18" s="745"/>
      <c r="P18" s="745"/>
      <c r="Q18" s="745"/>
      <c r="R18" s="746"/>
    </row>
    <row r="19" spans="1:18">
      <c r="A19" s="23"/>
      <c r="B19" s="11" t="s">
        <v>18</v>
      </c>
      <c r="C19" s="4" t="s">
        <v>19</v>
      </c>
      <c r="D19" s="4"/>
      <c r="E19" s="4"/>
      <c r="F19" s="4"/>
      <c r="G19" s="21" t="s">
        <v>16</v>
      </c>
      <c r="H19" s="37">
        <f>CEILING(H18,0.5)</f>
        <v>1294.5</v>
      </c>
      <c r="I19" s="38" t="str">
        <f>CONCATENATE("per ",C5)</f>
        <v>per cum</v>
      </c>
      <c r="J19" s="744"/>
      <c r="K19" s="745"/>
      <c r="L19" s="745"/>
      <c r="M19" s="745"/>
      <c r="N19" s="745"/>
      <c r="O19" s="745"/>
      <c r="P19" s="745"/>
      <c r="Q19" s="745"/>
      <c r="R19" s="746"/>
    </row>
    <row r="20" spans="1:18">
      <c r="A20" s="23"/>
      <c r="B20" s="11"/>
      <c r="C20" s="4"/>
      <c r="D20" s="4"/>
      <c r="E20" s="4"/>
      <c r="F20" s="4"/>
      <c r="G20" s="24" t="s">
        <v>17</v>
      </c>
      <c r="H20" s="37">
        <f>H19/exr</f>
        <v>9.957692307692307</v>
      </c>
      <c r="I20" s="38" t="str">
        <f>CONCATENATE("per ",C5)</f>
        <v>per cum</v>
      </c>
      <c r="J20" s="747"/>
      <c r="K20" s="748"/>
      <c r="L20" s="748"/>
      <c r="M20" s="748"/>
      <c r="N20" s="748"/>
      <c r="O20" s="748"/>
      <c r="P20" s="748"/>
      <c r="Q20" s="748"/>
      <c r="R20" s="749"/>
    </row>
    <row r="21" spans="1:18">
      <c r="A21" s="39"/>
      <c r="B21" s="40"/>
      <c r="C21" s="41"/>
      <c r="D21" s="41"/>
      <c r="E21" s="41"/>
      <c r="F21" s="41"/>
      <c r="G21" s="149" t="s">
        <v>460</v>
      </c>
      <c r="H21" s="150">
        <f>CEILING(SUM(M12,R12)/H13,0.0025)</f>
        <v>0.20500000000000002</v>
      </c>
      <c r="I21" s="42"/>
      <c r="J21" s="43"/>
      <c r="K21" s="43"/>
      <c r="L21" s="43"/>
      <c r="M21" s="43"/>
      <c r="N21" s="43"/>
      <c r="O21" s="43"/>
      <c r="P21" s="43"/>
      <c r="Q21" s="43"/>
      <c r="R21" s="44"/>
    </row>
    <row r="23" spans="1:18">
      <c r="A23" s="693" t="s">
        <v>0</v>
      </c>
      <c r="B23" s="695" t="s">
        <v>1</v>
      </c>
      <c r="C23" s="695" t="s">
        <v>2</v>
      </c>
      <c r="D23" s="697" t="s">
        <v>3</v>
      </c>
      <c r="E23" s="698"/>
      <c r="F23" s="698"/>
      <c r="G23" s="698"/>
      <c r="H23" s="698"/>
      <c r="I23" s="699" t="s">
        <v>4</v>
      </c>
      <c r="J23" s="700"/>
      <c r="K23" s="700"/>
      <c r="L23" s="700"/>
      <c r="M23" s="700"/>
      <c r="N23" s="698" t="s">
        <v>5</v>
      </c>
      <c r="O23" s="698"/>
      <c r="P23" s="698"/>
      <c r="Q23" s="698"/>
      <c r="R23" s="698"/>
    </row>
    <row r="24" spans="1:18">
      <c r="A24" s="694"/>
      <c r="B24" s="759"/>
      <c r="C24" s="696"/>
      <c r="D24" s="45" t="s">
        <v>6</v>
      </c>
      <c r="E24" s="46" t="s">
        <v>2</v>
      </c>
      <c r="F24" s="46" t="s">
        <v>7</v>
      </c>
      <c r="G24" s="46" t="s">
        <v>8</v>
      </c>
      <c r="H24" s="46" t="s">
        <v>9</v>
      </c>
      <c r="I24" s="46" t="s">
        <v>10</v>
      </c>
      <c r="J24" s="46" t="s">
        <v>2</v>
      </c>
      <c r="K24" s="46" t="s">
        <v>7</v>
      </c>
      <c r="L24" s="46" t="s">
        <v>8</v>
      </c>
      <c r="M24" s="47" t="s">
        <v>9</v>
      </c>
      <c r="N24" s="46" t="s">
        <v>10</v>
      </c>
      <c r="O24" s="46" t="s">
        <v>2</v>
      </c>
      <c r="P24" s="46" t="s">
        <v>7</v>
      </c>
      <c r="Q24" s="46" t="s">
        <v>8</v>
      </c>
      <c r="R24" s="46" t="s">
        <v>9</v>
      </c>
    </row>
    <row r="25" spans="1:18">
      <c r="A25" s="33" t="s">
        <v>23</v>
      </c>
      <c r="B25" s="127"/>
      <c r="C25" s="31"/>
      <c r="D25" s="31"/>
      <c r="E25" s="31"/>
      <c r="F25" s="31"/>
      <c r="G25" s="31"/>
      <c r="H25" s="31"/>
      <c r="I25" s="31"/>
      <c r="J25" s="31"/>
      <c r="K25" s="31"/>
      <c r="L25" s="31"/>
      <c r="M25" s="31"/>
      <c r="N25" s="31"/>
      <c r="O25" s="31"/>
      <c r="P25" s="31"/>
      <c r="Q25" s="31"/>
      <c r="R25" s="32"/>
    </row>
    <row r="26" spans="1:18">
      <c r="A26" s="34">
        <f>A4+1</f>
        <v>2</v>
      </c>
      <c r="B26" s="713" t="s">
        <v>502</v>
      </c>
      <c r="C26" s="66" t="s">
        <v>11</v>
      </c>
      <c r="D26" s="4"/>
      <c r="E26" s="6"/>
      <c r="F26" s="29"/>
      <c r="G26" s="26"/>
      <c r="H26" s="26"/>
      <c r="I26" s="6"/>
      <c r="J26" s="6"/>
      <c r="K26" s="29"/>
      <c r="L26" s="26"/>
      <c r="M26" s="26"/>
      <c r="N26" s="6"/>
      <c r="O26" s="6"/>
      <c r="P26" s="29"/>
      <c r="Q26" s="26"/>
      <c r="R26" s="26"/>
    </row>
    <row r="27" spans="1:18">
      <c r="A27" s="2"/>
      <c r="B27" s="714"/>
      <c r="C27" s="124"/>
      <c r="D27" s="4" t="s">
        <v>75</v>
      </c>
      <c r="E27" s="66" t="s">
        <v>81</v>
      </c>
      <c r="F27" s="29">
        <v>2.4624999999999998E-3</v>
      </c>
      <c r="G27" s="26">
        <f>fr</f>
        <v>1100</v>
      </c>
      <c r="H27" s="26">
        <f t="shared" ref="H27:H32" si="1">F27*G27</f>
        <v>2.7087499999999998</v>
      </c>
      <c r="I27" s="7" t="s">
        <v>67</v>
      </c>
      <c r="J27" s="145" t="s">
        <v>250</v>
      </c>
      <c r="K27" s="29">
        <v>1.6</v>
      </c>
      <c r="L27" s="28">
        <f>diesel</f>
        <v>177.6</v>
      </c>
      <c r="M27" s="26">
        <f>K27*L27</f>
        <v>284.16000000000003</v>
      </c>
      <c r="N27" s="8" t="s">
        <v>505</v>
      </c>
      <c r="O27" s="66" t="s">
        <v>101</v>
      </c>
      <c r="P27" s="29">
        <v>0.03</v>
      </c>
      <c r="Q27" s="28">
        <f>backhoe</f>
        <v>1081.5999999999999</v>
      </c>
      <c r="R27" s="26">
        <f>P27*Q27</f>
        <v>32.447999999999993</v>
      </c>
    </row>
    <row r="28" spans="1:18">
      <c r="A28" s="2"/>
      <c r="B28" s="714"/>
      <c r="C28" s="6"/>
      <c r="D28" s="4" t="s">
        <v>503</v>
      </c>
      <c r="E28" s="66" t="s">
        <v>81</v>
      </c>
      <c r="F28" s="29">
        <v>2.4624999999999998E-3</v>
      </c>
      <c r="G28" s="26">
        <f>sr</f>
        <v>1100</v>
      </c>
      <c r="H28" s="26">
        <f t="shared" si="1"/>
        <v>2.7087499999999998</v>
      </c>
      <c r="I28" s="7" t="s">
        <v>467</v>
      </c>
      <c r="J28" s="145" t="s">
        <v>250</v>
      </c>
      <c r="K28" s="29">
        <v>0.01</v>
      </c>
      <c r="L28" s="28">
        <f>lubricant</f>
        <v>459.84</v>
      </c>
      <c r="M28" s="26">
        <f>K28*L28</f>
        <v>4.5983999999999998</v>
      </c>
      <c r="N28" s="8" t="s">
        <v>204</v>
      </c>
      <c r="O28" s="66" t="s">
        <v>101</v>
      </c>
      <c r="P28" s="29">
        <v>0.08</v>
      </c>
      <c r="Q28" s="28">
        <f>truck</f>
        <v>486.72</v>
      </c>
      <c r="R28" s="26">
        <f>P28*Q28</f>
        <v>38.937600000000003</v>
      </c>
    </row>
    <row r="29" spans="1:18">
      <c r="A29" s="2"/>
      <c r="B29" s="126"/>
      <c r="C29" s="6"/>
      <c r="D29" s="4" t="s">
        <v>504</v>
      </c>
      <c r="E29" s="66" t="s">
        <v>81</v>
      </c>
      <c r="F29" s="29">
        <v>3.7499999999999999E-3</v>
      </c>
      <c r="G29" s="26">
        <f>drv</f>
        <v>1100</v>
      </c>
      <c r="H29" s="26">
        <f t="shared" si="1"/>
        <v>4.125</v>
      </c>
      <c r="I29" s="7"/>
      <c r="J29" s="145"/>
      <c r="K29" s="29"/>
      <c r="L29" s="28"/>
      <c r="M29" s="26"/>
      <c r="N29" s="8" t="s">
        <v>480</v>
      </c>
      <c r="O29" s="66" t="s">
        <v>101</v>
      </c>
      <c r="P29" s="29">
        <v>1.6666666666666666E-2</v>
      </c>
      <c r="Q29" s="28">
        <f>survey_equipments</f>
        <v>378.56</v>
      </c>
      <c r="R29" s="26">
        <f>P29*Q29</f>
        <v>6.309333333333333</v>
      </c>
    </row>
    <row r="30" spans="1:18">
      <c r="A30" s="2"/>
      <c r="B30" s="126"/>
      <c r="C30" s="6"/>
      <c r="D30" s="4" t="s">
        <v>490</v>
      </c>
      <c r="E30" s="66" t="s">
        <v>81</v>
      </c>
      <c r="F30" s="29">
        <v>0.01</v>
      </c>
      <c r="G30" s="26">
        <f>drv</f>
        <v>1100</v>
      </c>
      <c r="H30" s="26">
        <f t="shared" si="1"/>
        <v>11</v>
      </c>
      <c r="I30" s="7"/>
      <c r="J30" s="145"/>
      <c r="K30" s="29"/>
      <c r="L30" s="28"/>
      <c r="M30" s="26"/>
      <c r="N30" s="8"/>
      <c r="O30" s="66"/>
      <c r="P30" s="29"/>
      <c r="Q30" s="28"/>
      <c r="R30" s="26"/>
    </row>
    <row r="31" spans="1:18">
      <c r="A31" s="2"/>
      <c r="B31" s="126"/>
      <c r="C31" s="6"/>
      <c r="D31" s="4" t="s">
        <v>491</v>
      </c>
      <c r="E31" s="66" t="s">
        <v>81</v>
      </c>
      <c r="F31" s="29">
        <v>0.01</v>
      </c>
      <c r="G31" s="26">
        <f>hr</f>
        <v>750</v>
      </c>
      <c r="H31" s="26">
        <f t="shared" si="1"/>
        <v>7.5</v>
      </c>
      <c r="I31" s="7"/>
      <c r="J31" s="145"/>
      <c r="K31" s="29"/>
      <c r="L31" s="28"/>
      <c r="M31" s="26"/>
      <c r="N31" s="8"/>
      <c r="O31" s="66"/>
      <c r="P31" s="29"/>
      <c r="Q31" s="28"/>
      <c r="R31" s="26"/>
    </row>
    <row r="32" spans="1:18">
      <c r="A32" s="2"/>
      <c r="B32" s="126"/>
      <c r="C32" s="6"/>
      <c r="D32" s="4" t="s">
        <v>492</v>
      </c>
      <c r="E32" s="66" t="s">
        <v>81</v>
      </c>
      <c r="F32" s="29">
        <v>7.3875E-3</v>
      </c>
      <c r="G32" s="26">
        <f>ur</f>
        <v>850</v>
      </c>
      <c r="H32" s="26">
        <f t="shared" si="1"/>
        <v>6.2793749999999999</v>
      </c>
      <c r="I32" s="7"/>
      <c r="J32" s="145"/>
      <c r="K32" s="29"/>
      <c r="L32" s="28"/>
      <c r="M32" s="26"/>
      <c r="N32" s="8"/>
      <c r="O32" s="66"/>
      <c r="P32" s="29"/>
      <c r="Q32" s="28"/>
      <c r="R32" s="26"/>
    </row>
    <row r="33" spans="1:18">
      <c r="A33" s="2"/>
      <c r="B33" s="5"/>
      <c r="C33" s="6"/>
      <c r="D33" s="4"/>
      <c r="E33" s="9"/>
      <c r="F33" s="30"/>
      <c r="G33" s="27"/>
      <c r="H33" s="27"/>
      <c r="I33" s="9"/>
      <c r="J33" s="10"/>
      <c r="K33" s="30"/>
      <c r="L33" s="28"/>
      <c r="M33" s="28"/>
      <c r="N33" s="8"/>
      <c r="O33" s="6"/>
      <c r="P33" s="30"/>
      <c r="Q33" s="28"/>
      <c r="R33" s="28"/>
    </row>
    <row r="34" spans="1:18">
      <c r="A34" s="2"/>
      <c r="B34" s="11"/>
      <c r="C34" s="6"/>
      <c r="D34" s="12"/>
      <c r="E34" s="59"/>
      <c r="F34" s="13"/>
      <c r="G34" s="13" t="s">
        <v>20</v>
      </c>
      <c r="H34" s="25">
        <f>SUM(H26:H33)</f>
        <v>34.321874999999999</v>
      </c>
      <c r="I34" s="703"/>
      <c r="J34" s="703"/>
      <c r="K34" s="14"/>
      <c r="L34" s="13" t="s">
        <v>21</v>
      </c>
      <c r="M34" s="25">
        <f>SUM(M26:M33)</f>
        <v>288.75840000000005</v>
      </c>
      <c r="N34" s="3"/>
      <c r="O34" s="14"/>
      <c r="P34" s="14"/>
      <c r="Q34" s="13" t="s">
        <v>22</v>
      </c>
      <c r="R34" s="25">
        <f>SUM(R26:R33)</f>
        <v>77.694933333333324</v>
      </c>
    </row>
    <row r="35" spans="1:18">
      <c r="A35" s="2"/>
      <c r="B35" s="16" t="s">
        <v>13</v>
      </c>
      <c r="C35" s="14"/>
      <c r="D35" s="14"/>
      <c r="E35" s="14"/>
      <c r="F35" s="14"/>
      <c r="G35" s="13"/>
      <c r="H35" s="35">
        <f>M34+R34+H34</f>
        <v>400.77520833333335</v>
      </c>
      <c r="I35" s="17"/>
      <c r="J35" s="14"/>
      <c r="K35" s="14"/>
      <c r="L35" s="13"/>
      <c r="M35" s="15"/>
      <c r="N35" s="14"/>
      <c r="O35" s="14"/>
      <c r="P35" s="14"/>
      <c r="Q35" s="14"/>
      <c r="R35" s="17"/>
    </row>
    <row r="36" spans="1:18">
      <c r="A36" s="2"/>
      <c r="B36" s="11" t="s">
        <v>25</v>
      </c>
      <c r="C36" s="4"/>
      <c r="D36" s="4"/>
      <c r="E36" s="4"/>
      <c r="F36" s="4"/>
      <c r="G36" s="18"/>
      <c r="H36" s="36">
        <v>0</v>
      </c>
      <c r="I36" s="20"/>
      <c r="J36" s="4" t="s">
        <v>26</v>
      </c>
      <c r="K36" s="4"/>
      <c r="L36" s="18"/>
      <c r="M36" s="19"/>
      <c r="N36" s="4"/>
      <c r="O36" s="4"/>
      <c r="P36" s="4"/>
      <c r="Q36" s="4"/>
      <c r="R36" s="20"/>
    </row>
    <row r="37" spans="1:18">
      <c r="A37" s="23"/>
      <c r="B37" s="11" t="s">
        <v>14</v>
      </c>
      <c r="C37" s="4"/>
      <c r="D37" s="4"/>
      <c r="E37" s="4"/>
      <c r="F37" s="4"/>
      <c r="G37" s="18"/>
      <c r="H37" s="36">
        <f>SUM(H35:H36)</f>
        <v>400.77520833333335</v>
      </c>
      <c r="I37" s="20"/>
      <c r="J37" s="741"/>
      <c r="K37" s="742"/>
      <c r="L37" s="742"/>
      <c r="M37" s="742"/>
      <c r="N37" s="742"/>
      <c r="O37" s="742"/>
      <c r="P37" s="742"/>
      <c r="Q37" s="742"/>
      <c r="R37" s="743"/>
    </row>
    <row r="38" spans="1:18">
      <c r="A38" s="23"/>
      <c r="B38" s="11" t="s">
        <v>24</v>
      </c>
      <c r="C38" s="4"/>
      <c r="D38" s="4"/>
      <c r="E38" s="4"/>
      <c r="F38" s="4"/>
      <c r="G38" s="18"/>
      <c r="H38" s="36">
        <f>H37*15%</f>
        <v>60.11628125</v>
      </c>
      <c r="I38" s="20"/>
      <c r="J38" s="744"/>
      <c r="K38" s="745"/>
      <c r="L38" s="745"/>
      <c r="M38" s="745"/>
      <c r="N38" s="745"/>
      <c r="O38" s="745"/>
      <c r="P38" s="745"/>
      <c r="Q38" s="745"/>
      <c r="R38" s="746"/>
    </row>
    <row r="39" spans="1:18">
      <c r="A39" s="23"/>
      <c r="B39" s="11" t="s">
        <v>15</v>
      </c>
      <c r="C39" s="4"/>
      <c r="D39" s="4"/>
      <c r="E39" s="4"/>
      <c r="F39" s="4"/>
      <c r="G39" s="21" t="s">
        <v>16</v>
      </c>
      <c r="H39" s="37">
        <f>H38+H37</f>
        <v>460.89148958333334</v>
      </c>
      <c r="I39" s="38" t="str">
        <f>CONCATENATE("per ",C26)</f>
        <v>per cum</v>
      </c>
      <c r="J39" s="744"/>
      <c r="K39" s="745"/>
      <c r="L39" s="745"/>
      <c r="M39" s="745"/>
      <c r="N39" s="745"/>
      <c r="O39" s="745"/>
      <c r="P39" s="745"/>
      <c r="Q39" s="745"/>
      <c r="R39" s="746"/>
    </row>
    <row r="40" spans="1:18">
      <c r="A40" s="23"/>
      <c r="B40" s="11" t="s">
        <v>18</v>
      </c>
      <c r="C40" s="4" t="s">
        <v>19</v>
      </c>
      <c r="D40" s="4"/>
      <c r="E40" s="4"/>
      <c r="F40" s="4"/>
      <c r="G40" s="21" t="s">
        <v>16</v>
      </c>
      <c r="H40" s="37">
        <f>CEILING(H39,0.5)</f>
        <v>461</v>
      </c>
      <c r="I40" s="38" t="str">
        <f>CONCATENATE("per ",C26)</f>
        <v>per cum</v>
      </c>
      <c r="J40" s="744"/>
      <c r="K40" s="745"/>
      <c r="L40" s="745"/>
      <c r="M40" s="745"/>
      <c r="N40" s="745"/>
      <c r="O40" s="745"/>
      <c r="P40" s="745"/>
      <c r="Q40" s="745"/>
      <c r="R40" s="746"/>
    </row>
    <row r="41" spans="1:18">
      <c r="A41" s="23"/>
      <c r="B41" s="11"/>
      <c r="C41" s="4"/>
      <c r="D41" s="4"/>
      <c r="E41" s="4"/>
      <c r="F41" s="4"/>
      <c r="G41" s="24" t="s">
        <v>17</v>
      </c>
      <c r="H41" s="37">
        <f>H40/exr</f>
        <v>3.546153846153846</v>
      </c>
      <c r="I41" s="38" t="str">
        <f>CONCATENATE("per ",C26)</f>
        <v>per cum</v>
      </c>
      <c r="J41" s="747"/>
      <c r="K41" s="748"/>
      <c r="L41" s="748"/>
      <c r="M41" s="748"/>
      <c r="N41" s="748"/>
      <c r="O41" s="748"/>
      <c r="P41" s="748"/>
      <c r="Q41" s="748"/>
      <c r="R41" s="749"/>
    </row>
    <row r="42" spans="1:18">
      <c r="A42" s="39"/>
      <c r="B42" s="40"/>
      <c r="C42" s="41"/>
      <c r="D42" s="41"/>
      <c r="E42" s="41"/>
      <c r="F42" s="41"/>
      <c r="G42" s="149" t="s">
        <v>460</v>
      </c>
      <c r="H42" s="150">
        <f>CEILING(SUM(M34,R34)/H35,0.0025)</f>
        <v>0.91500000000000004</v>
      </c>
      <c r="I42" s="42"/>
      <c r="J42" s="43"/>
      <c r="K42" s="43"/>
      <c r="L42" s="43"/>
      <c r="M42" s="43"/>
      <c r="N42" s="43"/>
      <c r="O42" s="43"/>
      <c r="P42" s="43"/>
      <c r="Q42" s="43"/>
      <c r="R42" s="44"/>
    </row>
    <row r="44" spans="1:18">
      <c r="A44" s="693" t="s">
        <v>0</v>
      </c>
      <c r="B44" s="695" t="s">
        <v>1</v>
      </c>
      <c r="C44" s="695" t="s">
        <v>2</v>
      </c>
      <c r="D44" s="697" t="s">
        <v>3</v>
      </c>
      <c r="E44" s="698"/>
      <c r="F44" s="698"/>
      <c r="G44" s="698"/>
      <c r="H44" s="698"/>
      <c r="I44" s="699" t="s">
        <v>4</v>
      </c>
      <c r="J44" s="700"/>
      <c r="K44" s="700"/>
      <c r="L44" s="700"/>
      <c r="M44" s="700"/>
      <c r="N44" s="698" t="s">
        <v>5</v>
      </c>
      <c r="O44" s="698"/>
      <c r="P44" s="698"/>
      <c r="Q44" s="698"/>
      <c r="R44" s="698"/>
    </row>
    <row r="45" spans="1:18">
      <c r="A45" s="694"/>
      <c r="B45" s="759"/>
      <c r="C45" s="696"/>
      <c r="D45" s="45" t="s">
        <v>6</v>
      </c>
      <c r="E45" s="46" t="s">
        <v>2</v>
      </c>
      <c r="F45" s="46" t="s">
        <v>7</v>
      </c>
      <c r="G45" s="46" t="s">
        <v>8</v>
      </c>
      <c r="H45" s="46" t="s">
        <v>9</v>
      </c>
      <c r="I45" s="46" t="s">
        <v>10</v>
      </c>
      <c r="J45" s="46" t="s">
        <v>2</v>
      </c>
      <c r="K45" s="46" t="s">
        <v>7</v>
      </c>
      <c r="L45" s="46" t="s">
        <v>8</v>
      </c>
      <c r="M45" s="47" t="s">
        <v>9</v>
      </c>
      <c r="N45" s="46" t="s">
        <v>10</v>
      </c>
      <c r="O45" s="46" t="s">
        <v>2</v>
      </c>
      <c r="P45" s="46" t="s">
        <v>7</v>
      </c>
      <c r="Q45" s="46" t="s">
        <v>8</v>
      </c>
      <c r="R45" s="46" t="s">
        <v>9</v>
      </c>
    </row>
    <row r="46" spans="1:18">
      <c r="A46" s="33" t="s">
        <v>23</v>
      </c>
      <c r="B46" s="127"/>
      <c r="C46" s="31"/>
      <c r="D46" s="31"/>
      <c r="E46" s="31"/>
      <c r="F46" s="31"/>
      <c r="G46" s="31"/>
      <c r="H46" s="31"/>
      <c r="I46" s="31"/>
      <c r="J46" s="31"/>
      <c r="K46" s="31"/>
      <c r="L46" s="31"/>
      <c r="M46" s="31"/>
      <c r="N46" s="31"/>
      <c r="O46" s="31"/>
      <c r="P46" s="31"/>
      <c r="Q46" s="31"/>
      <c r="R46" s="32"/>
    </row>
    <row r="47" spans="1:18">
      <c r="A47" s="34">
        <f>A26+1</f>
        <v>3</v>
      </c>
      <c r="B47" s="713" t="s">
        <v>506</v>
      </c>
      <c r="C47" s="66" t="s">
        <v>11</v>
      </c>
      <c r="D47" s="4"/>
      <c r="E47" s="6"/>
      <c r="F47" s="29"/>
      <c r="G47" s="26"/>
      <c r="H47" s="26"/>
      <c r="I47" s="6"/>
      <c r="J47" s="6"/>
      <c r="K47" s="29"/>
      <c r="L47" s="26"/>
      <c r="M47" s="26"/>
      <c r="N47" s="6"/>
      <c r="O47" s="6"/>
      <c r="P47" s="29"/>
      <c r="Q47" s="26"/>
      <c r="R47" s="26"/>
    </row>
    <row r="48" spans="1:18">
      <c r="A48" s="2"/>
      <c r="B48" s="714"/>
      <c r="C48" s="124"/>
      <c r="D48" s="4" t="s">
        <v>75</v>
      </c>
      <c r="E48" s="66" t="s">
        <v>81</v>
      </c>
      <c r="F48" s="29">
        <v>1.5037500000000001E-2</v>
      </c>
      <c r="G48" s="26">
        <f>fr</f>
        <v>1100</v>
      </c>
      <c r="H48" s="26">
        <f>F48*G48</f>
        <v>16.541250000000002</v>
      </c>
      <c r="I48" s="7" t="s">
        <v>43</v>
      </c>
      <c r="J48" s="145" t="s">
        <v>424</v>
      </c>
      <c r="K48" s="29">
        <v>0.5</v>
      </c>
      <c r="L48" s="28">
        <f>gelatine</f>
        <v>408.15999999999997</v>
      </c>
      <c r="M48" s="26">
        <f t="shared" ref="M48:M53" si="2">K48*L48</f>
        <v>204.07999999999998</v>
      </c>
      <c r="N48" s="8" t="s">
        <v>377</v>
      </c>
      <c r="O48" s="66" t="s">
        <v>101</v>
      </c>
      <c r="P48" s="29">
        <v>7.0000000000000007E-2</v>
      </c>
      <c r="Q48" s="28">
        <f>compressor</f>
        <v>270.39999999999998</v>
      </c>
      <c r="R48" s="26">
        <f>P48*Q48</f>
        <v>18.928000000000001</v>
      </c>
    </row>
    <row r="49" spans="1:18">
      <c r="A49" s="2"/>
      <c r="B49" s="714"/>
      <c r="C49" s="6"/>
      <c r="D49" s="4" t="s">
        <v>89</v>
      </c>
      <c r="E49" s="66" t="s">
        <v>81</v>
      </c>
      <c r="F49" s="29">
        <v>7.4999999999999997E-3</v>
      </c>
      <c r="G49" s="26">
        <f>dr</f>
        <v>1100</v>
      </c>
      <c r="H49" s="26">
        <f t="shared" ref="H49:H55" si="3">F49*G49</f>
        <v>8.25</v>
      </c>
      <c r="I49" s="7" t="s">
        <v>44</v>
      </c>
      <c r="J49" s="145" t="s">
        <v>45</v>
      </c>
      <c r="K49" s="29">
        <v>1</v>
      </c>
      <c r="L49" s="28">
        <f>detonator</f>
        <v>11.95</v>
      </c>
      <c r="M49" s="26">
        <f t="shared" si="2"/>
        <v>11.95</v>
      </c>
      <c r="N49" s="8" t="s">
        <v>384</v>
      </c>
      <c r="O49" s="66" t="s">
        <v>101</v>
      </c>
      <c r="P49" s="29">
        <v>4.4999999999999998E-2</v>
      </c>
      <c r="Q49" s="28">
        <f>wheel_loader</f>
        <v>1622.4</v>
      </c>
      <c r="R49" s="26">
        <f>P49*Q49</f>
        <v>73.007999999999996</v>
      </c>
    </row>
    <row r="50" spans="1:18">
      <c r="A50" s="2"/>
      <c r="B50" s="126"/>
      <c r="C50" s="6"/>
      <c r="D50" s="4" t="s">
        <v>87</v>
      </c>
      <c r="E50" s="66" t="s">
        <v>81</v>
      </c>
      <c r="F50" s="29">
        <v>6.2500000000000003E-3</v>
      </c>
      <c r="G50" s="26">
        <f>br</f>
        <v>1100</v>
      </c>
      <c r="H50" s="26">
        <f t="shared" si="3"/>
        <v>6.875</v>
      </c>
      <c r="I50" s="7" t="s">
        <v>495</v>
      </c>
      <c r="J50" s="145" t="s">
        <v>47</v>
      </c>
      <c r="K50" s="29">
        <v>0.1</v>
      </c>
      <c r="L50" s="28">
        <f>Detonating_chord</f>
        <v>7.4</v>
      </c>
      <c r="M50" s="26">
        <f t="shared" si="2"/>
        <v>0.7400000000000001</v>
      </c>
      <c r="N50" s="8" t="s">
        <v>204</v>
      </c>
      <c r="O50" s="66" t="s">
        <v>101</v>
      </c>
      <c r="P50" s="29">
        <v>8.6999999999999994E-2</v>
      </c>
      <c r="Q50" s="28">
        <f>truck</f>
        <v>486.72</v>
      </c>
      <c r="R50" s="26">
        <f>P50*Q50</f>
        <v>42.344639999999998</v>
      </c>
    </row>
    <row r="51" spans="1:18">
      <c r="A51" s="2"/>
      <c r="B51" s="126"/>
      <c r="C51" s="6"/>
      <c r="D51" s="4" t="s">
        <v>489</v>
      </c>
      <c r="E51" s="66" t="s">
        <v>81</v>
      </c>
      <c r="F51" s="29">
        <v>6.2500000000000003E-3</v>
      </c>
      <c r="G51" s="26">
        <f>drv</f>
        <v>1100</v>
      </c>
      <c r="H51" s="26">
        <f t="shared" si="3"/>
        <v>6.875</v>
      </c>
      <c r="I51" s="7" t="s">
        <v>465</v>
      </c>
      <c r="J51" s="145" t="s">
        <v>250</v>
      </c>
      <c r="K51" s="29">
        <v>0.25</v>
      </c>
      <c r="L51" s="28">
        <f>lubricant</f>
        <v>459.84</v>
      </c>
      <c r="M51" s="26">
        <f t="shared" si="2"/>
        <v>114.96</v>
      </c>
      <c r="N51" s="8" t="s">
        <v>480</v>
      </c>
      <c r="O51" s="66" t="s">
        <v>101</v>
      </c>
      <c r="P51" s="29">
        <v>0.01</v>
      </c>
      <c r="Q51" s="28">
        <f>survey_equipments</f>
        <v>378.56</v>
      </c>
      <c r="R51" s="26">
        <f>P51*Q51</f>
        <v>3.7856000000000001</v>
      </c>
    </row>
    <row r="52" spans="1:18">
      <c r="A52" s="2"/>
      <c r="B52" s="126"/>
      <c r="C52" s="6"/>
      <c r="D52" s="4" t="s">
        <v>490</v>
      </c>
      <c r="E52" s="66" t="s">
        <v>81</v>
      </c>
      <c r="F52" s="29">
        <v>1.0874999999999999E-2</v>
      </c>
      <c r="G52" s="26">
        <f>drv</f>
        <v>1100</v>
      </c>
      <c r="H52" s="26">
        <f t="shared" si="3"/>
        <v>11.962499999999999</v>
      </c>
      <c r="I52" s="7" t="s">
        <v>67</v>
      </c>
      <c r="J52" s="145" t="s">
        <v>250</v>
      </c>
      <c r="K52" s="29">
        <v>1.65</v>
      </c>
      <c r="L52" s="28">
        <f>diesel</f>
        <v>177.6</v>
      </c>
      <c r="M52" s="26">
        <f t="shared" si="2"/>
        <v>293.03999999999996</v>
      </c>
      <c r="N52" s="8"/>
      <c r="O52" s="66"/>
      <c r="P52" s="29"/>
      <c r="Q52" s="28"/>
      <c r="R52" s="26"/>
    </row>
    <row r="53" spans="1:18">
      <c r="A53" s="2"/>
      <c r="B53" s="126"/>
      <c r="C53" s="6"/>
      <c r="D53" s="4" t="s">
        <v>491</v>
      </c>
      <c r="E53" s="66" t="s">
        <v>81</v>
      </c>
      <c r="F53" s="29">
        <v>1.0874999999999999E-2</v>
      </c>
      <c r="G53" s="26">
        <f>hr</f>
        <v>750</v>
      </c>
      <c r="H53" s="26">
        <f t="shared" si="3"/>
        <v>8.15625</v>
      </c>
      <c r="I53" s="7" t="s">
        <v>467</v>
      </c>
      <c r="J53" s="145" t="s">
        <v>250</v>
      </c>
      <c r="K53" s="29">
        <v>0.15</v>
      </c>
      <c r="L53" s="28">
        <f>lubricant</f>
        <v>459.84</v>
      </c>
      <c r="M53" s="26">
        <f t="shared" si="2"/>
        <v>68.975999999999999</v>
      </c>
      <c r="N53" s="8"/>
      <c r="O53" s="66"/>
      <c r="P53" s="29"/>
      <c r="Q53" s="28"/>
      <c r="R53" s="26"/>
    </row>
    <row r="54" spans="1:18">
      <c r="A54" s="2"/>
      <c r="B54" s="126"/>
      <c r="C54" s="6"/>
      <c r="D54" s="4" t="s">
        <v>507</v>
      </c>
      <c r="E54" s="66" t="s">
        <v>81</v>
      </c>
      <c r="F54" s="29">
        <v>8.7500000000000008E-3</v>
      </c>
      <c r="G54" s="26">
        <f>or</f>
        <v>1840</v>
      </c>
      <c r="H54" s="26">
        <f t="shared" si="3"/>
        <v>16.100000000000001</v>
      </c>
      <c r="I54" s="7"/>
      <c r="J54" s="145"/>
      <c r="K54" s="29"/>
      <c r="L54" s="28"/>
      <c r="M54" s="26"/>
      <c r="N54" s="8"/>
      <c r="O54" s="66"/>
      <c r="P54" s="29"/>
      <c r="Q54" s="28"/>
      <c r="R54" s="26"/>
    </row>
    <row r="55" spans="1:18">
      <c r="A55" s="2"/>
      <c r="B55" s="126"/>
      <c r="C55" s="6"/>
      <c r="D55" s="4" t="s">
        <v>492</v>
      </c>
      <c r="E55" s="66" t="s">
        <v>81</v>
      </c>
      <c r="F55" s="29">
        <v>9.3749999999999997E-3</v>
      </c>
      <c r="G55" s="26">
        <f>ur</f>
        <v>850</v>
      </c>
      <c r="H55" s="26">
        <f t="shared" si="3"/>
        <v>7.96875</v>
      </c>
      <c r="I55" s="7"/>
      <c r="J55" s="145"/>
      <c r="K55" s="29"/>
      <c r="L55" s="28"/>
      <c r="M55" s="26"/>
      <c r="N55" s="8"/>
      <c r="O55" s="66"/>
      <c r="P55" s="29"/>
      <c r="Q55" s="28"/>
      <c r="R55" s="26"/>
    </row>
    <row r="56" spans="1:18">
      <c r="A56" s="2"/>
      <c r="B56" s="5"/>
      <c r="C56" s="6"/>
      <c r="D56" s="4"/>
      <c r="E56" s="9"/>
      <c r="F56" s="30"/>
      <c r="G56" s="27"/>
      <c r="H56" s="27"/>
      <c r="I56" s="9"/>
      <c r="J56" s="10"/>
      <c r="K56" s="30"/>
      <c r="L56" s="28"/>
      <c r="M56" s="28"/>
      <c r="N56" s="8"/>
      <c r="O56" s="6"/>
      <c r="P56" s="30"/>
      <c r="Q56" s="28"/>
      <c r="R56" s="28"/>
    </row>
    <row r="57" spans="1:18">
      <c r="A57" s="2"/>
      <c r="B57" s="11"/>
      <c r="C57" s="6"/>
      <c r="D57" s="12"/>
      <c r="E57" s="59"/>
      <c r="F57" s="13"/>
      <c r="G57" s="13" t="s">
        <v>20</v>
      </c>
      <c r="H57" s="25">
        <f>SUM(H47:H56)</f>
        <v>82.728750000000005</v>
      </c>
      <c r="I57" s="703"/>
      <c r="J57" s="703"/>
      <c r="K57" s="14"/>
      <c r="L57" s="13" t="s">
        <v>21</v>
      </c>
      <c r="M57" s="25">
        <f>SUM(M47:M56)</f>
        <v>693.74599999999998</v>
      </c>
      <c r="N57" s="3"/>
      <c r="O57" s="14"/>
      <c r="P57" s="14"/>
      <c r="Q57" s="13" t="s">
        <v>22</v>
      </c>
      <c r="R57" s="25">
        <f>SUM(R47:R56)</f>
        <v>138.06623999999999</v>
      </c>
    </row>
    <row r="58" spans="1:18">
      <c r="A58" s="2"/>
      <c r="B58" s="16" t="s">
        <v>13</v>
      </c>
      <c r="C58" s="14"/>
      <c r="D58" s="14"/>
      <c r="E58" s="14"/>
      <c r="F58" s="14"/>
      <c r="G58" s="13"/>
      <c r="H58" s="35">
        <f>H57+M57+R57</f>
        <v>914.54098999999997</v>
      </c>
      <c r="I58" s="17"/>
      <c r="J58" s="14"/>
      <c r="K58" s="14"/>
      <c r="L58" s="13"/>
      <c r="M58" s="15"/>
      <c r="N58" s="14"/>
      <c r="O58" s="14"/>
      <c r="P58" s="14"/>
      <c r="Q58" s="14"/>
      <c r="R58" s="17"/>
    </row>
    <row r="59" spans="1:18">
      <c r="A59" s="2"/>
      <c r="B59" s="11" t="s">
        <v>25</v>
      </c>
      <c r="C59" s="4"/>
      <c r="D59" s="4"/>
      <c r="E59" s="4"/>
      <c r="F59" s="4"/>
      <c r="G59" s="18"/>
      <c r="H59" s="36">
        <v>0</v>
      </c>
      <c r="I59" s="20"/>
      <c r="J59" s="4" t="s">
        <v>26</v>
      </c>
      <c r="K59" s="4"/>
      <c r="L59" s="18"/>
      <c r="M59" s="19"/>
      <c r="N59" s="4"/>
      <c r="O59" s="4"/>
      <c r="P59" s="4"/>
      <c r="Q59" s="4"/>
      <c r="R59" s="20"/>
    </row>
    <row r="60" spans="1:18">
      <c r="A60" s="23"/>
      <c r="B60" s="11" t="s">
        <v>14</v>
      </c>
      <c r="C60" s="4"/>
      <c r="D60" s="4"/>
      <c r="E60" s="4"/>
      <c r="F60" s="4"/>
      <c r="G60" s="18"/>
      <c r="H60" s="36">
        <f>SUM(H58:H59)</f>
        <v>914.54098999999997</v>
      </c>
      <c r="I60" s="20"/>
      <c r="J60" s="741"/>
      <c r="K60" s="742"/>
      <c r="L60" s="742"/>
      <c r="M60" s="742"/>
      <c r="N60" s="742"/>
      <c r="O60" s="742"/>
      <c r="P60" s="742"/>
      <c r="Q60" s="742"/>
      <c r="R60" s="743"/>
    </row>
    <row r="61" spans="1:18">
      <c r="A61" s="23"/>
      <c r="B61" s="11" t="s">
        <v>24</v>
      </c>
      <c r="C61" s="4"/>
      <c r="D61" s="4"/>
      <c r="E61" s="4"/>
      <c r="F61" s="4"/>
      <c r="G61" s="18"/>
      <c r="H61" s="36">
        <f>H60*15%</f>
        <v>137.18114849999998</v>
      </c>
      <c r="I61" s="20"/>
      <c r="J61" s="744"/>
      <c r="K61" s="745"/>
      <c r="L61" s="745"/>
      <c r="M61" s="745"/>
      <c r="N61" s="745"/>
      <c r="O61" s="745"/>
      <c r="P61" s="745"/>
      <c r="Q61" s="745"/>
      <c r="R61" s="746"/>
    </row>
    <row r="62" spans="1:18">
      <c r="A62" s="23"/>
      <c r="B62" s="11" t="s">
        <v>15</v>
      </c>
      <c r="C62" s="4"/>
      <c r="D62" s="4"/>
      <c r="E62" s="4"/>
      <c r="F62" s="4"/>
      <c r="G62" s="21" t="s">
        <v>16</v>
      </c>
      <c r="H62" s="37">
        <f>H61+H60</f>
        <v>1051.7221385</v>
      </c>
      <c r="I62" s="38" t="str">
        <f>CONCATENATE("per ",C47)</f>
        <v>per cum</v>
      </c>
      <c r="J62" s="744"/>
      <c r="K62" s="745"/>
      <c r="L62" s="745"/>
      <c r="M62" s="745"/>
      <c r="N62" s="745"/>
      <c r="O62" s="745"/>
      <c r="P62" s="745"/>
      <c r="Q62" s="745"/>
      <c r="R62" s="746"/>
    </row>
    <row r="63" spans="1:18">
      <c r="A63" s="23"/>
      <c r="B63" s="11" t="s">
        <v>18</v>
      </c>
      <c r="C63" s="4" t="s">
        <v>19</v>
      </c>
      <c r="D63" s="4"/>
      <c r="E63" s="4"/>
      <c r="F63" s="4"/>
      <c r="G63" s="21" t="s">
        <v>16</v>
      </c>
      <c r="H63" s="37">
        <f>CEILING(H62,0.5)</f>
        <v>1052</v>
      </c>
      <c r="I63" s="38" t="str">
        <f>CONCATENATE("per ",C47)</f>
        <v>per cum</v>
      </c>
      <c r="J63" s="744"/>
      <c r="K63" s="745"/>
      <c r="L63" s="745"/>
      <c r="M63" s="745"/>
      <c r="N63" s="745"/>
      <c r="O63" s="745"/>
      <c r="P63" s="745"/>
      <c r="Q63" s="745"/>
      <c r="R63" s="746"/>
    </row>
    <row r="64" spans="1:18">
      <c r="A64" s="23"/>
      <c r="B64" s="11"/>
      <c r="C64" s="4"/>
      <c r="D64" s="4"/>
      <c r="E64" s="4"/>
      <c r="F64" s="4"/>
      <c r="G64" s="24" t="s">
        <v>17</v>
      </c>
      <c r="H64" s="37">
        <f>H63/exr</f>
        <v>8.092307692307692</v>
      </c>
      <c r="I64" s="38" t="str">
        <f>CONCATENATE("per ",C47)</f>
        <v>per cum</v>
      </c>
      <c r="J64" s="747"/>
      <c r="K64" s="748"/>
      <c r="L64" s="748"/>
      <c r="M64" s="748"/>
      <c r="N64" s="748"/>
      <c r="O64" s="748"/>
      <c r="P64" s="748"/>
      <c r="Q64" s="748"/>
      <c r="R64" s="749"/>
    </row>
    <row r="65" spans="1:18">
      <c r="A65" s="39"/>
      <c r="B65" s="40"/>
      <c r="C65" s="41"/>
      <c r="D65" s="41"/>
      <c r="E65" s="41"/>
      <c r="F65" s="41"/>
      <c r="G65" s="149" t="s">
        <v>460</v>
      </c>
      <c r="H65" s="150">
        <f>CEILING(SUM(M57,R57)/H58,0.0025)</f>
        <v>0.91</v>
      </c>
      <c r="I65" s="42"/>
      <c r="J65" s="43"/>
      <c r="K65" s="43"/>
      <c r="L65" s="43"/>
      <c r="M65" s="43"/>
      <c r="N65" s="43"/>
      <c r="O65" s="43"/>
      <c r="P65" s="43"/>
      <c r="Q65" s="43"/>
      <c r="R65" s="44"/>
    </row>
    <row r="67" spans="1:18">
      <c r="A67" s="693" t="s">
        <v>0</v>
      </c>
      <c r="B67" s="695" t="s">
        <v>1</v>
      </c>
      <c r="C67" s="695" t="s">
        <v>2</v>
      </c>
      <c r="D67" s="697" t="s">
        <v>3</v>
      </c>
      <c r="E67" s="698"/>
      <c r="F67" s="698"/>
      <c r="G67" s="698"/>
      <c r="H67" s="698"/>
      <c r="I67" s="699" t="s">
        <v>4</v>
      </c>
      <c r="J67" s="700"/>
      <c r="K67" s="700"/>
      <c r="L67" s="700"/>
      <c r="M67" s="700"/>
      <c r="N67" s="698" t="s">
        <v>5</v>
      </c>
      <c r="O67" s="698"/>
      <c r="P67" s="698"/>
      <c r="Q67" s="698"/>
      <c r="R67" s="698"/>
    </row>
    <row r="68" spans="1:18">
      <c r="A68" s="694"/>
      <c r="B68" s="759"/>
      <c r="C68" s="696"/>
      <c r="D68" s="45" t="s">
        <v>6</v>
      </c>
      <c r="E68" s="46" t="s">
        <v>2</v>
      </c>
      <c r="F68" s="46" t="s">
        <v>7</v>
      </c>
      <c r="G68" s="46" t="s">
        <v>8</v>
      </c>
      <c r="H68" s="46" t="s">
        <v>9</v>
      </c>
      <c r="I68" s="46" t="s">
        <v>10</v>
      </c>
      <c r="J68" s="46" t="s">
        <v>2</v>
      </c>
      <c r="K68" s="46" t="s">
        <v>7</v>
      </c>
      <c r="L68" s="46" t="s">
        <v>8</v>
      </c>
      <c r="M68" s="47" t="s">
        <v>9</v>
      </c>
      <c r="N68" s="46" t="s">
        <v>10</v>
      </c>
      <c r="O68" s="46" t="s">
        <v>2</v>
      </c>
      <c r="P68" s="46" t="s">
        <v>7</v>
      </c>
      <c r="Q68" s="46" t="s">
        <v>8</v>
      </c>
      <c r="R68" s="46" t="s">
        <v>9</v>
      </c>
    </row>
    <row r="69" spans="1:18">
      <c r="A69" s="33" t="s">
        <v>23</v>
      </c>
      <c r="B69" s="127"/>
      <c r="C69" s="31"/>
      <c r="D69" s="31"/>
      <c r="E69" s="31"/>
      <c r="F69" s="31"/>
      <c r="G69" s="31"/>
      <c r="H69" s="31"/>
      <c r="I69" s="31"/>
      <c r="J69" s="31"/>
      <c r="K69" s="31"/>
      <c r="L69" s="31"/>
      <c r="M69" s="31"/>
      <c r="N69" s="31"/>
      <c r="O69" s="31"/>
      <c r="P69" s="31"/>
      <c r="Q69" s="31"/>
      <c r="R69" s="32"/>
    </row>
    <row r="70" spans="1:18">
      <c r="A70" s="34">
        <f>A47+1</f>
        <v>4</v>
      </c>
      <c r="B70" s="713" t="s">
        <v>523</v>
      </c>
      <c r="C70" s="66" t="s">
        <v>113</v>
      </c>
      <c r="D70" s="4"/>
      <c r="E70" s="6"/>
      <c r="F70" s="29"/>
      <c r="G70" s="26"/>
      <c r="H70" s="26"/>
      <c r="I70" s="6"/>
      <c r="J70" s="6"/>
      <c r="K70" s="29"/>
      <c r="L70" s="26"/>
      <c r="M70" s="26"/>
      <c r="N70" s="6"/>
      <c r="O70" s="6"/>
      <c r="P70" s="29"/>
      <c r="Q70" s="26"/>
      <c r="R70" s="26"/>
    </row>
    <row r="71" spans="1:18">
      <c r="A71" s="2"/>
      <c r="B71" s="714"/>
      <c r="C71" s="124"/>
      <c r="D71" s="4" t="s">
        <v>75</v>
      </c>
      <c r="E71" s="66" t="s">
        <v>81</v>
      </c>
      <c r="F71" s="29">
        <v>0.25</v>
      </c>
      <c r="G71" s="26">
        <f>fr</f>
        <v>1100</v>
      </c>
      <c r="H71" s="26">
        <f>F71*G71</f>
        <v>275</v>
      </c>
      <c r="I71" s="7" t="s">
        <v>473</v>
      </c>
      <c r="J71" s="145" t="s">
        <v>113</v>
      </c>
      <c r="K71" s="29">
        <v>1.05</v>
      </c>
      <c r="L71" s="28">
        <f>structural_steel</f>
        <v>96503.4</v>
      </c>
      <c r="M71" s="26">
        <f>K71*L71</f>
        <v>101328.56999999999</v>
      </c>
      <c r="N71" s="8" t="s">
        <v>528</v>
      </c>
      <c r="O71" s="66" t="s">
        <v>101</v>
      </c>
      <c r="P71" s="29">
        <v>2</v>
      </c>
      <c r="Q71" s="28">
        <f>welding_machine</f>
        <v>108.16</v>
      </c>
      <c r="R71" s="26">
        <f>P71*Q71</f>
        <v>216.32</v>
      </c>
    </row>
    <row r="72" spans="1:18">
      <c r="A72" s="2"/>
      <c r="B72" s="714"/>
      <c r="C72" s="6"/>
      <c r="D72" s="4" t="s">
        <v>524</v>
      </c>
      <c r="E72" s="66" t="s">
        <v>81</v>
      </c>
      <c r="F72" s="29">
        <v>1.375</v>
      </c>
      <c r="G72" s="26">
        <f>sup</f>
        <v>900</v>
      </c>
      <c r="H72" s="26">
        <f t="shared" ref="H72:H78" si="4">F72*G72</f>
        <v>1237.5</v>
      </c>
      <c r="I72" s="7" t="s">
        <v>474</v>
      </c>
      <c r="J72" s="145" t="s">
        <v>527</v>
      </c>
      <c r="K72" s="29">
        <v>2</v>
      </c>
      <c r="L72" s="28">
        <f>welding_rod</f>
        <v>692.83</v>
      </c>
      <c r="M72" s="26">
        <f>K72*L72</f>
        <v>1385.66</v>
      </c>
      <c r="N72" s="8" t="s">
        <v>384</v>
      </c>
      <c r="O72" s="66" t="s">
        <v>101</v>
      </c>
      <c r="P72" s="29">
        <v>0.5</v>
      </c>
      <c r="Q72" s="28">
        <f>wheel_loader</f>
        <v>1622.4</v>
      </c>
      <c r="R72" s="26">
        <f>P72*Q72</f>
        <v>811.2</v>
      </c>
    </row>
    <row r="73" spans="1:18">
      <c r="A73" s="2"/>
      <c r="B73" s="126"/>
      <c r="C73" s="6"/>
      <c r="D73" s="4" t="s">
        <v>503</v>
      </c>
      <c r="E73" s="66" t="s">
        <v>81</v>
      </c>
      <c r="F73" s="29">
        <v>1.375</v>
      </c>
      <c r="G73" s="26">
        <f>sr</f>
        <v>1100</v>
      </c>
      <c r="H73" s="26">
        <f t="shared" si="4"/>
        <v>1512.5</v>
      </c>
      <c r="I73" s="7" t="s">
        <v>526</v>
      </c>
      <c r="J73" s="145" t="s">
        <v>12</v>
      </c>
      <c r="K73" s="29">
        <v>1</v>
      </c>
      <c r="L73" s="28"/>
      <c r="M73" s="26">
        <v>500</v>
      </c>
      <c r="N73" s="8" t="s">
        <v>518</v>
      </c>
      <c r="O73" s="66" t="s">
        <v>101</v>
      </c>
      <c r="P73" s="29">
        <v>2</v>
      </c>
      <c r="Q73" s="28">
        <f>fan</f>
        <v>260.67</v>
      </c>
      <c r="R73" s="26">
        <f>P73*Q73</f>
        <v>521.34</v>
      </c>
    </row>
    <row r="74" spans="1:18">
      <c r="A74" s="2"/>
      <c r="B74" s="126"/>
      <c r="C74" s="6"/>
      <c r="D74" s="4" t="s">
        <v>492</v>
      </c>
      <c r="E74" s="66" t="s">
        <v>81</v>
      </c>
      <c r="F74" s="29">
        <v>8.25</v>
      </c>
      <c r="G74" s="26">
        <f>ur</f>
        <v>850</v>
      </c>
      <c r="H74" s="26">
        <f t="shared" si="4"/>
        <v>7012.5</v>
      </c>
      <c r="I74" s="7"/>
      <c r="J74" s="145"/>
      <c r="K74" s="29"/>
      <c r="L74" s="28"/>
      <c r="M74" s="26"/>
      <c r="N74" s="8"/>
      <c r="O74" s="66"/>
      <c r="P74" s="29"/>
      <c r="Q74" s="28"/>
      <c r="R74" s="26"/>
    </row>
    <row r="75" spans="1:18">
      <c r="A75" s="2"/>
      <c r="B75" s="126"/>
      <c r="C75" s="6"/>
      <c r="D75" s="4" t="s">
        <v>464</v>
      </c>
      <c r="E75" s="66" t="s">
        <v>81</v>
      </c>
      <c r="F75" s="29">
        <v>1.375</v>
      </c>
      <c r="G75" s="26">
        <f>welder</f>
        <v>1100</v>
      </c>
      <c r="H75" s="26">
        <f t="shared" si="4"/>
        <v>1512.5</v>
      </c>
      <c r="I75" s="7"/>
      <c r="J75" s="145"/>
      <c r="K75" s="29"/>
      <c r="L75" s="28"/>
      <c r="M75" s="26"/>
      <c r="N75" s="8"/>
      <c r="O75" s="66"/>
      <c r="P75" s="29"/>
      <c r="Q75" s="28"/>
      <c r="R75" s="26"/>
    </row>
    <row r="76" spans="1:18">
      <c r="A76" s="2"/>
      <c r="B76" s="126"/>
      <c r="C76" s="6"/>
      <c r="D76" s="4" t="s">
        <v>88</v>
      </c>
      <c r="E76" s="66" t="s">
        <v>81</v>
      </c>
      <c r="F76" s="29">
        <v>0.125</v>
      </c>
      <c r="G76" s="26">
        <f>el</f>
        <v>1100</v>
      </c>
      <c r="H76" s="26">
        <f t="shared" si="4"/>
        <v>137.5</v>
      </c>
      <c r="I76" s="7"/>
      <c r="J76" s="145"/>
      <c r="K76" s="29"/>
      <c r="L76" s="28"/>
      <c r="M76" s="26"/>
      <c r="N76" s="8"/>
      <c r="O76" s="66"/>
      <c r="P76" s="29"/>
      <c r="Q76" s="28"/>
      <c r="R76" s="26"/>
    </row>
    <row r="77" spans="1:18">
      <c r="A77" s="2"/>
      <c r="B77" s="126"/>
      <c r="C77" s="6"/>
      <c r="D77" s="4" t="s">
        <v>463</v>
      </c>
      <c r="E77" s="66" t="s">
        <v>81</v>
      </c>
      <c r="F77" s="29">
        <v>6.25E-2</v>
      </c>
      <c r="G77" s="26">
        <f>mech</f>
        <v>1100</v>
      </c>
      <c r="H77" s="26">
        <f t="shared" si="4"/>
        <v>68.75</v>
      </c>
      <c r="I77" s="7"/>
      <c r="J77" s="145"/>
      <c r="K77" s="29"/>
      <c r="L77" s="28"/>
      <c r="M77" s="26"/>
      <c r="N77" s="8"/>
      <c r="O77" s="66"/>
      <c r="P77" s="29"/>
      <c r="Q77" s="28"/>
      <c r="R77" s="26"/>
    </row>
    <row r="78" spans="1:18">
      <c r="A78" s="2"/>
      <c r="B78" s="126"/>
      <c r="C78" s="6"/>
      <c r="D78" s="4" t="s">
        <v>525</v>
      </c>
      <c r="E78" s="66" t="s">
        <v>81</v>
      </c>
      <c r="F78" s="29">
        <v>6.25E-2</v>
      </c>
      <c r="G78" s="26">
        <f>hr</f>
        <v>750</v>
      </c>
      <c r="H78" s="26">
        <f t="shared" si="4"/>
        <v>46.875</v>
      </c>
      <c r="I78" s="7"/>
      <c r="J78" s="145"/>
      <c r="K78" s="29"/>
      <c r="L78" s="28"/>
      <c r="M78" s="26"/>
      <c r="N78" s="8"/>
      <c r="O78" s="66"/>
      <c r="P78" s="29"/>
      <c r="Q78" s="28"/>
      <c r="R78" s="26"/>
    </row>
    <row r="79" spans="1:18">
      <c r="A79" s="2"/>
      <c r="B79" s="5"/>
      <c r="C79" s="6"/>
      <c r="D79" s="4"/>
      <c r="E79" s="9"/>
      <c r="F79" s="30"/>
      <c r="G79" s="27"/>
      <c r="H79" s="27"/>
      <c r="I79" s="9"/>
      <c r="J79" s="10"/>
      <c r="K79" s="30"/>
      <c r="L79" s="28"/>
      <c r="M79" s="28"/>
      <c r="N79" s="8"/>
      <c r="O79" s="6"/>
      <c r="P79" s="30"/>
      <c r="Q79" s="28"/>
      <c r="R79" s="28"/>
    </row>
    <row r="80" spans="1:18">
      <c r="A80" s="2"/>
      <c r="B80" s="11"/>
      <c r="C80" s="6"/>
      <c r="D80" s="12"/>
      <c r="E80" s="59"/>
      <c r="F80" s="13"/>
      <c r="G80" s="13" t="s">
        <v>20</v>
      </c>
      <c r="H80" s="25">
        <f>SUM(H70:H79)</f>
        <v>11803.125</v>
      </c>
      <c r="I80" s="703"/>
      <c r="J80" s="703"/>
      <c r="K80" s="14"/>
      <c r="L80" s="13" t="s">
        <v>21</v>
      </c>
      <c r="M80" s="25">
        <f>SUM(M70:M79)</f>
        <v>103214.23</v>
      </c>
      <c r="N80" s="3"/>
      <c r="O80" s="14"/>
      <c r="P80" s="14"/>
      <c r="Q80" s="13" t="s">
        <v>22</v>
      </c>
      <c r="R80" s="25">
        <f>SUM(R70:R79)</f>
        <v>1548.8600000000001</v>
      </c>
    </row>
    <row r="81" spans="1:18">
      <c r="A81" s="2"/>
      <c r="B81" s="16" t="s">
        <v>13</v>
      </c>
      <c r="C81" s="14"/>
      <c r="D81" s="14"/>
      <c r="E81" s="14"/>
      <c r="F81" s="14"/>
      <c r="G81" s="13"/>
      <c r="H81" s="35">
        <f>M80+R80+H80</f>
        <v>116566.215</v>
      </c>
      <c r="I81" s="17"/>
      <c r="J81" s="14"/>
      <c r="K81" s="14"/>
      <c r="L81" s="13"/>
      <c r="M81" s="15"/>
      <c r="N81" s="14"/>
      <c r="O81" s="14"/>
      <c r="P81" s="14"/>
      <c r="Q81" s="14"/>
      <c r="R81" s="17"/>
    </row>
    <row r="82" spans="1:18">
      <c r="A82" s="2"/>
      <c r="B82" s="11" t="s">
        <v>25</v>
      </c>
      <c r="C82" s="4"/>
      <c r="D82" s="4"/>
      <c r="E82" s="4"/>
      <c r="F82" s="4"/>
      <c r="G82" s="18"/>
      <c r="H82" s="36">
        <v>0</v>
      </c>
      <c r="I82" s="20"/>
      <c r="J82" s="4" t="s">
        <v>26</v>
      </c>
      <c r="K82" s="4"/>
      <c r="L82" s="18"/>
      <c r="M82" s="19"/>
      <c r="N82" s="4"/>
      <c r="O82" s="4"/>
      <c r="P82" s="4"/>
      <c r="Q82" s="4"/>
      <c r="R82" s="20"/>
    </row>
    <row r="83" spans="1:18">
      <c r="A83" s="23"/>
      <c r="B83" s="11" t="s">
        <v>14</v>
      </c>
      <c r="C83" s="4"/>
      <c r="D83" s="4"/>
      <c r="E83" s="4"/>
      <c r="F83" s="4"/>
      <c r="G83" s="18"/>
      <c r="H83" s="36">
        <f>SUM(H81:H82)</f>
        <v>116566.215</v>
      </c>
      <c r="I83" s="20"/>
      <c r="J83" s="741"/>
      <c r="K83" s="742"/>
      <c r="L83" s="742"/>
      <c r="M83" s="742"/>
      <c r="N83" s="742"/>
      <c r="O83" s="742"/>
      <c r="P83" s="742"/>
      <c r="Q83" s="742"/>
      <c r="R83" s="743"/>
    </row>
    <row r="84" spans="1:18">
      <c r="A84" s="23"/>
      <c r="B84" s="11" t="s">
        <v>24</v>
      </c>
      <c r="C84" s="4"/>
      <c r="D84" s="4"/>
      <c r="E84" s="4"/>
      <c r="F84" s="4"/>
      <c r="G84" s="18"/>
      <c r="H84" s="36">
        <f>H83*15%</f>
        <v>17484.932249999998</v>
      </c>
      <c r="I84" s="20"/>
      <c r="J84" s="744"/>
      <c r="K84" s="745"/>
      <c r="L84" s="745"/>
      <c r="M84" s="745"/>
      <c r="N84" s="745"/>
      <c r="O84" s="745"/>
      <c r="P84" s="745"/>
      <c r="Q84" s="745"/>
      <c r="R84" s="746"/>
    </row>
    <row r="85" spans="1:18">
      <c r="A85" s="23"/>
      <c r="B85" s="11" t="s">
        <v>15</v>
      </c>
      <c r="C85" s="4"/>
      <c r="D85" s="4"/>
      <c r="E85" s="4"/>
      <c r="F85" s="4"/>
      <c r="G85" s="21" t="s">
        <v>16</v>
      </c>
      <c r="H85" s="37">
        <f>H84+H83</f>
        <v>134051.14724999998</v>
      </c>
      <c r="I85" s="38" t="str">
        <f>CONCATENATE("per ",C70)</f>
        <v>per ton</v>
      </c>
      <c r="J85" s="744"/>
      <c r="K85" s="745"/>
      <c r="L85" s="745"/>
      <c r="M85" s="745"/>
      <c r="N85" s="745"/>
      <c r="O85" s="745"/>
      <c r="P85" s="745"/>
      <c r="Q85" s="745"/>
      <c r="R85" s="746"/>
    </row>
    <row r="86" spans="1:18">
      <c r="A86" s="23"/>
      <c r="B86" s="11" t="s">
        <v>18</v>
      </c>
      <c r="C86" s="4" t="s">
        <v>19</v>
      </c>
      <c r="D86" s="4"/>
      <c r="E86" s="4"/>
      <c r="F86" s="4"/>
      <c r="G86" s="21" t="s">
        <v>16</v>
      </c>
      <c r="H86" s="37">
        <f>CEILING(H85,0.5)</f>
        <v>134051.5</v>
      </c>
      <c r="I86" s="38" t="str">
        <f>CONCATENATE("per ",C70)</f>
        <v>per ton</v>
      </c>
      <c r="J86" s="744"/>
      <c r="K86" s="745"/>
      <c r="L86" s="745"/>
      <c r="M86" s="745"/>
      <c r="N86" s="745"/>
      <c r="O86" s="745"/>
      <c r="P86" s="745"/>
      <c r="Q86" s="745"/>
      <c r="R86" s="746"/>
    </row>
    <row r="87" spans="1:18">
      <c r="A87" s="23"/>
      <c r="B87" s="11"/>
      <c r="C87" s="4"/>
      <c r="D87" s="4"/>
      <c r="E87" s="4"/>
      <c r="F87" s="4"/>
      <c r="G87" s="24" t="s">
        <v>17</v>
      </c>
      <c r="H87" s="37">
        <f>H86/exr</f>
        <v>1031.1653846153847</v>
      </c>
      <c r="I87" s="38" t="str">
        <f>CONCATENATE("per ",C70)</f>
        <v>per ton</v>
      </c>
      <c r="J87" s="747"/>
      <c r="K87" s="748"/>
      <c r="L87" s="748"/>
      <c r="M87" s="748"/>
      <c r="N87" s="748"/>
      <c r="O87" s="748"/>
      <c r="P87" s="748"/>
      <c r="Q87" s="748"/>
      <c r="R87" s="749"/>
    </row>
    <row r="88" spans="1:18">
      <c r="A88" s="39"/>
      <c r="B88" s="40"/>
      <c r="C88" s="41"/>
      <c r="D88" s="41"/>
      <c r="E88" s="41"/>
      <c r="F88" s="41"/>
      <c r="G88" s="149" t="s">
        <v>460</v>
      </c>
      <c r="H88" s="150">
        <f>CEILING(SUM(M80,R80)/H81,0.0025)</f>
        <v>0.9</v>
      </c>
      <c r="I88" s="42"/>
      <c r="J88" s="43"/>
      <c r="K88" s="43"/>
      <c r="L88" s="43"/>
      <c r="M88" s="43"/>
      <c r="N88" s="43"/>
      <c r="O88" s="43"/>
      <c r="P88" s="43"/>
      <c r="Q88" s="43"/>
      <c r="R88" s="44"/>
    </row>
    <row r="90" spans="1:18">
      <c r="A90" s="693" t="s">
        <v>0</v>
      </c>
      <c r="B90" s="695" t="s">
        <v>1</v>
      </c>
      <c r="C90" s="695" t="s">
        <v>2</v>
      </c>
      <c r="D90" s="699" t="s">
        <v>3</v>
      </c>
      <c r="E90" s="700"/>
      <c r="F90" s="700"/>
      <c r="G90" s="700"/>
      <c r="H90" s="697"/>
      <c r="I90" s="699" t="s">
        <v>4</v>
      </c>
      <c r="J90" s="700"/>
      <c r="K90" s="700"/>
      <c r="L90" s="700"/>
      <c r="M90" s="697"/>
      <c r="N90" s="699" t="s">
        <v>5</v>
      </c>
      <c r="O90" s="700"/>
      <c r="P90" s="700"/>
      <c r="Q90" s="700"/>
      <c r="R90" s="697"/>
    </row>
    <row r="91" spans="1:18">
      <c r="A91" s="762"/>
      <c r="B91" s="759"/>
      <c r="C91" s="759"/>
      <c r="D91" s="45" t="s">
        <v>6</v>
      </c>
      <c r="E91" s="46" t="s">
        <v>2</v>
      </c>
      <c r="F91" s="46" t="s">
        <v>7</v>
      </c>
      <c r="G91" s="46" t="s">
        <v>8</v>
      </c>
      <c r="H91" s="46" t="s">
        <v>9</v>
      </c>
      <c r="I91" s="46" t="s">
        <v>10</v>
      </c>
      <c r="J91" s="46" t="s">
        <v>2</v>
      </c>
      <c r="K91" s="46" t="s">
        <v>7</v>
      </c>
      <c r="L91" s="46" t="s">
        <v>8</v>
      </c>
      <c r="M91" s="47" t="s">
        <v>9</v>
      </c>
      <c r="N91" s="46" t="s">
        <v>10</v>
      </c>
      <c r="O91" s="46" t="s">
        <v>2</v>
      </c>
      <c r="P91" s="46" t="s">
        <v>7</v>
      </c>
      <c r="Q91" s="46" t="s">
        <v>8</v>
      </c>
      <c r="R91" s="46" t="s">
        <v>9</v>
      </c>
    </row>
    <row r="92" spans="1:18">
      <c r="A92" s="33" t="s">
        <v>23</v>
      </c>
      <c r="B92" s="127"/>
      <c r="C92" s="31"/>
      <c r="D92" s="31"/>
      <c r="E92" s="31"/>
      <c r="F92" s="31"/>
      <c r="G92" s="31"/>
      <c r="H92" s="31"/>
      <c r="I92" s="31"/>
      <c r="J92" s="31"/>
      <c r="K92" s="31"/>
      <c r="L92" s="31"/>
      <c r="M92" s="31"/>
      <c r="N92" s="31"/>
      <c r="O92" s="31"/>
      <c r="P92" s="31"/>
      <c r="Q92" s="31"/>
      <c r="R92" s="32"/>
    </row>
    <row r="93" spans="1:18">
      <c r="A93" s="34">
        <f>A70+1</f>
        <v>5</v>
      </c>
      <c r="B93" s="713" t="s">
        <v>531</v>
      </c>
      <c r="C93" s="66" t="s">
        <v>11</v>
      </c>
      <c r="D93" s="4"/>
      <c r="E93" s="6"/>
      <c r="F93" s="29"/>
      <c r="G93" s="26"/>
      <c r="H93" s="26"/>
      <c r="I93" s="6"/>
      <c r="J93" s="6"/>
      <c r="K93" s="29"/>
      <c r="L93" s="26"/>
      <c r="M93" s="26"/>
      <c r="N93" s="6"/>
      <c r="O93" s="6"/>
      <c r="P93" s="29"/>
      <c r="Q93" s="26"/>
      <c r="R93" s="26"/>
    </row>
    <row r="94" spans="1:18">
      <c r="A94" s="2"/>
      <c r="B94" s="714"/>
      <c r="C94" s="124"/>
      <c r="D94" s="4" t="s">
        <v>75</v>
      </c>
      <c r="E94" s="66" t="s">
        <v>81</v>
      </c>
      <c r="F94" s="29">
        <v>1.25E-4</v>
      </c>
      <c r="G94" s="26">
        <f>fr</f>
        <v>1100</v>
      </c>
      <c r="H94" s="26">
        <f>F94*G94</f>
        <v>0.13750000000000001</v>
      </c>
      <c r="I94" s="7" t="s">
        <v>71</v>
      </c>
      <c r="J94" s="145" t="s">
        <v>11</v>
      </c>
      <c r="K94" s="29">
        <v>1.1000000000000001</v>
      </c>
      <c r="L94" s="28">
        <f>natural_gravel</f>
        <v>1150</v>
      </c>
      <c r="M94" s="26">
        <f>K94*L94</f>
        <v>1265</v>
      </c>
      <c r="N94" s="8"/>
      <c r="O94" s="66"/>
      <c r="P94" s="29"/>
      <c r="Q94" s="28"/>
      <c r="R94" s="26"/>
    </row>
    <row r="95" spans="1:18">
      <c r="A95" s="2"/>
      <c r="B95" s="126"/>
      <c r="C95" s="6"/>
      <c r="D95" s="4" t="s">
        <v>503</v>
      </c>
      <c r="E95" s="66" t="s">
        <v>81</v>
      </c>
      <c r="F95" s="29">
        <v>3.125E-2</v>
      </c>
      <c r="G95" s="26">
        <f>sr</f>
        <v>1100</v>
      </c>
      <c r="H95" s="26">
        <f>F95*G95</f>
        <v>34.375</v>
      </c>
      <c r="I95" s="7"/>
      <c r="J95" s="145"/>
      <c r="K95" s="29"/>
      <c r="L95" s="28"/>
      <c r="M95" s="26"/>
      <c r="N95" s="8"/>
      <c r="O95" s="66"/>
      <c r="P95" s="29"/>
      <c r="Q95" s="28"/>
      <c r="R95" s="26"/>
    </row>
    <row r="96" spans="1:18">
      <c r="A96" s="2"/>
      <c r="B96" s="126"/>
      <c r="C96" s="6"/>
      <c r="D96" s="4" t="s">
        <v>492</v>
      </c>
      <c r="E96" s="66" t="s">
        <v>81</v>
      </c>
      <c r="F96" s="29">
        <v>0.56499999999999995</v>
      </c>
      <c r="G96" s="26">
        <f>ur</f>
        <v>850</v>
      </c>
      <c r="H96" s="26">
        <f>F96*G96</f>
        <v>480.24999999999994</v>
      </c>
      <c r="I96" s="7"/>
      <c r="J96" s="145"/>
      <c r="K96" s="29"/>
      <c r="L96" s="28"/>
      <c r="M96" s="26"/>
      <c r="N96" s="8"/>
      <c r="O96" s="66"/>
      <c r="P96" s="29"/>
      <c r="Q96" s="28"/>
      <c r="R96" s="26"/>
    </row>
    <row r="97" spans="1:18">
      <c r="A97" s="2"/>
      <c r="B97" s="5"/>
      <c r="C97" s="6"/>
      <c r="D97" s="4"/>
      <c r="E97" s="9"/>
      <c r="F97" s="30"/>
      <c r="G97" s="27"/>
      <c r="H97" s="27"/>
      <c r="I97" s="9"/>
      <c r="J97" s="10"/>
      <c r="K97" s="30"/>
      <c r="L97" s="28"/>
      <c r="M97" s="28"/>
      <c r="N97" s="8"/>
      <c r="O97" s="6"/>
      <c r="P97" s="30"/>
      <c r="Q97" s="28"/>
      <c r="R97" s="28"/>
    </row>
    <row r="98" spans="1:18">
      <c r="A98" s="2"/>
      <c r="B98" s="11"/>
      <c r="C98" s="6"/>
      <c r="D98" s="12"/>
      <c r="E98" s="59"/>
      <c r="F98" s="13"/>
      <c r="G98" s="13" t="s">
        <v>20</v>
      </c>
      <c r="H98" s="25">
        <f>SUM(H93:H97)</f>
        <v>514.76249999999993</v>
      </c>
      <c r="I98" s="760"/>
      <c r="J98" s="761"/>
      <c r="K98" s="14"/>
      <c r="L98" s="13" t="s">
        <v>21</v>
      </c>
      <c r="M98" s="25">
        <f>SUM(M93:M97)</f>
        <v>1265</v>
      </c>
      <c r="N98" s="3"/>
      <c r="O98" s="14"/>
      <c r="P98" s="14"/>
      <c r="Q98" s="13" t="s">
        <v>22</v>
      </c>
      <c r="R98" s="25">
        <f>SUM(R93:R97)</f>
        <v>0</v>
      </c>
    </row>
    <row r="99" spans="1:18">
      <c r="A99" s="2"/>
      <c r="B99" s="16" t="s">
        <v>13</v>
      </c>
      <c r="C99" s="14"/>
      <c r="D99" s="14"/>
      <c r="E99" s="14"/>
      <c r="F99" s="14"/>
      <c r="G99" s="13"/>
      <c r="H99" s="35">
        <f>M98+R98+H98</f>
        <v>1779.7624999999998</v>
      </c>
      <c r="I99" s="17"/>
      <c r="J99" s="14"/>
      <c r="K99" s="14"/>
      <c r="L99" s="13"/>
      <c r="M99" s="15"/>
      <c r="N99" s="14"/>
      <c r="O99" s="14"/>
      <c r="P99" s="14"/>
      <c r="Q99" s="14"/>
      <c r="R99" s="17"/>
    </row>
    <row r="100" spans="1:18">
      <c r="A100" s="2"/>
      <c r="B100" s="11" t="s">
        <v>25</v>
      </c>
      <c r="C100" s="4"/>
      <c r="D100" s="4"/>
      <c r="E100" s="4"/>
      <c r="F100" s="4"/>
      <c r="G100" s="18"/>
      <c r="H100" s="36">
        <v>0</v>
      </c>
      <c r="I100" s="20"/>
      <c r="J100" s="4" t="s">
        <v>26</v>
      </c>
      <c r="K100" s="4"/>
      <c r="L100" s="18"/>
      <c r="M100" s="19"/>
      <c r="N100" s="4"/>
      <c r="O100" s="4"/>
      <c r="P100" s="4"/>
      <c r="Q100" s="4"/>
      <c r="R100" s="20"/>
    </row>
    <row r="101" spans="1:18">
      <c r="A101" s="23"/>
      <c r="B101" s="11" t="s">
        <v>14</v>
      </c>
      <c r="C101" s="4"/>
      <c r="D101" s="4"/>
      <c r="E101" s="4"/>
      <c r="F101" s="4"/>
      <c r="G101" s="18"/>
      <c r="H101" s="36">
        <f>SUM(H99:H100)</f>
        <v>1779.7624999999998</v>
      </c>
      <c r="I101" s="20"/>
      <c r="J101" s="741"/>
      <c r="K101" s="742"/>
      <c r="L101" s="742"/>
      <c r="M101" s="742"/>
      <c r="N101" s="742"/>
      <c r="O101" s="742"/>
      <c r="P101" s="742"/>
      <c r="Q101" s="742"/>
      <c r="R101" s="743"/>
    </row>
    <row r="102" spans="1:18">
      <c r="A102" s="23"/>
      <c r="B102" s="11" t="s">
        <v>24</v>
      </c>
      <c r="C102" s="4"/>
      <c r="D102" s="4"/>
      <c r="E102" s="4"/>
      <c r="F102" s="4"/>
      <c r="G102" s="18"/>
      <c r="H102" s="36">
        <f>H101*15%</f>
        <v>266.96437499999996</v>
      </c>
      <c r="I102" s="20"/>
      <c r="J102" s="744"/>
      <c r="K102" s="745"/>
      <c r="L102" s="745"/>
      <c r="M102" s="745"/>
      <c r="N102" s="745"/>
      <c r="O102" s="745"/>
      <c r="P102" s="745"/>
      <c r="Q102" s="745"/>
      <c r="R102" s="746"/>
    </row>
    <row r="103" spans="1:18">
      <c r="A103" s="23"/>
      <c r="B103" s="11" t="s">
        <v>15</v>
      </c>
      <c r="C103" s="4"/>
      <c r="D103" s="4"/>
      <c r="E103" s="4"/>
      <c r="F103" s="4"/>
      <c r="G103" s="21" t="s">
        <v>16</v>
      </c>
      <c r="H103" s="37">
        <f>H102+H101</f>
        <v>2046.7268749999998</v>
      </c>
      <c r="I103" s="38" t="str">
        <f>CONCATENATE("per ",C93)</f>
        <v>per cum</v>
      </c>
      <c r="J103" s="744"/>
      <c r="K103" s="745"/>
      <c r="L103" s="745"/>
      <c r="M103" s="745"/>
      <c r="N103" s="745"/>
      <c r="O103" s="745"/>
      <c r="P103" s="745"/>
      <c r="Q103" s="745"/>
      <c r="R103" s="746"/>
    </row>
    <row r="104" spans="1:18">
      <c r="A104" s="23"/>
      <c r="B104" s="11" t="s">
        <v>18</v>
      </c>
      <c r="C104" s="4" t="s">
        <v>19</v>
      </c>
      <c r="D104" s="4"/>
      <c r="E104" s="4"/>
      <c r="F104" s="4"/>
      <c r="G104" s="21" t="s">
        <v>16</v>
      </c>
      <c r="H104" s="37">
        <f>CEILING(H103,0.5)</f>
        <v>2047</v>
      </c>
      <c r="I104" s="38" t="str">
        <f>CONCATENATE("per ",C93)</f>
        <v>per cum</v>
      </c>
      <c r="J104" s="744"/>
      <c r="K104" s="745"/>
      <c r="L104" s="745"/>
      <c r="M104" s="745"/>
      <c r="N104" s="745"/>
      <c r="O104" s="745"/>
      <c r="P104" s="745"/>
      <c r="Q104" s="745"/>
      <c r="R104" s="746"/>
    </row>
    <row r="105" spans="1:18">
      <c r="A105" s="23"/>
      <c r="B105" s="11"/>
      <c r="C105" s="4"/>
      <c r="D105" s="4"/>
      <c r="E105" s="4"/>
      <c r="F105" s="4"/>
      <c r="G105" s="24" t="s">
        <v>17</v>
      </c>
      <c r="H105" s="37">
        <f>H104/exr</f>
        <v>15.746153846153845</v>
      </c>
      <c r="I105" s="38" t="str">
        <f>CONCATENATE("per ",C93)</f>
        <v>per cum</v>
      </c>
      <c r="J105" s="747"/>
      <c r="K105" s="748"/>
      <c r="L105" s="748"/>
      <c r="M105" s="748"/>
      <c r="N105" s="748"/>
      <c r="O105" s="748"/>
      <c r="P105" s="748"/>
      <c r="Q105" s="748"/>
      <c r="R105" s="749"/>
    </row>
    <row r="106" spans="1:18">
      <c r="A106" s="39"/>
      <c r="B106" s="40"/>
      <c r="C106" s="41"/>
      <c r="D106" s="41"/>
      <c r="E106" s="41"/>
      <c r="F106" s="41"/>
      <c r="G106" s="149" t="s">
        <v>460</v>
      </c>
      <c r="H106" s="150">
        <f>CEILING(0,0.0025)</f>
        <v>0</v>
      </c>
      <c r="I106" s="42"/>
      <c r="J106" s="43"/>
      <c r="K106" s="43"/>
      <c r="L106" s="43"/>
      <c r="M106" s="43"/>
      <c r="N106" s="43"/>
      <c r="O106" s="43"/>
      <c r="P106" s="43"/>
      <c r="Q106" s="43"/>
      <c r="R106" s="44"/>
    </row>
    <row r="108" spans="1:18">
      <c r="A108" s="693" t="s">
        <v>0</v>
      </c>
      <c r="B108" s="695" t="s">
        <v>1</v>
      </c>
      <c r="C108" s="695" t="s">
        <v>2</v>
      </c>
      <c r="D108" s="699" t="s">
        <v>3</v>
      </c>
      <c r="E108" s="700"/>
      <c r="F108" s="700"/>
      <c r="G108" s="700"/>
      <c r="H108" s="697"/>
      <c r="I108" s="699" t="s">
        <v>4</v>
      </c>
      <c r="J108" s="700"/>
      <c r="K108" s="700"/>
      <c r="L108" s="700"/>
      <c r="M108" s="697"/>
      <c r="N108" s="699" t="s">
        <v>5</v>
      </c>
      <c r="O108" s="700"/>
      <c r="P108" s="700"/>
      <c r="Q108" s="700"/>
      <c r="R108" s="697"/>
    </row>
    <row r="109" spans="1:18">
      <c r="A109" s="762"/>
      <c r="B109" s="759"/>
      <c r="C109" s="759"/>
      <c r="D109" s="45" t="s">
        <v>6</v>
      </c>
      <c r="E109" s="46" t="s">
        <v>2</v>
      </c>
      <c r="F109" s="46" t="s">
        <v>7</v>
      </c>
      <c r="G109" s="46" t="s">
        <v>8</v>
      </c>
      <c r="H109" s="46" t="s">
        <v>9</v>
      </c>
      <c r="I109" s="46" t="s">
        <v>10</v>
      </c>
      <c r="J109" s="46" t="s">
        <v>2</v>
      </c>
      <c r="K109" s="46" t="s">
        <v>7</v>
      </c>
      <c r="L109" s="46" t="s">
        <v>8</v>
      </c>
      <c r="M109" s="47" t="s">
        <v>9</v>
      </c>
      <c r="N109" s="46" t="s">
        <v>10</v>
      </c>
      <c r="O109" s="46" t="s">
        <v>2</v>
      </c>
      <c r="P109" s="46" t="s">
        <v>7</v>
      </c>
      <c r="Q109" s="46" t="s">
        <v>8</v>
      </c>
      <c r="R109" s="46" t="s">
        <v>9</v>
      </c>
    </row>
    <row r="110" spans="1:18">
      <c r="A110" s="33" t="s">
        <v>23</v>
      </c>
      <c r="B110" s="127"/>
      <c r="C110" s="31"/>
      <c r="D110" s="31"/>
      <c r="E110" s="31"/>
      <c r="F110" s="31"/>
      <c r="G110" s="31"/>
      <c r="H110" s="31"/>
      <c r="I110" s="31"/>
      <c r="J110" s="31"/>
      <c r="K110" s="31"/>
      <c r="L110" s="31"/>
      <c r="M110" s="31"/>
      <c r="N110" s="31"/>
      <c r="O110" s="31"/>
      <c r="P110" s="31"/>
      <c r="Q110" s="31"/>
      <c r="R110" s="32"/>
    </row>
    <row r="111" spans="1:18">
      <c r="A111" s="34">
        <f>A93+1</f>
        <v>6</v>
      </c>
      <c r="B111" s="713" t="s">
        <v>532</v>
      </c>
      <c r="C111" s="66" t="s">
        <v>11</v>
      </c>
      <c r="D111" s="4"/>
      <c r="E111" s="6"/>
      <c r="F111" s="29"/>
      <c r="G111" s="26"/>
      <c r="H111" s="26"/>
      <c r="I111" s="6"/>
      <c r="J111" s="6"/>
      <c r="K111" s="29"/>
      <c r="L111" s="26"/>
      <c r="M111" s="26"/>
      <c r="N111" s="6"/>
      <c r="O111" s="6"/>
      <c r="P111" s="29"/>
      <c r="Q111" s="26"/>
      <c r="R111" s="26"/>
    </row>
    <row r="112" spans="1:18">
      <c r="A112" s="2"/>
      <c r="B112" s="714"/>
      <c r="C112" s="124"/>
      <c r="D112" s="4" t="s">
        <v>503</v>
      </c>
      <c r="E112" s="66" t="s">
        <v>81</v>
      </c>
      <c r="F112" s="29">
        <v>0.25</v>
      </c>
      <c r="G112" s="26">
        <f>sr</f>
        <v>1100</v>
      </c>
      <c r="H112" s="26">
        <f>F112*G112</f>
        <v>275</v>
      </c>
      <c r="I112" s="7" t="s">
        <v>41</v>
      </c>
      <c r="J112" s="145" t="s">
        <v>11</v>
      </c>
      <c r="K112" s="29">
        <v>1.1000000000000001</v>
      </c>
      <c r="L112" s="28">
        <f>stone</f>
        <v>1000</v>
      </c>
      <c r="M112" s="26">
        <f>K112*L112</f>
        <v>1100</v>
      </c>
      <c r="N112" s="8"/>
      <c r="O112" s="66"/>
      <c r="P112" s="29"/>
      <c r="Q112" s="28"/>
      <c r="R112" s="26"/>
    </row>
    <row r="113" spans="1:18">
      <c r="A113" s="2"/>
      <c r="B113" s="126"/>
      <c r="C113" s="6"/>
      <c r="D113" s="4" t="s">
        <v>492</v>
      </c>
      <c r="E113" s="66" t="s">
        <v>81</v>
      </c>
      <c r="F113" s="29">
        <v>0.75</v>
      </c>
      <c r="G113" s="26">
        <f>ur</f>
        <v>850</v>
      </c>
      <c r="H113" s="26">
        <f>F113*G113</f>
        <v>637.5</v>
      </c>
      <c r="I113" s="7"/>
      <c r="J113" s="145"/>
      <c r="K113" s="29"/>
      <c r="L113" s="28"/>
      <c r="M113" s="26"/>
      <c r="N113" s="8"/>
      <c r="O113" s="66"/>
      <c r="P113" s="29"/>
      <c r="Q113" s="28"/>
      <c r="R113" s="26"/>
    </row>
    <row r="114" spans="1:18">
      <c r="A114" s="2"/>
      <c r="B114" s="5"/>
      <c r="C114" s="6"/>
      <c r="D114" s="4"/>
      <c r="E114" s="9"/>
      <c r="F114" s="30"/>
      <c r="G114" s="27"/>
      <c r="H114" s="27"/>
      <c r="I114" s="9"/>
      <c r="J114" s="10"/>
      <c r="K114" s="30"/>
      <c r="L114" s="28"/>
      <c r="M114" s="28"/>
      <c r="N114" s="8"/>
      <c r="O114" s="6"/>
      <c r="P114" s="30"/>
      <c r="Q114" s="28"/>
      <c r="R114" s="28"/>
    </row>
    <row r="115" spans="1:18">
      <c r="A115" s="2"/>
      <c r="B115" s="11"/>
      <c r="C115" s="6"/>
      <c r="D115" s="12"/>
      <c r="E115" s="59"/>
      <c r="F115" s="13"/>
      <c r="G115" s="13" t="s">
        <v>20</v>
      </c>
      <c r="H115" s="25">
        <f>SUM(H111:H114)</f>
        <v>912.5</v>
      </c>
      <c r="I115" s="760"/>
      <c r="J115" s="761"/>
      <c r="K115" s="14"/>
      <c r="L115" s="13" t="s">
        <v>21</v>
      </c>
      <c r="M115" s="25">
        <f>SUM(M111:M114)</f>
        <v>1100</v>
      </c>
      <c r="N115" s="3"/>
      <c r="O115" s="14"/>
      <c r="P115" s="14"/>
      <c r="Q115" s="13" t="s">
        <v>22</v>
      </c>
      <c r="R115" s="25">
        <f>SUM(R111:R114)</f>
        <v>0</v>
      </c>
    </row>
    <row r="116" spans="1:18">
      <c r="A116" s="2"/>
      <c r="B116" s="16" t="s">
        <v>13</v>
      </c>
      <c r="C116" s="14"/>
      <c r="D116" s="14"/>
      <c r="E116" s="14"/>
      <c r="F116" s="14"/>
      <c r="G116" s="13"/>
      <c r="H116" s="35">
        <f>M115+R115+H115</f>
        <v>2012.5</v>
      </c>
      <c r="I116" s="17"/>
      <c r="J116" s="14"/>
      <c r="K116" s="14"/>
      <c r="L116" s="13"/>
      <c r="M116" s="15"/>
      <c r="N116" s="14"/>
      <c r="O116" s="14"/>
      <c r="P116" s="14"/>
      <c r="Q116" s="14"/>
      <c r="R116" s="17"/>
    </row>
    <row r="117" spans="1:18">
      <c r="A117" s="2"/>
      <c r="B117" s="11" t="s">
        <v>25</v>
      </c>
      <c r="C117" s="4"/>
      <c r="D117" s="4"/>
      <c r="E117" s="4"/>
      <c r="F117" s="4"/>
      <c r="G117" s="18"/>
      <c r="H117" s="36">
        <v>0</v>
      </c>
      <c r="I117" s="20"/>
      <c r="J117" s="4" t="s">
        <v>26</v>
      </c>
      <c r="K117" s="4"/>
      <c r="L117" s="18"/>
      <c r="M117" s="19"/>
      <c r="N117" s="4"/>
      <c r="O117" s="4"/>
      <c r="P117" s="4"/>
      <c r="Q117" s="4"/>
      <c r="R117" s="20"/>
    </row>
    <row r="118" spans="1:18">
      <c r="A118" s="23"/>
      <c r="B118" s="11" t="s">
        <v>14</v>
      </c>
      <c r="C118" s="4"/>
      <c r="D118" s="4"/>
      <c r="E118" s="4"/>
      <c r="F118" s="4"/>
      <c r="G118" s="18"/>
      <c r="H118" s="36">
        <f>SUM(H116:H117)</f>
        <v>2012.5</v>
      </c>
      <c r="I118" s="523">
        <f>H121*0.2</f>
        <v>462.90000000000003</v>
      </c>
      <c r="J118" s="741"/>
      <c r="K118" s="742"/>
      <c r="L118" s="742"/>
      <c r="M118" s="742"/>
      <c r="N118" s="742"/>
      <c r="O118" s="742"/>
      <c r="P118" s="742"/>
      <c r="Q118" s="742"/>
      <c r="R118" s="743"/>
    </row>
    <row r="119" spans="1:18">
      <c r="A119" s="23"/>
      <c r="B119" s="11" t="s">
        <v>24</v>
      </c>
      <c r="C119" s="4"/>
      <c r="D119" s="4"/>
      <c r="E119" s="4"/>
      <c r="F119" s="4"/>
      <c r="G119" s="18"/>
      <c r="H119" s="36">
        <f>H118*15%</f>
        <v>301.875</v>
      </c>
      <c r="I119" s="523">
        <f>H121*0.3</f>
        <v>694.35</v>
      </c>
      <c r="J119" s="744"/>
      <c r="K119" s="745"/>
      <c r="L119" s="745"/>
      <c r="M119" s="745"/>
      <c r="N119" s="745"/>
      <c r="O119" s="745"/>
      <c r="P119" s="745"/>
      <c r="Q119" s="745"/>
      <c r="R119" s="746"/>
    </row>
    <row r="120" spans="1:18">
      <c r="A120" s="23"/>
      <c r="B120" s="11" t="s">
        <v>15</v>
      </c>
      <c r="C120" s="4"/>
      <c r="D120" s="4"/>
      <c r="E120" s="4"/>
      <c r="F120" s="4"/>
      <c r="G120" s="21" t="s">
        <v>16</v>
      </c>
      <c r="H120" s="37">
        <f>H119+H118</f>
        <v>2314.375</v>
      </c>
      <c r="I120" s="38" t="str">
        <f>CONCATENATE("per ",C111)</f>
        <v>per cum</v>
      </c>
      <c r="J120" s="744"/>
      <c r="K120" s="745"/>
      <c r="L120" s="745"/>
      <c r="M120" s="745"/>
      <c r="N120" s="745"/>
      <c r="O120" s="745"/>
      <c r="P120" s="745"/>
      <c r="Q120" s="745"/>
      <c r="R120" s="746"/>
    </row>
    <row r="121" spans="1:18">
      <c r="A121" s="23"/>
      <c r="B121" s="11" t="s">
        <v>18</v>
      </c>
      <c r="C121" s="4" t="s">
        <v>19</v>
      </c>
      <c r="D121" s="4"/>
      <c r="E121" s="4"/>
      <c r="F121" s="4"/>
      <c r="G121" s="21" t="s">
        <v>16</v>
      </c>
      <c r="H121" s="37">
        <f>CEILING(H120,0.5)</f>
        <v>2314.5</v>
      </c>
      <c r="I121" s="38" t="str">
        <f>CONCATENATE("per ",C111)</f>
        <v>per cum</v>
      </c>
      <c r="J121" s="744"/>
      <c r="K121" s="745"/>
      <c r="L121" s="745"/>
      <c r="M121" s="745"/>
      <c r="N121" s="745"/>
      <c r="O121" s="745"/>
      <c r="P121" s="745"/>
      <c r="Q121" s="745"/>
      <c r="R121" s="746"/>
    </row>
    <row r="122" spans="1:18">
      <c r="A122" s="23"/>
      <c r="B122" s="11"/>
      <c r="C122" s="4"/>
      <c r="D122" s="4"/>
      <c r="E122" s="4"/>
      <c r="F122" s="4"/>
      <c r="G122" s="24" t="s">
        <v>17</v>
      </c>
      <c r="H122" s="37">
        <f>H121/exr</f>
        <v>17.803846153846155</v>
      </c>
      <c r="I122" s="38" t="str">
        <f>CONCATENATE("per ",C111)</f>
        <v>per cum</v>
      </c>
      <c r="J122" s="747"/>
      <c r="K122" s="748"/>
      <c r="L122" s="748"/>
      <c r="M122" s="748"/>
      <c r="N122" s="748"/>
      <c r="O122" s="748"/>
      <c r="P122" s="748"/>
      <c r="Q122" s="748"/>
      <c r="R122" s="749"/>
    </row>
    <row r="123" spans="1:18">
      <c r="A123" s="39"/>
      <c r="B123" s="40"/>
      <c r="C123" s="41"/>
      <c r="D123" s="41"/>
      <c r="E123" s="41"/>
      <c r="F123" s="41"/>
      <c r="G123" s="149" t="s">
        <v>460</v>
      </c>
      <c r="H123" s="150">
        <f>CEILING(0,0.0025)</f>
        <v>0</v>
      </c>
      <c r="I123" s="42"/>
      <c r="J123" s="43"/>
      <c r="K123" s="43"/>
      <c r="L123" s="43"/>
      <c r="M123" s="43"/>
      <c r="N123" s="43"/>
      <c r="O123" s="43"/>
      <c r="P123" s="43"/>
      <c r="Q123" s="43"/>
      <c r="R123" s="44"/>
    </row>
    <row r="125" spans="1:18">
      <c r="A125" s="693" t="s">
        <v>0</v>
      </c>
      <c r="B125" s="695" t="s">
        <v>1</v>
      </c>
      <c r="C125" s="695" t="s">
        <v>2</v>
      </c>
      <c r="D125" s="699" t="s">
        <v>3</v>
      </c>
      <c r="E125" s="700"/>
      <c r="F125" s="700"/>
      <c r="G125" s="700"/>
      <c r="H125" s="697"/>
      <c r="I125" s="699" t="s">
        <v>4</v>
      </c>
      <c r="J125" s="700"/>
      <c r="K125" s="700"/>
      <c r="L125" s="700"/>
      <c r="M125" s="697"/>
      <c r="N125" s="699" t="s">
        <v>5</v>
      </c>
      <c r="O125" s="700"/>
      <c r="P125" s="700"/>
      <c r="Q125" s="700"/>
      <c r="R125" s="697"/>
    </row>
    <row r="126" spans="1:18">
      <c r="A126" s="762"/>
      <c r="B126" s="759"/>
      <c r="C126" s="759"/>
      <c r="D126" s="45" t="s">
        <v>6</v>
      </c>
      <c r="E126" s="46" t="s">
        <v>2</v>
      </c>
      <c r="F126" s="46" t="s">
        <v>7</v>
      </c>
      <c r="G126" s="46" t="s">
        <v>8</v>
      </c>
      <c r="H126" s="46" t="s">
        <v>9</v>
      </c>
      <c r="I126" s="46" t="s">
        <v>10</v>
      </c>
      <c r="J126" s="46" t="s">
        <v>2</v>
      </c>
      <c r="K126" s="46" t="s">
        <v>7</v>
      </c>
      <c r="L126" s="46" t="s">
        <v>8</v>
      </c>
      <c r="M126" s="47" t="s">
        <v>9</v>
      </c>
      <c r="N126" s="46" t="s">
        <v>10</v>
      </c>
      <c r="O126" s="46" t="s">
        <v>2</v>
      </c>
      <c r="P126" s="46" t="s">
        <v>7</v>
      </c>
      <c r="Q126" s="46" t="s">
        <v>8</v>
      </c>
      <c r="R126" s="46" t="s">
        <v>9</v>
      </c>
    </row>
    <row r="127" spans="1:18">
      <c r="A127" s="33" t="s">
        <v>23</v>
      </c>
      <c r="B127" s="127"/>
      <c r="C127" s="31"/>
      <c r="D127" s="31"/>
      <c r="E127" s="31"/>
      <c r="F127" s="31"/>
      <c r="G127" s="31"/>
      <c r="H127" s="31"/>
      <c r="I127" s="31"/>
      <c r="J127" s="31"/>
      <c r="K127" s="31"/>
      <c r="L127" s="31"/>
      <c r="M127" s="31"/>
      <c r="N127" s="31"/>
      <c r="O127" s="31"/>
      <c r="P127" s="31"/>
      <c r="Q127" s="31"/>
      <c r="R127" s="32"/>
    </row>
    <row r="128" spans="1:18">
      <c r="A128" s="34">
        <f>A111+1</f>
        <v>7</v>
      </c>
      <c r="B128" s="713" t="s">
        <v>533</v>
      </c>
      <c r="C128" s="66" t="s">
        <v>11</v>
      </c>
      <c r="D128" s="4"/>
      <c r="E128" s="6"/>
      <c r="F128" s="29"/>
      <c r="G128" s="26"/>
      <c r="H128" s="26"/>
      <c r="I128" s="6"/>
      <c r="J128" s="6"/>
      <c r="K128" s="29"/>
      <c r="L128" s="26"/>
      <c r="M128" s="26"/>
      <c r="N128" s="6"/>
      <c r="O128" s="6"/>
      <c r="P128" s="29"/>
      <c r="Q128" s="26"/>
      <c r="R128" s="26"/>
    </row>
    <row r="129" spans="1:18">
      <c r="A129" s="2"/>
      <c r="B129" s="714"/>
      <c r="C129" s="124"/>
      <c r="D129" s="4" t="s">
        <v>503</v>
      </c>
      <c r="E129" s="66" t="s">
        <v>81</v>
      </c>
      <c r="F129" s="29">
        <v>0.125</v>
      </c>
      <c r="G129" s="26">
        <f>sr</f>
        <v>1100</v>
      </c>
      <c r="H129" s="26">
        <f>F129*G129</f>
        <v>137.5</v>
      </c>
      <c r="I129" s="7" t="s">
        <v>41</v>
      </c>
      <c r="J129" s="145" t="s">
        <v>11</v>
      </c>
      <c r="K129" s="29">
        <v>1.1000000000000001</v>
      </c>
      <c r="L129" s="28">
        <f>stone</f>
        <v>1000</v>
      </c>
      <c r="M129" s="26">
        <f>K129*L129</f>
        <v>1100</v>
      </c>
      <c r="N129" s="8"/>
      <c r="O129" s="66"/>
      <c r="P129" s="29"/>
      <c r="Q129" s="28"/>
      <c r="R129" s="26"/>
    </row>
    <row r="130" spans="1:18">
      <c r="A130" s="2"/>
      <c r="B130" s="126"/>
      <c r="C130" s="6"/>
      <c r="D130" s="4" t="s">
        <v>492</v>
      </c>
      <c r="E130" s="66" t="s">
        <v>81</v>
      </c>
      <c r="F130" s="29">
        <v>0.5</v>
      </c>
      <c r="G130" s="26">
        <f>ur</f>
        <v>850</v>
      </c>
      <c r="H130" s="26">
        <f>F130*G130</f>
        <v>425</v>
      </c>
      <c r="I130" s="7"/>
      <c r="J130" s="145"/>
      <c r="K130" s="29"/>
      <c r="L130" s="28"/>
      <c r="M130" s="26"/>
      <c r="N130" s="8"/>
      <c r="O130" s="66"/>
      <c r="P130" s="29"/>
      <c r="Q130" s="28"/>
      <c r="R130" s="26"/>
    </row>
    <row r="131" spans="1:18">
      <c r="A131" s="2"/>
      <c r="B131" s="5"/>
      <c r="C131" s="6"/>
      <c r="D131" s="4"/>
      <c r="E131" s="9"/>
      <c r="F131" s="30"/>
      <c r="G131" s="27"/>
      <c r="H131" s="27"/>
      <c r="I131" s="9"/>
      <c r="J131" s="10"/>
      <c r="K131" s="30"/>
      <c r="L131" s="28"/>
      <c r="M131" s="28"/>
      <c r="N131" s="8"/>
      <c r="O131" s="6"/>
      <c r="P131" s="30"/>
      <c r="Q131" s="28"/>
      <c r="R131" s="28"/>
    </row>
    <row r="132" spans="1:18">
      <c r="A132" s="2"/>
      <c r="B132" s="11"/>
      <c r="C132" s="6"/>
      <c r="D132" s="12"/>
      <c r="E132" s="59"/>
      <c r="F132" s="13"/>
      <c r="G132" s="13" t="s">
        <v>20</v>
      </c>
      <c r="H132" s="25">
        <f>SUM(H128:H131)</f>
        <v>562.5</v>
      </c>
      <c r="I132" s="760"/>
      <c r="J132" s="761"/>
      <c r="K132" s="14"/>
      <c r="L132" s="13" t="s">
        <v>21</v>
      </c>
      <c r="M132" s="25">
        <f>SUM(M128:M131)</f>
        <v>1100</v>
      </c>
      <c r="N132" s="3"/>
      <c r="O132" s="14"/>
      <c r="P132" s="14"/>
      <c r="Q132" s="13" t="s">
        <v>22</v>
      </c>
      <c r="R132" s="25">
        <f>SUM(R128:R131)</f>
        <v>0</v>
      </c>
    </row>
    <row r="133" spans="1:18">
      <c r="A133" s="2"/>
      <c r="B133" s="16" t="s">
        <v>13</v>
      </c>
      <c r="C133" s="14"/>
      <c r="D133" s="14"/>
      <c r="E133" s="14"/>
      <c r="F133" s="14"/>
      <c r="G133" s="13"/>
      <c r="H133" s="35">
        <f>M132+R132+H132</f>
        <v>1662.5</v>
      </c>
      <c r="I133" s="17"/>
      <c r="J133" s="14"/>
      <c r="K133" s="14"/>
      <c r="L133" s="13"/>
      <c r="M133" s="15"/>
      <c r="N133" s="14"/>
      <c r="O133" s="14"/>
      <c r="P133" s="14"/>
      <c r="Q133" s="14"/>
      <c r="R133" s="17"/>
    </row>
    <row r="134" spans="1:18">
      <c r="A134" s="2"/>
      <c r="B134" s="11" t="s">
        <v>25</v>
      </c>
      <c r="C134" s="4"/>
      <c r="D134" s="4"/>
      <c r="E134" s="4"/>
      <c r="F134" s="4"/>
      <c r="G134" s="18"/>
      <c r="H134" s="36">
        <v>0</v>
      </c>
      <c r="I134" s="20"/>
      <c r="J134" s="4" t="s">
        <v>26</v>
      </c>
      <c r="K134" s="4"/>
      <c r="L134" s="18"/>
      <c r="M134" s="19"/>
      <c r="N134" s="4"/>
      <c r="O134" s="4"/>
      <c r="P134" s="4"/>
      <c r="Q134" s="4"/>
      <c r="R134" s="20"/>
    </row>
    <row r="135" spans="1:18">
      <c r="A135" s="23"/>
      <c r="B135" s="11" t="s">
        <v>14</v>
      </c>
      <c r="C135" s="4"/>
      <c r="D135" s="4"/>
      <c r="E135" s="4"/>
      <c r="F135" s="4"/>
      <c r="G135" s="18"/>
      <c r="H135" s="36">
        <f>SUM(H133:H134)</f>
        <v>1662.5</v>
      </c>
      <c r="I135" s="20"/>
      <c r="J135" s="741"/>
      <c r="K135" s="742"/>
      <c r="L135" s="742"/>
      <c r="M135" s="742"/>
      <c r="N135" s="742"/>
      <c r="O135" s="742"/>
      <c r="P135" s="742"/>
      <c r="Q135" s="742"/>
      <c r="R135" s="743"/>
    </row>
    <row r="136" spans="1:18">
      <c r="A136" s="23"/>
      <c r="B136" s="11" t="s">
        <v>24</v>
      </c>
      <c r="C136" s="4"/>
      <c r="D136" s="4"/>
      <c r="E136" s="4"/>
      <c r="F136" s="4"/>
      <c r="G136" s="18"/>
      <c r="H136" s="36">
        <f>H135*15%</f>
        <v>249.375</v>
      </c>
      <c r="I136" s="20"/>
      <c r="J136" s="744"/>
      <c r="K136" s="745"/>
      <c r="L136" s="745"/>
      <c r="M136" s="745"/>
      <c r="N136" s="745"/>
      <c r="O136" s="745"/>
      <c r="P136" s="745"/>
      <c r="Q136" s="745"/>
      <c r="R136" s="746"/>
    </row>
    <row r="137" spans="1:18">
      <c r="A137" s="23"/>
      <c r="B137" s="11" t="s">
        <v>15</v>
      </c>
      <c r="C137" s="4"/>
      <c r="D137" s="4"/>
      <c r="E137" s="4"/>
      <c r="F137" s="4"/>
      <c r="G137" s="21" t="s">
        <v>16</v>
      </c>
      <c r="H137" s="37">
        <f>H136+H135</f>
        <v>1911.875</v>
      </c>
      <c r="I137" s="38" t="str">
        <f>CONCATENATE("per ",C128)</f>
        <v>per cum</v>
      </c>
      <c r="J137" s="744"/>
      <c r="K137" s="745"/>
      <c r="L137" s="745"/>
      <c r="M137" s="745"/>
      <c r="N137" s="745"/>
      <c r="O137" s="745"/>
      <c r="P137" s="745"/>
      <c r="Q137" s="745"/>
      <c r="R137" s="746"/>
    </row>
    <row r="138" spans="1:18">
      <c r="A138" s="23"/>
      <c r="B138" s="11" t="s">
        <v>18</v>
      </c>
      <c r="C138" s="4" t="s">
        <v>19</v>
      </c>
      <c r="D138" s="4"/>
      <c r="E138" s="4"/>
      <c r="F138" s="4"/>
      <c r="G138" s="21" t="s">
        <v>16</v>
      </c>
      <c r="H138" s="37">
        <f>CEILING(H137,0.5)</f>
        <v>1912</v>
      </c>
      <c r="I138" s="38" t="str">
        <f>CONCATENATE("per ",C128)</f>
        <v>per cum</v>
      </c>
      <c r="J138" s="744"/>
      <c r="K138" s="745"/>
      <c r="L138" s="745"/>
      <c r="M138" s="745"/>
      <c r="N138" s="745"/>
      <c r="O138" s="745"/>
      <c r="P138" s="745"/>
      <c r="Q138" s="745"/>
      <c r="R138" s="746"/>
    </row>
    <row r="139" spans="1:18">
      <c r="A139" s="23"/>
      <c r="B139" s="11"/>
      <c r="C139" s="4"/>
      <c r="D139" s="4"/>
      <c r="E139" s="4"/>
      <c r="F139" s="4"/>
      <c r="G139" s="24" t="s">
        <v>17</v>
      </c>
      <c r="H139" s="37">
        <f>H138/exr</f>
        <v>14.707692307692307</v>
      </c>
      <c r="I139" s="38" t="str">
        <f>CONCATENATE("per ",C128)</f>
        <v>per cum</v>
      </c>
      <c r="J139" s="747"/>
      <c r="K139" s="748"/>
      <c r="L139" s="748"/>
      <c r="M139" s="748"/>
      <c r="N139" s="748"/>
      <c r="O139" s="748"/>
      <c r="P139" s="748"/>
      <c r="Q139" s="748"/>
      <c r="R139" s="749"/>
    </row>
    <row r="140" spans="1:18">
      <c r="A140" s="39"/>
      <c r="B140" s="40"/>
      <c r="C140" s="41"/>
      <c r="D140" s="41"/>
      <c r="E140" s="41"/>
      <c r="F140" s="41"/>
      <c r="G140" s="149" t="s">
        <v>460</v>
      </c>
      <c r="H140" s="150">
        <f>CEILING(0,0.0025)</f>
        <v>0</v>
      </c>
      <c r="I140" s="42"/>
      <c r="J140" s="43"/>
      <c r="K140" s="43"/>
      <c r="L140" s="43"/>
      <c r="M140" s="43"/>
      <c r="N140" s="43"/>
      <c r="O140" s="43"/>
      <c r="P140" s="43"/>
      <c r="Q140" s="43"/>
      <c r="R140" s="44"/>
    </row>
    <row r="142" spans="1:18">
      <c r="A142" s="693" t="s">
        <v>0</v>
      </c>
      <c r="B142" s="695" t="s">
        <v>1</v>
      </c>
      <c r="C142" s="695" t="s">
        <v>2</v>
      </c>
      <c r="D142" s="699" t="s">
        <v>3</v>
      </c>
      <c r="E142" s="700"/>
      <c r="F142" s="700"/>
      <c r="G142" s="700"/>
      <c r="H142" s="697"/>
      <c r="I142" s="699" t="s">
        <v>4</v>
      </c>
      <c r="J142" s="700"/>
      <c r="K142" s="700"/>
      <c r="L142" s="700"/>
      <c r="M142" s="697"/>
      <c r="N142" s="699" t="s">
        <v>5</v>
      </c>
      <c r="O142" s="700"/>
      <c r="P142" s="700"/>
      <c r="Q142" s="700"/>
      <c r="R142" s="697"/>
    </row>
    <row r="143" spans="1:18">
      <c r="A143" s="762"/>
      <c r="B143" s="759"/>
      <c r="C143" s="759"/>
      <c r="D143" s="45" t="s">
        <v>6</v>
      </c>
      <c r="E143" s="46" t="s">
        <v>2</v>
      </c>
      <c r="F143" s="46" t="s">
        <v>7</v>
      </c>
      <c r="G143" s="46" t="s">
        <v>8</v>
      </c>
      <c r="H143" s="46" t="s">
        <v>9</v>
      </c>
      <c r="I143" s="46" t="s">
        <v>10</v>
      </c>
      <c r="J143" s="46" t="s">
        <v>2</v>
      </c>
      <c r="K143" s="46" t="s">
        <v>7</v>
      </c>
      <c r="L143" s="46" t="s">
        <v>8</v>
      </c>
      <c r="M143" s="47" t="s">
        <v>9</v>
      </c>
      <c r="N143" s="46" t="s">
        <v>10</v>
      </c>
      <c r="O143" s="46" t="s">
        <v>2</v>
      </c>
      <c r="P143" s="46" t="s">
        <v>7</v>
      </c>
      <c r="Q143" s="46" t="s">
        <v>8</v>
      </c>
      <c r="R143" s="46" t="s">
        <v>9</v>
      </c>
    </row>
    <row r="144" spans="1:18">
      <c r="A144" s="33" t="s">
        <v>23</v>
      </c>
      <c r="B144" s="127"/>
      <c r="C144" s="31"/>
      <c r="D144" s="31"/>
      <c r="E144" s="31"/>
      <c r="F144" s="31"/>
      <c r="G144" s="31"/>
      <c r="H144" s="31"/>
      <c r="I144" s="31"/>
      <c r="J144" s="31"/>
      <c r="K144" s="31"/>
      <c r="L144" s="31"/>
      <c r="M144" s="31"/>
      <c r="N144" s="31"/>
      <c r="O144" s="31"/>
      <c r="P144" s="31"/>
      <c r="Q144" s="31"/>
      <c r="R144" s="32"/>
    </row>
    <row r="145" spans="1:18">
      <c r="A145" s="34">
        <f>A128+1</f>
        <v>8</v>
      </c>
      <c r="B145" s="713" t="s">
        <v>838</v>
      </c>
      <c r="C145" s="66" t="s">
        <v>47</v>
      </c>
      <c r="D145" s="4"/>
      <c r="E145" s="6"/>
      <c r="F145" s="29"/>
      <c r="G145" s="26"/>
      <c r="H145" s="26"/>
      <c r="I145" s="6"/>
      <c r="J145" s="6"/>
      <c r="K145" s="29"/>
      <c r="L145" s="26"/>
      <c r="M145" s="26"/>
      <c r="N145" s="6"/>
      <c r="O145" s="6"/>
      <c r="P145" s="29"/>
      <c r="Q145" s="26"/>
      <c r="R145" s="26"/>
    </row>
    <row r="146" spans="1:18">
      <c r="A146" s="2"/>
      <c r="B146" s="714"/>
      <c r="C146" s="124"/>
      <c r="D146" s="4" t="s">
        <v>503</v>
      </c>
      <c r="E146" s="66" t="s">
        <v>81</v>
      </c>
      <c r="F146" s="29">
        <v>3.125E-2</v>
      </c>
      <c r="G146" s="26">
        <f>sr</f>
        <v>1100</v>
      </c>
      <c r="H146" s="26">
        <f>F146*G146</f>
        <v>34.375</v>
      </c>
      <c r="I146" s="7" t="s">
        <v>534</v>
      </c>
      <c r="J146" s="145" t="s">
        <v>47</v>
      </c>
      <c r="K146" s="29">
        <v>1.05</v>
      </c>
      <c r="L146" s="28">
        <f>water_stop</f>
        <v>360.34</v>
      </c>
      <c r="M146" s="26">
        <f>K146*L146</f>
        <v>378.35699999999997</v>
      </c>
      <c r="N146" s="8"/>
      <c r="O146" s="66"/>
      <c r="P146" s="29"/>
      <c r="Q146" s="28"/>
      <c r="R146" s="26"/>
    </row>
    <row r="147" spans="1:18">
      <c r="A147" s="2"/>
      <c r="B147" s="126"/>
      <c r="C147" s="6"/>
      <c r="D147" s="4" t="s">
        <v>492</v>
      </c>
      <c r="E147" s="66" t="s">
        <v>81</v>
      </c>
      <c r="F147" s="29">
        <v>6.25E-2</v>
      </c>
      <c r="G147" s="26">
        <f>ur</f>
        <v>850</v>
      </c>
      <c r="H147" s="26">
        <f>F147*G147</f>
        <v>53.125</v>
      </c>
      <c r="I147" s="7"/>
      <c r="J147" s="145"/>
      <c r="K147" s="29"/>
      <c r="L147" s="28"/>
      <c r="M147" s="26"/>
      <c r="N147" s="8"/>
      <c r="O147" s="66"/>
      <c r="P147" s="29"/>
      <c r="Q147" s="28"/>
      <c r="R147" s="26"/>
    </row>
    <row r="148" spans="1:18">
      <c r="A148" s="2"/>
      <c r="B148" s="5"/>
      <c r="C148" s="6"/>
      <c r="D148" s="4"/>
      <c r="E148" s="9"/>
      <c r="F148" s="30"/>
      <c r="G148" s="27"/>
      <c r="H148" s="27"/>
      <c r="I148" s="9"/>
      <c r="J148" s="10"/>
      <c r="K148" s="30"/>
      <c r="L148" s="28"/>
      <c r="M148" s="28"/>
      <c r="N148" s="8"/>
      <c r="O148" s="6"/>
      <c r="P148" s="30"/>
      <c r="Q148" s="28"/>
      <c r="R148" s="28"/>
    </row>
    <row r="149" spans="1:18">
      <c r="A149" s="2"/>
      <c r="B149" s="11"/>
      <c r="C149" s="6"/>
      <c r="D149" s="12"/>
      <c r="E149" s="59"/>
      <c r="F149" s="13"/>
      <c r="G149" s="13" t="s">
        <v>20</v>
      </c>
      <c r="H149" s="25">
        <f>SUM(H145:H148)</f>
        <v>87.5</v>
      </c>
      <c r="I149" s="760"/>
      <c r="J149" s="761"/>
      <c r="K149" s="14"/>
      <c r="L149" s="13" t="s">
        <v>21</v>
      </c>
      <c r="M149" s="25">
        <f>SUM(M145:M148)</f>
        <v>378.35699999999997</v>
      </c>
      <c r="N149" s="3"/>
      <c r="O149" s="14"/>
      <c r="P149" s="14"/>
      <c r="Q149" s="13" t="s">
        <v>22</v>
      </c>
      <c r="R149" s="25">
        <f>SUM(R145:R148)</f>
        <v>0</v>
      </c>
    </row>
    <row r="150" spans="1:18">
      <c r="A150" s="2"/>
      <c r="B150" s="16" t="s">
        <v>13</v>
      </c>
      <c r="C150" s="14"/>
      <c r="D150" s="14"/>
      <c r="E150" s="14"/>
      <c r="F150" s="14"/>
      <c r="G150" s="13"/>
      <c r="H150" s="35">
        <f>M149+R149+H149</f>
        <v>465.85699999999997</v>
      </c>
      <c r="I150" s="17"/>
      <c r="J150" s="14"/>
      <c r="K150" s="14"/>
      <c r="L150" s="13"/>
      <c r="M150" s="15"/>
      <c r="N150" s="14"/>
      <c r="O150" s="14"/>
      <c r="P150" s="14"/>
      <c r="Q150" s="14"/>
      <c r="R150" s="17"/>
    </row>
    <row r="151" spans="1:18">
      <c r="A151" s="2"/>
      <c r="B151" s="11" t="s">
        <v>25</v>
      </c>
      <c r="C151" s="4"/>
      <c r="D151" s="4"/>
      <c r="E151" s="4"/>
      <c r="F151" s="4"/>
      <c r="G151" s="18"/>
      <c r="H151" s="36">
        <v>0</v>
      </c>
      <c r="I151" s="20"/>
      <c r="J151" s="4" t="s">
        <v>26</v>
      </c>
      <c r="K151" s="4"/>
      <c r="L151" s="18"/>
      <c r="M151" s="19"/>
      <c r="N151" s="4"/>
      <c r="O151" s="4"/>
      <c r="P151" s="4"/>
      <c r="Q151" s="4"/>
      <c r="R151" s="20"/>
    </row>
    <row r="152" spans="1:18">
      <c r="A152" s="23"/>
      <c r="B152" s="11" t="s">
        <v>14</v>
      </c>
      <c r="C152" s="4"/>
      <c r="D152" s="4"/>
      <c r="E152" s="4"/>
      <c r="F152" s="4"/>
      <c r="G152" s="18"/>
      <c r="H152" s="36">
        <f>SUM(H150:H151)</f>
        <v>465.85699999999997</v>
      </c>
      <c r="I152" s="20"/>
      <c r="J152" s="741"/>
      <c r="K152" s="742"/>
      <c r="L152" s="742"/>
      <c r="M152" s="742"/>
      <c r="N152" s="742"/>
      <c r="O152" s="742"/>
      <c r="P152" s="742"/>
      <c r="Q152" s="742"/>
      <c r="R152" s="743"/>
    </row>
    <row r="153" spans="1:18">
      <c r="A153" s="23"/>
      <c r="B153" s="11" t="s">
        <v>24</v>
      </c>
      <c r="C153" s="4"/>
      <c r="D153" s="4"/>
      <c r="E153" s="4"/>
      <c r="F153" s="4"/>
      <c r="G153" s="18"/>
      <c r="H153" s="36">
        <f>H152*15%</f>
        <v>69.87854999999999</v>
      </c>
      <c r="I153" s="20"/>
      <c r="J153" s="744"/>
      <c r="K153" s="745"/>
      <c r="L153" s="745"/>
      <c r="M153" s="745"/>
      <c r="N153" s="745"/>
      <c r="O153" s="745"/>
      <c r="P153" s="745"/>
      <c r="Q153" s="745"/>
      <c r="R153" s="746"/>
    </row>
    <row r="154" spans="1:18">
      <c r="A154" s="23"/>
      <c r="B154" s="11" t="s">
        <v>15</v>
      </c>
      <c r="C154" s="4"/>
      <c r="D154" s="4"/>
      <c r="E154" s="4"/>
      <c r="F154" s="4"/>
      <c r="G154" s="21" t="s">
        <v>16</v>
      </c>
      <c r="H154" s="37">
        <f>H153+H152</f>
        <v>535.73554999999999</v>
      </c>
      <c r="I154" s="38" t="str">
        <f>CONCATENATE("per ",C145)</f>
        <v>per m</v>
      </c>
      <c r="J154" s="744"/>
      <c r="K154" s="745"/>
      <c r="L154" s="745"/>
      <c r="M154" s="745"/>
      <c r="N154" s="745"/>
      <c r="O154" s="745"/>
      <c r="P154" s="745"/>
      <c r="Q154" s="745"/>
      <c r="R154" s="746"/>
    </row>
    <row r="155" spans="1:18">
      <c r="A155" s="23"/>
      <c r="B155" s="11" t="s">
        <v>18</v>
      </c>
      <c r="C155" s="4" t="s">
        <v>19</v>
      </c>
      <c r="D155" s="4"/>
      <c r="E155" s="4"/>
      <c r="F155" s="4"/>
      <c r="G155" s="21" t="s">
        <v>16</v>
      </c>
      <c r="H155" s="37">
        <f>CEILING(H154,0.5)</f>
        <v>536</v>
      </c>
      <c r="I155" s="38" t="str">
        <f>CONCATENATE("per ",C145)</f>
        <v>per m</v>
      </c>
      <c r="J155" s="744"/>
      <c r="K155" s="745"/>
      <c r="L155" s="745"/>
      <c r="M155" s="745"/>
      <c r="N155" s="745"/>
      <c r="O155" s="745"/>
      <c r="P155" s="745"/>
      <c r="Q155" s="745"/>
      <c r="R155" s="746"/>
    </row>
    <row r="156" spans="1:18">
      <c r="A156" s="23"/>
      <c r="B156" s="11"/>
      <c r="C156" s="4"/>
      <c r="D156" s="4"/>
      <c r="E156" s="4"/>
      <c r="F156" s="4"/>
      <c r="G156" s="24" t="s">
        <v>17</v>
      </c>
      <c r="H156" s="37">
        <f>H155/exr</f>
        <v>4.1230769230769226</v>
      </c>
      <c r="I156" s="38" t="str">
        <f>CONCATENATE("per ",C145)</f>
        <v>per m</v>
      </c>
      <c r="J156" s="747"/>
      <c r="K156" s="748"/>
      <c r="L156" s="748"/>
      <c r="M156" s="748"/>
      <c r="N156" s="748"/>
      <c r="O156" s="748"/>
      <c r="P156" s="748"/>
      <c r="Q156" s="748"/>
      <c r="R156" s="749"/>
    </row>
    <row r="157" spans="1:18">
      <c r="A157" s="39"/>
      <c r="B157" s="40"/>
      <c r="C157" s="41"/>
      <c r="D157" s="41"/>
      <c r="E157" s="41"/>
      <c r="F157" s="41"/>
      <c r="G157" s="149" t="s">
        <v>460</v>
      </c>
      <c r="H157" s="150">
        <f>CEILING(M149/H150,0.0025)</f>
        <v>0.8125</v>
      </c>
      <c r="I157" s="42"/>
      <c r="J157" s="43"/>
      <c r="K157" s="43"/>
      <c r="L157" s="43"/>
      <c r="M157" s="43"/>
      <c r="N157" s="43"/>
      <c r="O157" s="43"/>
      <c r="P157" s="43"/>
      <c r="Q157" s="43"/>
      <c r="R157" s="44"/>
    </row>
    <row r="159" spans="1:18">
      <c r="A159" s="693" t="s">
        <v>0</v>
      </c>
      <c r="B159" s="695" t="s">
        <v>1</v>
      </c>
      <c r="C159" s="695" t="s">
        <v>2</v>
      </c>
      <c r="D159" s="699" t="s">
        <v>3</v>
      </c>
      <c r="E159" s="700"/>
      <c r="F159" s="700"/>
      <c r="G159" s="700"/>
      <c r="H159" s="697"/>
      <c r="I159" s="699" t="s">
        <v>4</v>
      </c>
      <c r="J159" s="700"/>
      <c r="K159" s="700"/>
      <c r="L159" s="700"/>
      <c r="M159" s="697"/>
      <c r="N159" s="699" t="s">
        <v>5</v>
      </c>
      <c r="O159" s="700"/>
      <c r="P159" s="700"/>
      <c r="Q159" s="700"/>
      <c r="R159" s="697"/>
    </row>
    <row r="160" spans="1:18">
      <c r="A160" s="762"/>
      <c r="B160" s="759"/>
      <c r="C160" s="759"/>
      <c r="D160" s="45" t="s">
        <v>6</v>
      </c>
      <c r="E160" s="46" t="s">
        <v>2</v>
      </c>
      <c r="F160" s="46" t="s">
        <v>7</v>
      </c>
      <c r="G160" s="46" t="s">
        <v>8</v>
      </c>
      <c r="H160" s="46" t="s">
        <v>9</v>
      </c>
      <c r="I160" s="46" t="s">
        <v>10</v>
      </c>
      <c r="J160" s="46" t="s">
        <v>2</v>
      </c>
      <c r="K160" s="46" t="s">
        <v>7</v>
      </c>
      <c r="L160" s="46" t="s">
        <v>8</v>
      </c>
      <c r="M160" s="47" t="s">
        <v>9</v>
      </c>
      <c r="N160" s="46" t="s">
        <v>10</v>
      </c>
      <c r="O160" s="46" t="s">
        <v>2</v>
      </c>
      <c r="P160" s="46" t="s">
        <v>7</v>
      </c>
      <c r="Q160" s="46" t="s">
        <v>8</v>
      </c>
      <c r="R160" s="46" t="s">
        <v>9</v>
      </c>
    </row>
    <row r="161" spans="1:18">
      <c r="A161" s="33" t="s">
        <v>23</v>
      </c>
      <c r="B161" s="127"/>
      <c r="C161" s="31"/>
      <c r="D161" s="31"/>
      <c r="E161" s="31"/>
      <c r="F161" s="31"/>
      <c r="G161" s="31"/>
      <c r="H161" s="31"/>
      <c r="I161" s="31"/>
      <c r="J161" s="31"/>
      <c r="K161" s="31"/>
      <c r="L161" s="31"/>
      <c r="M161" s="31"/>
      <c r="N161" s="31"/>
      <c r="O161" s="31"/>
      <c r="P161" s="31"/>
      <c r="Q161" s="31"/>
      <c r="R161" s="32"/>
    </row>
    <row r="162" spans="1:18">
      <c r="A162" s="34">
        <f>A145+1</f>
        <v>9</v>
      </c>
      <c r="B162" s="763" t="s">
        <v>741</v>
      </c>
      <c r="C162" s="66" t="s">
        <v>11</v>
      </c>
      <c r="D162" s="4"/>
      <c r="E162" s="6"/>
      <c r="F162" s="29"/>
      <c r="G162" s="26"/>
      <c r="H162" s="26"/>
      <c r="I162" s="6"/>
      <c r="J162" s="6"/>
      <c r="K162" s="29"/>
      <c r="L162" s="26"/>
      <c r="M162" s="26"/>
      <c r="N162" s="6"/>
      <c r="O162" s="6"/>
      <c r="P162" s="29"/>
      <c r="Q162" s="26"/>
      <c r="R162" s="26"/>
    </row>
    <row r="163" spans="1:18">
      <c r="A163" s="2"/>
      <c r="B163" s="764"/>
      <c r="C163" s="124"/>
      <c r="D163" s="4" t="s">
        <v>75</v>
      </c>
      <c r="E163" s="66" t="s">
        <v>81</v>
      </c>
      <c r="F163" s="29">
        <v>2.5999999999999999E-3</v>
      </c>
      <c r="G163" s="26">
        <f>fr</f>
        <v>1100</v>
      </c>
      <c r="H163" s="26">
        <f>F163*G163</f>
        <v>2.86</v>
      </c>
      <c r="I163" s="7" t="s">
        <v>31</v>
      </c>
      <c r="J163" s="145" t="s">
        <v>28</v>
      </c>
      <c r="K163" s="156">
        <f>155*1.2</f>
        <v>186</v>
      </c>
      <c r="L163" s="28">
        <f>cement/1000</f>
        <v>24.049689999999998</v>
      </c>
      <c r="M163" s="26">
        <f>K163*L163</f>
        <v>4473.2423399999998</v>
      </c>
      <c r="N163" s="8" t="s">
        <v>287</v>
      </c>
      <c r="O163" s="66" t="s">
        <v>101</v>
      </c>
      <c r="P163" s="29">
        <v>0.9</v>
      </c>
      <c r="Q163" s="28">
        <f>mixer</f>
        <v>216.32</v>
      </c>
      <c r="R163" s="26">
        <f>P163*Q163</f>
        <v>194.68799999999999</v>
      </c>
    </row>
    <row r="164" spans="1:18">
      <c r="A164" s="2"/>
      <c r="B164" s="126"/>
      <c r="C164" s="6"/>
      <c r="D164" s="4" t="s">
        <v>72</v>
      </c>
      <c r="E164" s="66" t="s">
        <v>81</v>
      </c>
      <c r="F164" s="29">
        <v>1.2500000000000001E-2</v>
      </c>
      <c r="G164" s="26">
        <f>sr</f>
        <v>1100</v>
      </c>
      <c r="H164" s="26">
        <f>F164*G164</f>
        <v>13.75</v>
      </c>
      <c r="I164" s="7" t="s">
        <v>286</v>
      </c>
      <c r="J164" s="145" t="s">
        <v>11</v>
      </c>
      <c r="K164" s="156">
        <f>0.3*1.2</f>
        <v>0.36</v>
      </c>
      <c r="L164" s="28">
        <f>sand</f>
        <v>1050</v>
      </c>
      <c r="M164" s="26">
        <f t="shared" ref="M164:M169" si="5">K164*L164</f>
        <v>378</v>
      </c>
      <c r="N164" s="8" t="s">
        <v>552</v>
      </c>
      <c r="O164" s="66" t="s">
        <v>101</v>
      </c>
      <c r="P164" s="29">
        <v>0.2</v>
      </c>
      <c r="Q164" s="28">
        <f>vibrator_concrete</f>
        <v>108.16</v>
      </c>
      <c r="R164" s="26">
        <f>P164*Q164</f>
        <v>21.632000000000001</v>
      </c>
    </row>
    <row r="165" spans="1:18">
      <c r="A165" s="2"/>
      <c r="B165" s="126"/>
      <c r="C165" s="6"/>
      <c r="D165" s="4" t="s">
        <v>492</v>
      </c>
      <c r="E165" s="66" t="s">
        <v>81</v>
      </c>
      <c r="F165" s="29">
        <v>1.5625E-2</v>
      </c>
      <c r="G165" s="26">
        <f>ur</f>
        <v>850</v>
      </c>
      <c r="H165" s="26">
        <f>F165*G165</f>
        <v>13.28125</v>
      </c>
      <c r="I165" s="7" t="s">
        <v>550</v>
      </c>
      <c r="J165" s="145" t="s">
        <v>11</v>
      </c>
      <c r="K165" s="156">
        <f>0.45*1.2</f>
        <v>0.54</v>
      </c>
      <c r="L165" s="28">
        <f>Agg_20</f>
        <v>2700</v>
      </c>
      <c r="M165" s="26">
        <f t="shared" si="5"/>
        <v>1458</v>
      </c>
      <c r="N165" s="8" t="s">
        <v>553</v>
      </c>
      <c r="O165" s="66" t="s">
        <v>101</v>
      </c>
      <c r="P165" s="29">
        <v>0.2</v>
      </c>
      <c r="Q165" s="28">
        <f>agitator</f>
        <v>1622.4</v>
      </c>
      <c r="R165" s="26">
        <f>P165*Q165</f>
        <v>324.48</v>
      </c>
    </row>
    <row r="166" spans="1:18">
      <c r="A166" s="2"/>
      <c r="B166" s="126"/>
      <c r="C166" s="6"/>
      <c r="D166" s="4" t="s">
        <v>549</v>
      </c>
      <c r="E166" s="66" t="s">
        <v>81</v>
      </c>
      <c r="F166" s="29">
        <v>0.1125</v>
      </c>
      <c r="G166" s="26">
        <f>or</f>
        <v>1840</v>
      </c>
      <c r="H166" s="26">
        <f>F166*G166</f>
        <v>207</v>
      </c>
      <c r="I166" s="7" t="s">
        <v>516</v>
      </c>
      <c r="J166" s="145" t="s">
        <v>11</v>
      </c>
      <c r="K166" s="156">
        <f>0.2*1.2</f>
        <v>0.24</v>
      </c>
      <c r="L166" s="28">
        <f>Agg_10</f>
        <v>2950</v>
      </c>
      <c r="M166" s="26">
        <f t="shared" si="5"/>
        <v>708</v>
      </c>
      <c r="N166" s="8"/>
      <c r="O166" s="66"/>
      <c r="P166" s="29"/>
      <c r="Q166" s="28"/>
      <c r="R166" s="26"/>
    </row>
    <row r="167" spans="1:18">
      <c r="A167" s="2"/>
      <c r="B167" s="126"/>
      <c r="C167" s="6"/>
      <c r="D167" s="4"/>
      <c r="E167" s="66"/>
      <c r="F167" s="29"/>
      <c r="G167" s="26"/>
      <c r="H167" s="26"/>
      <c r="I167" s="7" t="s">
        <v>551</v>
      </c>
      <c r="J167" s="145" t="s">
        <v>11</v>
      </c>
      <c r="K167" s="29">
        <v>0.35</v>
      </c>
      <c r="L167" s="28">
        <f>stone</f>
        <v>1000</v>
      </c>
      <c r="M167" s="26">
        <f t="shared" si="5"/>
        <v>350</v>
      </c>
      <c r="N167" s="8"/>
      <c r="O167" s="66"/>
      <c r="P167" s="29"/>
      <c r="Q167" s="28"/>
      <c r="R167" s="26"/>
    </row>
    <row r="168" spans="1:18">
      <c r="A168" s="2"/>
      <c r="B168" s="126"/>
      <c r="C168" s="6"/>
      <c r="D168" s="4"/>
      <c r="E168" s="66"/>
      <c r="F168" s="29"/>
      <c r="G168" s="26"/>
      <c r="H168" s="26"/>
      <c r="I168" s="7" t="s">
        <v>67</v>
      </c>
      <c r="J168" s="145" t="s">
        <v>250</v>
      </c>
      <c r="K168" s="29">
        <v>2</v>
      </c>
      <c r="L168" s="28">
        <f>diesel</f>
        <v>177.6</v>
      </c>
      <c r="M168" s="26">
        <f t="shared" si="5"/>
        <v>355.2</v>
      </c>
      <c r="N168" s="8"/>
      <c r="O168" s="66"/>
      <c r="P168" s="29"/>
      <c r="Q168" s="28"/>
      <c r="R168" s="26"/>
    </row>
    <row r="169" spans="1:18">
      <c r="A169" s="2"/>
      <c r="B169" s="126"/>
      <c r="C169" s="6"/>
      <c r="D169" s="4"/>
      <c r="E169" s="66"/>
      <c r="F169" s="29"/>
      <c r="G169" s="26"/>
      <c r="H169" s="26"/>
      <c r="I169" s="7" t="s">
        <v>467</v>
      </c>
      <c r="J169" s="145" t="s">
        <v>250</v>
      </c>
      <c r="K169" s="29">
        <v>0.01</v>
      </c>
      <c r="L169" s="28">
        <f>lubricant</f>
        <v>459.84</v>
      </c>
      <c r="M169" s="26">
        <f t="shared" si="5"/>
        <v>4.5983999999999998</v>
      </c>
      <c r="N169" s="8"/>
      <c r="O169" s="66"/>
      <c r="P169" s="29"/>
      <c r="Q169" s="28"/>
      <c r="R169" s="26"/>
    </row>
    <row r="170" spans="1:18">
      <c r="A170" s="2"/>
      <c r="B170" s="5"/>
      <c r="C170" s="6"/>
      <c r="D170" s="4"/>
      <c r="E170" s="9"/>
      <c r="F170" s="30"/>
      <c r="G170" s="27"/>
      <c r="H170" s="27"/>
      <c r="I170" s="9"/>
      <c r="J170" s="10"/>
      <c r="K170" s="30"/>
      <c r="L170" s="28"/>
      <c r="M170" s="28"/>
      <c r="N170" s="8"/>
      <c r="O170" s="6"/>
      <c r="P170" s="30"/>
      <c r="Q170" s="28"/>
      <c r="R170" s="28"/>
    </row>
    <row r="171" spans="1:18">
      <c r="A171" s="2"/>
      <c r="B171" s="11"/>
      <c r="C171" s="6"/>
      <c r="D171" s="12"/>
      <c r="E171" s="59"/>
      <c r="F171" s="13"/>
      <c r="G171" s="13" t="s">
        <v>20</v>
      </c>
      <c r="H171" s="25">
        <f>SUM(H162:H170)</f>
        <v>236.89125000000001</v>
      </c>
      <c r="I171" s="760"/>
      <c r="J171" s="761"/>
      <c r="K171" s="14"/>
      <c r="L171" s="13" t="s">
        <v>21</v>
      </c>
      <c r="M171" s="25">
        <f>SUM(M162:M170)</f>
        <v>7727.0407399999995</v>
      </c>
      <c r="N171" s="3"/>
      <c r="O171" s="14"/>
      <c r="P171" s="14"/>
      <c r="Q171" s="13" t="s">
        <v>22</v>
      </c>
      <c r="R171" s="25">
        <f>SUM(R162:R170)</f>
        <v>540.79999999999995</v>
      </c>
    </row>
    <row r="172" spans="1:18">
      <c r="A172" s="2"/>
      <c r="B172" s="16" t="s">
        <v>13</v>
      </c>
      <c r="C172" s="14"/>
      <c r="D172" s="14"/>
      <c r="E172" s="14"/>
      <c r="F172" s="14"/>
      <c r="G172" s="13"/>
      <c r="H172" s="35">
        <f>M171+R171+H171</f>
        <v>8504.7319900000002</v>
      </c>
      <c r="I172" s="17"/>
      <c r="J172" s="14"/>
      <c r="K172" s="14"/>
      <c r="L172" s="13"/>
      <c r="M172" s="15"/>
      <c r="N172" s="14"/>
      <c r="O172" s="14"/>
      <c r="P172" s="14"/>
      <c r="Q172" s="14"/>
      <c r="R172" s="17"/>
    </row>
    <row r="173" spans="1:18">
      <c r="A173" s="2"/>
      <c r="B173" s="11" t="s">
        <v>25</v>
      </c>
      <c r="C173" s="4"/>
      <c r="D173" s="4"/>
      <c r="E173" s="4"/>
      <c r="F173" s="4"/>
      <c r="G173" s="18"/>
      <c r="H173" s="36">
        <v>0</v>
      </c>
      <c r="I173" s="20"/>
      <c r="J173" s="4" t="s">
        <v>26</v>
      </c>
      <c r="K173" s="4"/>
      <c r="L173" s="18"/>
      <c r="M173" s="19"/>
      <c r="N173" s="4"/>
      <c r="O173" s="4"/>
      <c r="P173" s="4"/>
      <c r="Q173" s="4"/>
      <c r="R173" s="20"/>
    </row>
    <row r="174" spans="1:18">
      <c r="A174" s="23"/>
      <c r="B174" s="11" t="s">
        <v>14</v>
      </c>
      <c r="C174" s="4"/>
      <c r="D174" s="4"/>
      <c r="E174" s="4"/>
      <c r="F174" s="4"/>
      <c r="G174" s="18"/>
      <c r="H174" s="36">
        <f>SUM(H172:H173)</f>
        <v>8504.7319900000002</v>
      </c>
      <c r="I174" s="20"/>
      <c r="J174" s="741"/>
      <c r="K174" s="742"/>
      <c r="L174" s="742"/>
      <c r="M174" s="742"/>
      <c r="N174" s="742"/>
      <c r="O174" s="742"/>
      <c r="P174" s="742"/>
      <c r="Q174" s="742"/>
      <c r="R174" s="743"/>
    </row>
    <row r="175" spans="1:18">
      <c r="A175" s="23"/>
      <c r="B175" s="11" t="s">
        <v>24</v>
      </c>
      <c r="C175" s="4"/>
      <c r="D175" s="4"/>
      <c r="E175" s="4"/>
      <c r="F175" s="4"/>
      <c r="G175" s="18"/>
      <c r="H175" s="36">
        <f>H174*15%</f>
        <v>1275.7097985</v>
      </c>
      <c r="I175" s="20"/>
      <c r="J175" s="744"/>
      <c r="K175" s="745"/>
      <c r="L175" s="745"/>
      <c r="M175" s="745"/>
      <c r="N175" s="745"/>
      <c r="O175" s="745"/>
      <c r="P175" s="745"/>
      <c r="Q175" s="745"/>
      <c r="R175" s="746"/>
    </row>
    <row r="176" spans="1:18">
      <c r="A176" s="23"/>
      <c r="B176" s="11" t="s">
        <v>15</v>
      </c>
      <c r="C176" s="4"/>
      <c r="D176" s="4"/>
      <c r="E176" s="4"/>
      <c r="F176" s="4"/>
      <c r="G176" s="21" t="s">
        <v>16</v>
      </c>
      <c r="H176" s="37">
        <f>H175+H174</f>
        <v>9780.4417885000003</v>
      </c>
      <c r="I176" s="38" t="str">
        <f>CONCATENATE("per ",C162)</f>
        <v>per cum</v>
      </c>
      <c r="J176" s="744"/>
      <c r="K176" s="745"/>
      <c r="L176" s="745"/>
      <c r="M176" s="745"/>
      <c r="N176" s="745"/>
      <c r="O176" s="745"/>
      <c r="P176" s="745"/>
      <c r="Q176" s="745"/>
      <c r="R176" s="746"/>
    </row>
    <row r="177" spans="1:18">
      <c r="A177" s="23"/>
      <c r="B177" s="11" t="s">
        <v>18</v>
      </c>
      <c r="C177" s="4" t="s">
        <v>19</v>
      </c>
      <c r="D177" s="4"/>
      <c r="E177" s="4"/>
      <c r="F177" s="4"/>
      <c r="G177" s="21" t="s">
        <v>16</v>
      </c>
      <c r="H177" s="37">
        <f>CEILING(H176,0.5)</f>
        <v>9780.5</v>
      </c>
      <c r="I177" s="38" t="str">
        <f>CONCATENATE("per ",C162)</f>
        <v>per cum</v>
      </c>
      <c r="J177" s="744"/>
      <c r="K177" s="745"/>
      <c r="L177" s="745"/>
      <c r="M177" s="745"/>
      <c r="N177" s="745"/>
      <c r="O177" s="745"/>
      <c r="P177" s="745"/>
      <c r="Q177" s="745"/>
      <c r="R177" s="746"/>
    </row>
    <row r="178" spans="1:18">
      <c r="A178" s="23"/>
      <c r="B178" s="11"/>
      <c r="C178" s="4"/>
      <c r="D178" s="4"/>
      <c r="E178" s="4"/>
      <c r="F178" s="4"/>
      <c r="G178" s="24" t="s">
        <v>17</v>
      </c>
      <c r="H178" s="37">
        <f>H177/exr</f>
        <v>75.234615384615381</v>
      </c>
      <c r="I178" s="38" t="str">
        <f>CONCATENATE("per ",C162)</f>
        <v>per cum</v>
      </c>
      <c r="J178" s="747"/>
      <c r="K178" s="748"/>
      <c r="L178" s="748"/>
      <c r="M178" s="748"/>
      <c r="N178" s="748"/>
      <c r="O178" s="748"/>
      <c r="P178" s="748"/>
      <c r="Q178" s="748"/>
      <c r="R178" s="749"/>
    </row>
    <row r="179" spans="1:18">
      <c r="A179" s="39"/>
      <c r="B179" s="40"/>
      <c r="C179" s="41"/>
      <c r="D179" s="41"/>
      <c r="E179" s="41"/>
      <c r="F179" s="41"/>
      <c r="G179" s="149" t="s">
        <v>460</v>
      </c>
      <c r="H179" s="150">
        <f>CEILING(SUM(M163,M168,M169,R163,R164,R165)/H172,0.0025)</f>
        <v>0.63250000000000006</v>
      </c>
      <c r="I179" s="42"/>
      <c r="J179" s="43"/>
      <c r="K179" s="43"/>
      <c r="L179" s="43"/>
      <c r="M179" s="43"/>
      <c r="N179" s="43"/>
      <c r="O179" s="43"/>
      <c r="P179" s="43"/>
      <c r="Q179" s="43"/>
      <c r="R179" s="44"/>
    </row>
    <row r="181" spans="1:18">
      <c r="A181" s="693" t="s">
        <v>0</v>
      </c>
      <c r="B181" s="695" t="s">
        <v>1</v>
      </c>
      <c r="C181" s="695" t="s">
        <v>2</v>
      </c>
      <c r="D181" s="697" t="s">
        <v>3</v>
      </c>
      <c r="E181" s="698"/>
      <c r="F181" s="698"/>
      <c r="G181" s="698"/>
      <c r="H181" s="698"/>
      <c r="I181" s="699" t="s">
        <v>4</v>
      </c>
      <c r="J181" s="700"/>
      <c r="K181" s="700"/>
      <c r="L181" s="700"/>
      <c r="M181" s="700"/>
      <c r="N181" s="698" t="s">
        <v>5</v>
      </c>
      <c r="O181" s="698"/>
      <c r="P181" s="698"/>
      <c r="Q181" s="698"/>
      <c r="R181" s="698"/>
    </row>
    <row r="182" spans="1:18">
      <c r="A182" s="694"/>
      <c r="B182" s="759"/>
      <c r="C182" s="696"/>
      <c r="D182" s="45" t="s">
        <v>6</v>
      </c>
      <c r="E182" s="46" t="s">
        <v>2</v>
      </c>
      <c r="F182" s="46" t="s">
        <v>7</v>
      </c>
      <c r="G182" s="46" t="s">
        <v>8</v>
      </c>
      <c r="H182" s="46" t="s">
        <v>9</v>
      </c>
      <c r="I182" s="46" t="s">
        <v>10</v>
      </c>
      <c r="J182" s="46" t="s">
        <v>2</v>
      </c>
      <c r="K182" s="46" t="s">
        <v>7</v>
      </c>
      <c r="L182" s="46" t="s">
        <v>8</v>
      </c>
      <c r="M182" s="47" t="s">
        <v>9</v>
      </c>
      <c r="N182" s="46" t="s">
        <v>10</v>
      </c>
      <c r="O182" s="46" t="s">
        <v>2</v>
      </c>
      <c r="P182" s="46" t="s">
        <v>7</v>
      </c>
      <c r="Q182" s="46" t="s">
        <v>8</v>
      </c>
      <c r="R182" s="46" t="s">
        <v>9</v>
      </c>
    </row>
    <row r="183" spans="1:18">
      <c r="A183" s="33" t="s">
        <v>23</v>
      </c>
      <c r="B183" s="127"/>
      <c r="C183" s="31"/>
      <c r="D183" s="31"/>
      <c r="E183" s="31"/>
      <c r="F183" s="31"/>
      <c r="G183" s="31"/>
      <c r="H183" s="31"/>
      <c r="I183" s="31"/>
      <c r="J183" s="31"/>
      <c r="K183" s="31"/>
      <c r="L183" s="31"/>
      <c r="M183" s="31"/>
      <c r="N183" s="31"/>
      <c r="O183" s="31"/>
      <c r="P183" s="31"/>
      <c r="Q183" s="31"/>
      <c r="R183" s="32"/>
    </row>
    <row r="184" spans="1:18">
      <c r="A184" s="34">
        <f>A162+1</f>
        <v>10</v>
      </c>
      <c r="B184" s="713" t="s">
        <v>818</v>
      </c>
      <c r="C184" s="66" t="s">
        <v>47</v>
      </c>
      <c r="D184" s="4"/>
      <c r="E184" s="6"/>
      <c r="F184" s="29"/>
      <c r="G184" s="26"/>
      <c r="H184" s="26"/>
      <c r="I184" s="6"/>
      <c r="J184" s="6"/>
      <c r="K184" s="29"/>
      <c r="L184" s="26"/>
      <c r="M184" s="26"/>
      <c r="N184" s="6"/>
      <c r="O184" s="6"/>
      <c r="P184" s="29"/>
      <c r="Q184" s="26"/>
      <c r="R184" s="26"/>
    </row>
    <row r="185" spans="1:18">
      <c r="A185" s="2"/>
      <c r="B185" s="714"/>
      <c r="C185" s="124"/>
      <c r="D185" s="4" t="s">
        <v>75</v>
      </c>
      <c r="E185" s="66" t="s">
        <v>81</v>
      </c>
      <c r="F185" s="29">
        <f>0.04/8</f>
        <v>5.0000000000000001E-3</v>
      </c>
      <c r="G185" s="26">
        <f>fr</f>
        <v>1100</v>
      </c>
      <c r="H185" s="26">
        <f>F185*G185</f>
        <v>5.5</v>
      </c>
      <c r="I185" s="7" t="s">
        <v>476</v>
      </c>
      <c r="J185" s="145" t="s">
        <v>45</v>
      </c>
      <c r="K185" s="29">
        <v>0.01</v>
      </c>
      <c r="L185" s="28">
        <f>Drillbit_32</f>
        <v>3709.37</v>
      </c>
      <c r="M185" s="26">
        <f>K185*L185</f>
        <v>37.093699999999998</v>
      </c>
      <c r="N185" s="8" t="s">
        <v>496</v>
      </c>
      <c r="O185" s="66" t="s">
        <v>101</v>
      </c>
      <c r="P185" s="29">
        <v>0.05</v>
      </c>
      <c r="Q185" s="28">
        <f>compressor</f>
        <v>270.39999999999998</v>
      </c>
      <c r="R185" s="26">
        <f t="shared" ref="R185:R191" si="6">P185*Q185</f>
        <v>13.52</v>
      </c>
    </row>
    <row r="186" spans="1:18">
      <c r="A186" s="2"/>
      <c r="B186" s="714"/>
      <c r="C186" s="6"/>
      <c r="D186" s="4" t="s">
        <v>96</v>
      </c>
      <c r="E186" s="66" t="s">
        <v>81</v>
      </c>
      <c r="F186" s="29">
        <f>0.14/8</f>
        <v>1.7500000000000002E-2</v>
      </c>
      <c r="G186" s="26">
        <f>sr</f>
        <v>1100</v>
      </c>
      <c r="H186" s="26">
        <f>F186*G186</f>
        <v>19.250000000000004</v>
      </c>
      <c r="I186" s="7" t="s">
        <v>396</v>
      </c>
      <c r="J186" s="145" t="s">
        <v>45</v>
      </c>
      <c r="K186" s="29">
        <v>0.01</v>
      </c>
      <c r="L186" s="28">
        <f>drill_rod</f>
        <v>6733.47</v>
      </c>
      <c r="M186" s="26">
        <f>K186*L186</f>
        <v>67.334699999999998</v>
      </c>
      <c r="N186" s="8" t="s">
        <v>497</v>
      </c>
      <c r="O186" s="66" t="s">
        <v>101</v>
      </c>
      <c r="P186" s="29">
        <v>0.04</v>
      </c>
      <c r="Q186" s="28">
        <f>hand_drill</f>
        <v>75.709999999999994</v>
      </c>
      <c r="R186" s="26">
        <f t="shared" si="6"/>
        <v>3.0284</v>
      </c>
    </row>
    <row r="187" spans="1:18">
      <c r="A187" s="2"/>
      <c r="B187" s="126"/>
      <c r="C187" s="6"/>
      <c r="D187" s="4" t="s">
        <v>97</v>
      </c>
      <c r="E187" s="66" t="s">
        <v>81</v>
      </c>
      <c r="F187" s="29">
        <f>0.04/8</f>
        <v>5.0000000000000001E-3</v>
      </c>
      <c r="G187" s="26">
        <f>ur</f>
        <v>850</v>
      </c>
      <c r="H187" s="26">
        <f>F187*G187</f>
        <v>4.25</v>
      </c>
      <c r="I187" s="7" t="str">
        <f>'Basic Rates'!B82</f>
        <v>HDPE pipe of 50 mm</v>
      </c>
      <c r="J187" s="145" t="s">
        <v>47</v>
      </c>
      <c r="K187" s="29">
        <v>1</v>
      </c>
      <c r="L187" s="28">
        <f>HDPE</f>
        <v>278.83999999999997</v>
      </c>
      <c r="M187" s="26">
        <f>K187*L187</f>
        <v>278.83999999999997</v>
      </c>
      <c r="N187" s="8" t="s">
        <v>498</v>
      </c>
      <c r="O187" s="66" t="s">
        <v>101</v>
      </c>
      <c r="P187" s="29">
        <v>0.05</v>
      </c>
      <c r="Q187" s="28">
        <f>fan</f>
        <v>260.67</v>
      </c>
      <c r="R187" s="26">
        <f t="shared" si="6"/>
        <v>13.033500000000002</v>
      </c>
    </row>
    <row r="188" spans="1:18">
      <c r="A188" s="2"/>
      <c r="B188" s="126"/>
      <c r="C188" s="6"/>
      <c r="D188" s="4"/>
      <c r="E188" s="66"/>
      <c r="F188" s="29"/>
      <c r="G188" s="26"/>
      <c r="H188" s="26"/>
      <c r="I188" s="7"/>
      <c r="J188" s="145"/>
      <c r="K188" s="29"/>
      <c r="L188" s="28"/>
      <c r="M188" s="26"/>
      <c r="N188" s="8" t="s">
        <v>569</v>
      </c>
      <c r="O188" s="66" t="s">
        <v>101</v>
      </c>
      <c r="P188" s="29">
        <v>0.05</v>
      </c>
      <c r="Q188" s="154">
        <v>50</v>
      </c>
      <c r="R188" s="26">
        <f t="shared" si="6"/>
        <v>2.5</v>
      </c>
    </row>
    <row r="189" spans="1:18">
      <c r="A189" s="2"/>
      <c r="B189" s="126"/>
      <c r="C189" s="6"/>
      <c r="D189" s="4"/>
      <c r="E189" s="66"/>
      <c r="F189" s="29"/>
      <c r="G189" s="26"/>
      <c r="H189" s="26"/>
      <c r="I189" s="7"/>
      <c r="J189" s="145"/>
      <c r="K189" s="29"/>
      <c r="L189" s="28"/>
      <c r="M189" s="26"/>
      <c r="N189" s="8" t="s">
        <v>570</v>
      </c>
      <c r="O189" s="66" t="s">
        <v>101</v>
      </c>
      <c r="P189" s="29">
        <v>0.05</v>
      </c>
      <c r="Q189" s="154">
        <f>lubricant</f>
        <v>459.84</v>
      </c>
      <c r="R189" s="26">
        <f t="shared" si="6"/>
        <v>22.992000000000001</v>
      </c>
    </row>
    <row r="190" spans="1:18">
      <c r="A190" s="2"/>
      <c r="B190" s="126"/>
      <c r="C190" s="6"/>
      <c r="D190" s="4"/>
      <c r="E190" s="66"/>
      <c r="F190" s="29"/>
      <c r="G190" s="26"/>
      <c r="H190" s="26"/>
      <c r="I190" s="7"/>
      <c r="J190" s="145"/>
      <c r="K190" s="29"/>
      <c r="L190" s="28"/>
      <c r="M190" s="26"/>
      <c r="N190" s="8" t="s">
        <v>571</v>
      </c>
      <c r="O190" s="66" t="s">
        <v>101</v>
      </c>
      <c r="P190" s="29">
        <v>0.04</v>
      </c>
      <c r="Q190" s="28">
        <f>wheel_loader</f>
        <v>1622.4</v>
      </c>
      <c r="R190" s="26">
        <f t="shared" si="6"/>
        <v>64.896000000000001</v>
      </c>
    </row>
    <row r="191" spans="1:18">
      <c r="A191" s="2"/>
      <c r="B191" s="126"/>
      <c r="C191" s="6"/>
      <c r="D191" s="4"/>
      <c r="E191" s="66"/>
      <c r="F191" s="29"/>
      <c r="G191" s="26"/>
      <c r="H191" s="26"/>
      <c r="I191" s="7"/>
      <c r="J191" s="145"/>
      <c r="K191" s="29"/>
      <c r="L191" s="28"/>
      <c r="M191" s="26"/>
      <c r="N191" s="8" t="s">
        <v>572</v>
      </c>
      <c r="O191" s="66" t="s">
        <v>101</v>
      </c>
      <c r="P191" s="29">
        <v>0.05</v>
      </c>
      <c r="Q191" s="154">
        <v>130</v>
      </c>
      <c r="R191" s="26">
        <f t="shared" si="6"/>
        <v>6.5</v>
      </c>
    </row>
    <row r="192" spans="1:18">
      <c r="A192" s="2"/>
      <c r="B192" s="5"/>
      <c r="C192" s="6"/>
      <c r="D192" s="4"/>
      <c r="E192" s="9"/>
      <c r="F192" s="30"/>
      <c r="G192" s="27"/>
      <c r="H192" s="27"/>
      <c r="I192" s="9"/>
      <c r="J192" s="10"/>
      <c r="K192" s="30"/>
      <c r="L192" s="28"/>
      <c r="M192" s="28"/>
      <c r="N192" s="8"/>
      <c r="O192" s="6"/>
      <c r="P192" s="30"/>
      <c r="Q192" s="28"/>
      <c r="R192" s="28"/>
    </row>
    <row r="193" spans="1:18">
      <c r="A193" s="2"/>
      <c r="B193" s="11"/>
      <c r="C193" s="6"/>
      <c r="D193" s="12"/>
      <c r="E193" s="59"/>
      <c r="F193" s="13"/>
      <c r="G193" s="13" t="s">
        <v>20</v>
      </c>
      <c r="H193" s="25">
        <f>SUM(H184:H192)</f>
        <v>29.000000000000004</v>
      </c>
      <c r="I193" s="703"/>
      <c r="J193" s="703"/>
      <c r="K193" s="14"/>
      <c r="L193" s="13" t="s">
        <v>21</v>
      </c>
      <c r="M193" s="25">
        <f>SUM(M184:M192)</f>
        <v>383.26839999999999</v>
      </c>
      <c r="N193" s="3"/>
      <c r="O193" s="14"/>
      <c r="P193" s="14"/>
      <c r="Q193" s="13" t="s">
        <v>22</v>
      </c>
      <c r="R193" s="25">
        <f>SUM(R184:R192)</f>
        <v>126.46990000000001</v>
      </c>
    </row>
    <row r="194" spans="1:18">
      <c r="A194" s="2"/>
      <c r="B194" s="16" t="s">
        <v>13</v>
      </c>
      <c r="C194" s="14"/>
      <c r="D194" s="14"/>
      <c r="E194" s="14"/>
      <c r="F194" s="14"/>
      <c r="G194" s="13"/>
      <c r="H194" s="35">
        <f>M193+R193+H193</f>
        <v>538.73829999999998</v>
      </c>
      <c r="I194" s="17"/>
      <c r="J194" s="14"/>
      <c r="K194" s="14"/>
      <c r="L194" s="13"/>
      <c r="M194" s="15"/>
      <c r="N194" s="14"/>
      <c r="O194" s="14"/>
      <c r="P194" s="14"/>
      <c r="Q194" s="14"/>
      <c r="R194" s="17"/>
    </row>
    <row r="195" spans="1:18">
      <c r="A195" s="2"/>
      <c r="B195" s="11" t="s">
        <v>25</v>
      </c>
      <c r="C195" s="4"/>
      <c r="D195" s="4"/>
      <c r="E195" s="4"/>
      <c r="F195" s="4"/>
      <c r="G195" s="18"/>
      <c r="H195" s="36">
        <v>0</v>
      </c>
      <c r="I195" s="20"/>
      <c r="J195" s="4" t="s">
        <v>26</v>
      </c>
      <c r="K195" s="4"/>
      <c r="L195" s="18"/>
      <c r="M195" s="19"/>
      <c r="N195" s="4"/>
      <c r="O195" s="4"/>
      <c r="P195" s="4"/>
      <c r="Q195" s="4"/>
      <c r="R195" s="20"/>
    </row>
    <row r="196" spans="1:18">
      <c r="A196" s="23"/>
      <c r="B196" s="11" t="s">
        <v>14</v>
      </c>
      <c r="C196" s="4"/>
      <c r="D196" s="4"/>
      <c r="E196" s="4"/>
      <c r="F196" s="4"/>
      <c r="G196" s="18"/>
      <c r="H196" s="36">
        <f>SUM(H194:H195)</f>
        <v>538.73829999999998</v>
      </c>
      <c r="I196" s="20"/>
      <c r="J196" s="741"/>
      <c r="K196" s="742"/>
      <c r="L196" s="742"/>
      <c r="M196" s="742"/>
      <c r="N196" s="742"/>
      <c r="O196" s="742"/>
      <c r="P196" s="742"/>
      <c r="Q196" s="742"/>
      <c r="R196" s="743"/>
    </row>
    <row r="197" spans="1:18">
      <c r="A197" s="23"/>
      <c r="B197" s="11" t="s">
        <v>24</v>
      </c>
      <c r="C197" s="4"/>
      <c r="D197" s="4"/>
      <c r="E197" s="4"/>
      <c r="F197" s="4"/>
      <c r="G197" s="18"/>
      <c r="H197" s="36">
        <f>H196*15%</f>
        <v>80.810744999999997</v>
      </c>
      <c r="I197" s="20"/>
      <c r="J197" s="744"/>
      <c r="K197" s="745"/>
      <c r="L197" s="745"/>
      <c r="M197" s="745"/>
      <c r="N197" s="745"/>
      <c r="O197" s="745"/>
      <c r="P197" s="745"/>
      <c r="Q197" s="745"/>
      <c r="R197" s="746"/>
    </row>
    <row r="198" spans="1:18">
      <c r="A198" s="23"/>
      <c r="B198" s="11" t="s">
        <v>15</v>
      </c>
      <c r="C198" s="4"/>
      <c r="D198" s="4"/>
      <c r="E198" s="4"/>
      <c r="F198" s="4"/>
      <c r="G198" s="21" t="s">
        <v>16</v>
      </c>
      <c r="H198" s="37">
        <f>H197+H196</f>
        <v>619.54904499999998</v>
      </c>
      <c r="I198" s="38" t="str">
        <f>CONCATENATE("per ",C184)</f>
        <v>per m</v>
      </c>
      <c r="J198" s="744"/>
      <c r="K198" s="745"/>
      <c r="L198" s="745"/>
      <c r="M198" s="745"/>
      <c r="N198" s="745"/>
      <c r="O198" s="745"/>
      <c r="P198" s="745"/>
      <c r="Q198" s="745"/>
      <c r="R198" s="746"/>
    </row>
    <row r="199" spans="1:18">
      <c r="A199" s="23"/>
      <c r="B199" s="11" t="s">
        <v>18</v>
      </c>
      <c r="C199" s="4" t="s">
        <v>19</v>
      </c>
      <c r="D199" s="4"/>
      <c r="E199" s="4"/>
      <c r="F199" s="4"/>
      <c r="G199" s="21" t="s">
        <v>16</v>
      </c>
      <c r="H199" s="37">
        <f>CEILING(H198,0.5)</f>
        <v>620</v>
      </c>
      <c r="I199" s="38" t="str">
        <f>CONCATENATE("per ",C184)</f>
        <v>per m</v>
      </c>
      <c r="J199" s="744"/>
      <c r="K199" s="745"/>
      <c r="L199" s="745"/>
      <c r="M199" s="745"/>
      <c r="N199" s="745"/>
      <c r="O199" s="745"/>
      <c r="P199" s="745"/>
      <c r="Q199" s="745"/>
      <c r="R199" s="746"/>
    </row>
    <row r="200" spans="1:18">
      <c r="A200" s="23"/>
      <c r="B200" s="11"/>
      <c r="C200" s="4"/>
      <c r="D200" s="4"/>
      <c r="E200" s="4"/>
      <c r="F200" s="4"/>
      <c r="G200" s="24" t="s">
        <v>17</v>
      </c>
      <c r="H200" s="37">
        <f>H199/exr</f>
        <v>4.7692307692307692</v>
      </c>
      <c r="I200" s="38" t="str">
        <f>CONCATENATE("per ",C184)</f>
        <v>per m</v>
      </c>
      <c r="J200" s="747"/>
      <c r="K200" s="748"/>
      <c r="L200" s="748"/>
      <c r="M200" s="748"/>
      <c r="N200" s="748"/>
      <c r="O200" s="748"/>
      <c r="P200" s="748"/>
      <c r="Q200" s="748"/>
      <c r="R200" s="749"/>
    </row>
    <row r="201" spans="1:18">
      <c r="A201" s="39"/>
      <c r="B201" s="40"/>
      <c r="C201" s="41"/>
      <c r="D201" s="41"/>
      <c r="E201" s="41"/>
      <c r="F201" s="41"/>
      <c r="G201" s="149" t="s">
        <v>460</v>
      </c>
      <c r="H201" s="150">
        <f>CEILING(SUM(M193,R193)/H194,0.0025)</f>
        <v>0.94750000000000001</v>
      </c>
      <c r="I201" s="42"/>
      <c r="J201" s="43"/>
      <c r="K201" s="43"/>
      <c r="L201" s="43"/>
      <c r="M201" s="43"/>
      <c r="N201" s="43"/>
      <c r="O201" s="43"/>
      <c r="P201" s="43"/>
      <c r="Q201" s="43"/>
      <c r="R201" s="44"/>
    </row>
    <row r="203" spans="1:18">
      <c r="A203" s="693" t="s">
        <v>0</v>
      </c>
      <c r="B203" s="695" t="s">
        <v>1</v>
      </c>
      <c r="C203" s="695" t="s">
        <v>2</v>
      </c>
      <c r="D203" s="697" t="s">
        <v>3</v>
      </c>
      <c r="E203" s="698"/>
      <c r="F203" s="698"/>
      <c r="G203" s="698"/>
      <c r="H203" s="698"/>
      <c r="I203" s="699" t="s">
        <v>4</v>
      </c>
      <c r="J203" s="700"/>
      <c r="K203" s="700"/>
      <c r="L203" s="700"/>
      <c r="M203" s="700"/>
      <c r="N203" s="698" t="s">
        <v>5</v>
      </c>
      <c r="O203" s="698"/>
      <c r="P203" s="698"/>
      <c r="Q203" s="698"/>
      <c r="R203" s="698"/>
    </row>
    <row r="204" spans="1:18">
      <c r="A204" s="694"/>
      <c r="B204" s="759"/>
      <c r="C204" s="696"/>
      <c r="D204" s="45" t="s">
        <v>6</v>
      </c>
      <c r="E204" s="46" t="s">
        <v>2</v>
      </c>
      <c r="F204" s="46" t="s">
        <v>7</v>
      </c>
      <c r="G204" s="46" t="s">
        <v>8</v>
      </c>
      <c r="H204" s="46" t="s">
        <v>9</v>
      </c>
      <c r="I204" s="46" t="s">
        <v>10</v>
      </c>
      <c r="J204" s="46" t="s">
        <v>2</v>
      </c>
      <c r="K204" s="46" t="s">
        <v>7</v>
      </c>
      <c r="L204" s="46" t="s">
        <v>8</v>
      </c>
      <c r="M204" s="47" t="s">
        <v>9</v>
      </c>
      <c r="N204" s="46" t="s">
        <v>10</v>
      </c>
      <c r="O204" s="46" t="s">
        <v>2</v>
      </c>
      <c r="P204" s="46" t="s">
        <v>7</v>
      </c>
      <c r="Q204" s="46" t="s">
        <v>8</v>
      </c>
      <c r="R204" s="46" t="s">
        <v>9</v>
      </c>
    </row>
    <row r="205" spans="1:18">
      <c r="A205" s="33" t="s">
        <v>23</v>
      </c>
      <c r="B205" s="127"/>
      <c r="C205" s="31"/>
      <c r="D205" s="31"/>
      <c r="E205" s="31"/>
      <c r="F205" s="31"/>
      <c r="G205" s="31"/>
      <c r="H205" s="31"/>
      <c r="I205" s="31"/>
      <c r="J205" s="31"/>
      <c r="K205" s="31"/>
      <c r="L205" s="31"/>
      <c r="M205" s="31"/>
      <c r="N205" s="31"/>
      <c r="O205" s="31"/>
      <c r="P205" s="31"/>
      <c r="Q205" s="31"/>
      <c r="R205" s="32"/>
    </row>
    <row r="206" spans="1:18">
      <c r="A206" s="34">
        <f>A184+1</f>
        <v>11</v>
      </c>
      <c r="B206" s="713" t="s">
        <v>573</v>
      </c>
      <c r="C206" s="66" t="s">
        <v>47</v>
      </c>
      <c r="D206" s="4"/>
      <c r="E206" s="6"/>
      <c r="F206" s="29"/>
      <c r="G206" s="26"/>
      <c r="H206" s="26"/>
      <c r="I206" s="6"/>
      <c r="J206" s="6"/>
      <c r="K206" s="29"/>
      <c r="L206" s="26"/>
      <c r="M206" s="26"/>
      <c r="N206" s="6"/>
      <c r="O206" s="6"/>
      <c r="P206" s="29"/>
      <c r="Q206" s="26"/>
      <c r="R206" s="26"/>
    </row>
    <row r="207" spans="1:18">
      <c r="A207" s="2"/>
      <c r="B207" s="714"/>
      <c r="C207" s="124"/>
      <c r="D207" s="4" t="s">
        <v>75</v>
      </c>
      <c r="E207" s="66" t="s">
        <v>81</v>
      </c>
      <c r="F207" s="29">
        <v>0</v>
      </c>
      <c r="G207" s="26">
        <f>fr</f>
        <v>1100</v>
      </c>
      <c r="H207" s="26">
        <f>fr</f>
        <v>1100</v>
      </c>
      <c r="I207" s="7" t="s">
        <v>575</v>
      </c>
      <c r="J207" s="145" t="s">
        <v>45</v>
      </c>
      <c r="K207" s="29">
        <v>1</v>
      </c>
      <c r="L207" s="28">
        <f>gipipe</f>
        <v>973.84</v>
      </c>
      <c r="M207" s="26">
        <f>K207*L207</f>
        <v>973.84</v>
      </c>
      <c r="N207" s="8" t="s">
        <v>574</v>
      </c>
      <c r="O207" s="66" t="s">
        <v>101</v>
      </c>
      <c r="P207" s="29">
        <v>0.01</v>
      </c>
      <c r="Q207" s="28">
        <f>welding_machine</f>
        <v>108.16</v>
      </c>
      <c r="R207" s="26">
        <f>P207*Q207</f>
        <v>1.0815999999999999</v>
      </c>
    </row>
    <row r="208" spans="1:18">
      <c r="A208" s="2"/>
      <c r="B208" s="714"/>
      <c r="C208" s="6"/>
      <c r="D208" s="4" t="s">
        <v>96</v>
      </c>
      <c r="E208" s="66" t="s">
        <v>81</v>
      </c>
      <c r="F208" s="29">
        <f>0.08/8</f>
        <v>0.01</v>
      </c>
      <c r="G208" s="26">
        <f>sr</f>
        <v>1100</v>
      </c>
      <c r="H208" s="26">
        <f>F208*G208</f>
        <v>11</v>
      </c>
      <c r="I208" s="7"/>
      <c r="J208" s="145"/>
      <c r="K208" s="29"/>
      <c r="L208" s="28"/>
      <c r="M208" s="26"/>
      <c r="N208" s="8"/>
      <c r="O208" s="145"/>
      <c r="P208" s="88"/>
      <c r="Q208" s="28"/>
      <c r="R208" s="28"/>
    </row>
    <row r="209" spans="1:18">
      <c r="A209" s="2"/>
      <c r="B209" s="126"/>
      <c r="C209" s="6"/>
      <c r="D209" s="4" t="s">
        <v>97</v>
      </c>
      <c r="E209" s="66" t="s">
        <v>81</v>
      </c>
      <c r="F209" s="29">
        <f>0.16/8</f>
        <v>0.02</v>
      </c>
      <c r="G209" s="26">
        <f>ur</f>
        <v>850</v>
      </c>
      <c r="H209" s="26">
        <f>F209*G209</f>
        <v>17</v>
      </c>
      <c r="I209" s="7"/>
      <c r="J209" s="145"/>
      <c r="K209" s="29"/>
      <c r="L209" s="28"/>
      <c r="M209" s="26"/>
      <c r="N209" s="8"/>
      <c r="O209" s="145"/>
      <c r="P209" s="88"/>
      <c r="Q209" s="28"/>
      <c r="R209" s="28"/>
    </row>
    <row r="210" spans="1:18">
      <c r="A210" s="2"/>
      <c r="B210" s="126"/>
      <c r="C210" s="6"/>
      <c r="D210" s="4"/>
      <c r="E210" s="66"/>
      <c r="F210" s="29"/>
      <c r="G210" s="26"/>
      <c r="H210" s="26"/>
      <c r="I210" s="7"/>
      <c r="J210" s="145"/>
      <c r="K210" s="29"/>
      <c r="L210" s="28"/>
      <c r="M210" s="26"/>
      <c r="N210" s="8"/>
      <c r="O210" s="145"/>
      <c r="P210" s="88"/>
      <c r="Q210" s="28"/>
      <c r="R210" s="28"/>
    </row>
    <row r="211" spans="1:18">
      <c r="A211" s="2"/>
      <c r="B211" s="126"/>
      <c r="C211" s="6"/>
      <c r="D211" s="4"/>
      <c r="E211" s="66"/>
      <c r="F211" s="29"/>
      <c r="G211" s="26"/>
      <c r="H211" s="26"/>
      <c r="I211" s="7"/>
      <c r="J211" s="145"/>
      <c r="K211" s="29"/>
      <c r="L211" s="28"/>
      <c r="M211" s="26"/>
      <c r="N211" s="8"/>
      <c r="O211" s="145"/>
      <c r="P211" s="88"/>
      <c r="Q211" s="28"/>
      <c r="R211" s="28"/>
    </row>
    <row r="212" spans="1:18">
      <c r="A212" s="2"/>
      <c r="B212" s="126"/>
      <c r="C212" s="6"/>
      <c r="D212" s="4"/>
      <c r="E212" s="66"/>
      <c r="F212" s="29"/>
      <c r="G212" s="26"/>
      <c r="H212" s="26"/>
      <c r="I212" s="7"/>
      <c r="J212" s="145"/>
      <c r="K212" s="29"/>
      <c r="L212" s="28"/>
      <c r="M212" s="26"/>
      <c r="N212" s="8"/>
      <c r="O212" s="145"/>
      <c r="P212" s="88"/>
      <c r="Q212" s="28"/>
      <c r="R212" s="28"/>
    </row>
    <row r="213" spans="1:18">
      <c r="A213" s="2"/>
      <c r="B213" s="126"/>
      <c r="C213" s="6"/>
      <c r="D213" s="4"/>
      <c r="E213" s="66"/>
      <c r="F213" s="29"/>
      <c r="G213" s="26"/>
      <c r="H213" s="26"/>
      <c r="I213" s="7"/>
      <c r="J213" s="145"/>
      <c r="K213" s="29"/>
      <c r="L213" s="28"/>
      <c r="M213" s="26"/>
      <c r="N213" s="8"/>
      <c r="O213" s="145"/>
      <c r="P213" s="88"/>
      <c r="Q213" s="28"/>
      <c r="R213" s="28"/>
    </row>
    <row r="214" spans="1:18">
      <c r="A214" s="2"/>
      <c r="B214" s="5"/>
      <c r="C214" s="6"/>
      <c r="D214" s="4"/>
      <c r="E214" s="9"/>
      <c r="F214" s="30"/>
      <c r="G214" s="27"/>
      <c r="H214" s="27"/>
      <c r="I214" s="9"/>
      <c r="J214" s="10"/>
      <c r="K214" s="30"/>
      <c r="L214" s="28"/>
      <c r="M214" s="28"/>
      <c r="N214" s="8"/>
      <c r="O214" s="6"/>
      <c r="P214" s="30"/>
      <c r="Q214" s="28"/>
      <c r="R214" s="28"/>
    </row>
    <row r="215" spans="1:18">
      <c r="A215" s="2"/>
      <c r="B215" s="11"/>
      <c r="C215" s="6"/>
      <c r="D215" s="12"/>
      <c r="E215" s="59"/>
      <c r="F215" s="13"/>
      <c r="G215" s="13" t="s">
        <v>20</v>
      </c>
      <c r="H215" s="25">
        <f>SUM(H206:H214)</f>
        <v>1128</v>
      </c>
      <c r="I215" s="703"/>
      <c r="J215" s="703"/>
      <c r="K215" s="14"/>
      <c r="L215" s="13" t="s">
        <v>21</v>
      </c>
      <c r="M215" s="25">
        <f>SUM(M206:M214)</f>
        <v>973.84</v>
      </c>
      <c r="N215" s="3"/>
      <c r="O215" s="14"/>
      <c r="P215" s="14"/>
      <c r="Q215" s="13" t="s">
        <v>22</v>
      </c>
      <c r="R215" s="25">
        <f>SUM(R206:R214)</f>
        <v>1.0815999999999999</v>
      </c>
    </row>
    <row r="216" spans="1:18">
      <c r="A216" s="2"/>
      <c r="B216" s="16" t="s">
        <v>13</v>
      </c>
      <c r="C216" s="14"/>
      <c r="D216" s="14"/>
      <c r="E216" s="14"/>
      <c r="F216" s="14"/>
      <c r="G216" s="13"/>
      <c r="H216" s="35">
        <f>M215+R215+H215</f>
        <v>2102.9216000000001</v>
      </c>
      <c r="I216" s="17"/>
      <c r="J216" s="14"/>
      <c r="K216" s="14"/>
      <c r="L216" s="13"/>
      <c r="M216" s="15"/>
      <c r="N216" s="14"/>
      <c r="O216" s="14"/>
      <c r="P216" s="14"/>
      <c r="Q216" s="14"/>
      <c r="R216" s="17"/>
    </row>
    <row r="217" spans="1:18">
      <c r="A217" s="2"/>
      <c r="B217" s="11" t="s">
        <v>25</v>
      </c>
      <c r="C217" s="4"/>
      <c r="D217" s="4"/>
      <c r="E217" s="4"/>
      <c r="F217" s="4"/>
      <c r="G217" s="18"/>
      <c r="H217" s="36">
        <v>0</v>
      </c>
      <c r="I217" s="20"/>
      <c r="J217" s="4" t="s">
        <v>26</v>
      </c>
      <c r="K217" s="4"/>
      <c r="L217" s="18"/>
      <c r="M217" s="19"/>
      <c r="N217" s="4"/>
      <c r="O217" s="4"/>
      <c r="P217" s="4"/>
      <c r="Q217" s="4"/>
      <c r="R217" s="20"/>
    </row>
    <row r="218" spans="1:18">
      <c r="A218" s="23"/>
      <c r="B218" s="11" t="s">
        <v>14</v>
      </c>
      <c r="C218" s="4"/>
      <c r="D218" s="4"/>
      <c r="E218" s="4"/>
      <c r="F218" s="4"/>
      <c r="G218" s="18"/>
      <c r="H218" s="36">
        <f>SUM(H216:H217)</f>
        <v>2102.9216000000001</v>
      </c>
      <c r="I218" s="20"/>
      <c r="J218" s="741"/>
      <c r="K218" s="742"/>
      <c r="L218" s="742"/>
      <c r="M218" s="742"/>
      <c r="N218" s="742"/>
      <c r="O218" s="742"/>
      <c r="P218" s="742"/>
      <c r="Q218" s="742"/>
      <c r="R218" s="743"/>
    </row>
    <row r="219" spans="1:18">
      <c r="A219" s="23"/>
      <c r="B219" s="11" t="s">
        <v>24</v>
      </c>
      <c r="C219" s="4"/>
      <c r="D219" s="4"/>
      <c r="E219" s="4"/>
      <c r="F219" s="4"/>
      <c r="G219" s="18"/>
      <c r="H219" s="36">
        <f>H218*15%</f>
        <v>315.43824000000001</v>
      </c>
      <c r="I219" s="20"/>
      <c r="J219" s="744"/>
      <c r="K219" s="745"/>
      <c r="L219" s="745"/>
      <c r="M219" s="745"/>
      <c r="N219" s="745"/>
      <c r="O219" s="745"/>
      <c r="P219" s="745"/>
      <c r="Q219" s="745"/>
      <c r="R219" s="746"/>
    </row>
    <row r="220" spans="1:18">
      <c r="A220" s="23"/>
      <c r="B220" s="11" t="s">
        <v>15</v>
      </c>
      <c r="C220" s="4"/>
      <c r="D220" s="4"/>
      <c r="E220" s="4"/>
      <c r="F220" s="4"/>
      <c r="G220" s="21" t="s">
        <v>16</v>
      </c>
      <c r="H220" s="37">
        <f>H219+H218</f>
        <v>2418.3598400000001</v>
      </c>
      <c r="I220" s="38" t="str">
        <f>CONCATENATE("per ",C206)</f>
        <v>per m</v>
      </c>
      <c r="J220" s="744"/>
      <c r="K220" s="745"/>
      <c r="L220" s="745"/>
      <c r="M220" s="745"/>
      <c r="N220" s="745"/>
      <c r="O220" s="745"/>
      <c r="P220" s="745"/>
      <c r="Q220" s="745"/>
      <c r="R220" s="746"/>
    </row>
    <row r="221" spans="1:18">
      <c r="A221" s="23"/>
      <c r="B221" s="11" t="s">
        <v>18</v>
      </c>
      <c r="C221" s="4" t="s">
        <v>19</v>
      </c>
      <c r="D221" s="4"/>
      <c r="E221" s="4"/>
      <c r="F221" s="4"/>
      <c r="G221" s="21" t="s">
        <v>16</v>
      </c>
      <c r="H221" s="37">
        <f>CEILING(H220,0.5)</f>
        <v>2418.5</v>
      </c>
      <c r="I221" s="38" t="str">
        <f>CONCATENATE("per ",C206)</f>
        <v>per m</v>
      </c>
      <c r="J221" s="744"/>
      <c r="K221" s="745"/>
      <c r="L221" s="745"/>
      <c r="M221" s="745"/>
      <c r="N221" s="745"/>
      <c r="O221" s="745"/>
      <c r="P221" s="745"/>
      <c r="Q221" s="745"/>
      <c r="R221" s="746"/>
    </row>
    <row r="222" spans="1:18">
      <c r="A222" s="23"/>
      <c r="B222" s="11"/>
      <c r="C222" s="4"/>
      <c r="D222" s="4"/>
      <c r="E222" s="4"/>
      <c r="F222" s="4"/>
      <c r="G222" s="24" t="s">
        <v>17</v>
      </c>
      <c r="H222" s="37">
        <f>H221/exr</f>
        <v>18.603846153846153</v>
      </c>
      <c r="I222" s="38" t="str">
        <f>CONCATENATE("per ",C206)</f>
        <v>per m</v>
      </c>
      <c r="J222" s="747"/>
      <c r="K222" s="748"/>
      <c r="L222" s="748"/>
      <c r="M222" s="748"/>
      <c r="N222" s="748"/>
      <c r="O222" s="748"/>
      <c r="P222" s="748"/>
      <c r="Q222" s="748"/>
      <c r="R222" s="749"/>
    </row>
    <row r="223" spans="1:18">
      <c r="A223" s="39"/>
      <c r="B223" s="40"/>
      <c r="C223" s="41"/>
      <c r="D223" s="41"/>
      <c r="E223" s="41"/>
      <c r="F223" s="41"/>
      <c r="G223" s="149" t="s">
        <v>460</v>
      </c>
      <c r="H223" s="150">
        <f>CEILING(SUM(M215,R215)/H216,0.0025)</f>
        <v>0.46500000000000002</v>
      </c>
      <c r="I223" s="42"/>
      <c r="J223" s="43"/>
      <c r="K223" s="43"/>
      <c r="L223" s="43"/>
      <c r="M223" s="43"/>
      <c r="N223" s="43"/>
      <c r="O223" s="43"/>
      <c r="P223" s="43"/>
      <c r="Q223" s="43"/>
      <c r="R223" s="44"/>
    </row>
    <row r="225" spans="1:18">
      <c r="A225" s="693" t="s">
        <v>0</v>
      </c>
      <c r="B225" s="695" t="s">
        <v>1</v>
      </c>
      <c r="C225" s="695" t="s">
        <v>2</v>
      </c>
      <c r="D225" s="697" t="s">
        <v>3</v>
      </c>
      <c r="E225" s="698"/>
      <c r="F225" s="698"/>
      <c r="G225" s="698"/>
      <c r="H225" s="698"/>
      <c r="I225" s="699" t="s">
        <v>4</v>
      </c>
      <c r="J225" s="700"/>
      <c r="K225" s="700"/>
      <c r="L225" s="700"/>
      <c r="M225" s="700"/>
      <c r="N225" s="698" t="s">
        <v>5</v>
      </c>
      <c r="O225" s="698"/>
      <c r="P225" s="698"/>
      <c r="Q225" s="698"/>
      <c r="R225" s="698"/>
    </row>
    <row r="226" spans="1:18">
      <c r="A226" s="694"/>
      <c r="B226" s="759"/>
      <c r="C226" s="696"/>
      <c r="D226" s="45" t="s">
        <v>6</v>
      </c>
      <c r="E226" s="46" t="s">
        <v>2</v>
      </c>
      <c r="F226" s="46" t="s">
        <v>7</v>
      </c>
      <c r="G226" s="46" t="s">
        <v>8</v>
      </c>
      <c r="H226" s="46" t="s">
        <v>9</v>
      </c>
      <c r="I226" s="46" t="s">
        <v>10</v>
      </c>
      <c r="J226" s="46" t="s">
        <v>2</v>
      </c>
      <c r="K226" s="46" t="s">
        <v>7</v>
      </c>
      <c r="L226" s="46" t="s">
        <v>8</v>
      </c>
      <c r="M226" s="47" t="s">
        <v>9</v>
      </c>
      <c r="N226" s="46" t="s">
        <v>10</v>
      </c>
      <c r="O226" s="46" t="s">
        <v>2</v>
      </c>
      <c r="P226" s="46" t="s">
        <v>7</v>
      </c>
      <c r="Q226" s="46" t="s">
        <v>8</v>
      </c>
      <c r="R226" s="46" t="s">
        <v>9</v>
      </c>
    </row>
    <row r="227" spans="1:18">
      <c r="A227" s="33" t="s">
        <v>23</v>
      </c>
      <c r="B227" s="127"/>
      <c r="C227" s="31"/>
      <c r="D227" s="31"/>
      <c r="E227" s="31"/>
      <c r="F227" s="31"/>
      <c r="G227" s="31"/>
      <c r="H227" s="31"/>
      <c r="I227" s="31"/>
      <c r="J227" s="31"/>
      <c r="K227" s="31"/>
      <c r="L227" s="31"/>
      <c r="M227" s="31"/>
      <c r="N227" s="31"/>
      <c r="O227" s="31"/>
      <c r="P227" s="31"/>
      <c r="Q227" s="31"/>
      <c r="R227" s="32"/>
    </row>
    <row r="228" spans="1:18">
      <c r="A228" s="34">
        <f>A206+1</f>
        <v>12</v>
      </c>
      <c r="B228" s="713" t="s">
        <v>530</v>
      </c>
      <c r="C228" s="66">
        <v>50</v>
      </c>
      <c r="D228" s="4"/>
      <c r="E228" s="6"/>
      <c r="F228" s="29"/>
      <c r="G228" s="26"/>
      <c r="H228" s="26"/>
      <c r="I228" s="6"/>
      <c r="J228" s="6"/>
      <c r="K228" s="29"/>
      <c r="L228" s="26"/>
      <c r="M228" s="26"/>
      <c r="N228" s="6"/>
      <c r="O228" s="6"/>
      <c r="P228" s="29"/>
      <c r="Q228" s="26"/>
      <c r="R228" s="26"/>
    </row>
    <row r="229" spans="1:18">
      <c r="A229" s="2"/>
      <c r="B229" s="714"/>
      <c r="C229" s="124" t="s">
        <v>28</v>
      </c>
      <c r="D229" s="4" t="s">
        <v>75</v>
      </c>
      <c r="E229" s="66" t="s">
        <v>81</v>
      </c>
      <c r="F229" s="29">
        <f>0.53/8</f>
        <v>6.6250000000000003E-2</v>
      </c>
      <c r="G229" s="26">
        <f>fr</f>
        <v>1100</v>
      </c>
      <c r="H229" s="26">
        <f>F229*G229</f>
        <v>72.875</v>
      </c>
      <c r="I229" s="7" t="s">
        <v>31</v>
      </c>
      <c r="J229" s="145" t="s">
        <v>28</v>
      </c>
      <c r="K229" s="29">
        <v>50</v>
      </c>
      <c r="L229" s="28">
        <f>cement/1000</f>
        <v>24.049689999999998</v>
      </c>
      <c r="M229" s="26">
        <f>K229*L229</f>
        <v>1202.4845</v>
      </c>
      <c r="N229" s="8" t="s">
        <v>578</v>
      </c>
      <c r="O229" s="66" t="s">
        <v>101</v>
      </c>
      <c r="P229" s="29">
        <v>0.14000000000000001</v>
      </c>
      <c r="Q229" s="28">
        <f>Shotcrete_boomtruck</f>
        <v>540.79999999999995</v>
      </c>
      <c r="R229" s="26">
        <f>P229*Q229</f>
        <v>75.712000000000003</v>
      </c>
    </row>
    <row r="230" spans="1:18">
      <c r="A230" s="2"/>
      <c r="B230" s="714"/>
      <c r="C230" s="6"/>
      <c r="D230" s="4" t="s">
        <v>503</v>
      </c>
      <c r="E230" s="66" t="s">
        <v>81</v>
      </c>
      <c r="F230" s="29">
        <f>0.89/8</f>
        <v>0.11125</v>
      </c>
      <c r="G230" s="26">
        <f>sr</f>
        <v>1100</v>
      </c>
      <c r="H230" s="26">
        <f>F230*G230</f>
        <v>122.375</v>
      </c>
      <c r="I230" s="7" t="s">
        <v>286</v>
      </c>
      <c r="J230" s="145" t="s">
        <v>11</v>
      </c>
      <c r="K230" s="29">
        <v>0.1</v>
      </c>
      <c r="L230" s="28">
        <f>sand</f>
        <v>1050</v>
      </c>
      <c r="M230" s="26">
        <f>K230*L230</f>
        <v>105</v>
      </c>
      <c r="N230" s="8" t="s">
        <v>579</v>
      </c>
      <c r="O230" s="66" t="s">
        <v>101</v>
      </c>
      <c r="P230" s="29">
        <v>0.14000000000000001</v>
      </c>
      <c r="Q230" s="28">
        <f>fan</f>
        <v>260.67</v>
      </c>
      <c r="R230" s="26">
        <f>P230*Q230</f>
        <v>36.493800000000007</v>
      </c>
    </row>
    <row r="231" spans="1:18">
      <c r="A231" s="2"/>
      <c r="B231" s="126"/>
      <c r="C231" s="6"/>
      <c r="D231" s="4" t="s">
        <v>492</v>
      </c>
      <c r="E231" s="66" t="s">
        <v>81</v>
      </c>
      <c r="F231" s="29">
        <f>1.49/8</f>
        <v>0.18625</v>
      </c>
      <c r="G231" s="26">
        <f>ur</f>
        <v>850</v>
      </c>
      <c r="H231" s="26">
        <f>F231*G231</f>
        <v>158.3125</v>
      </c>
      <c r="I231" s="7" t="s">
        <v>576</v>
      </c>
      <c r="J231" s="145" t="s">
        <v>45</v>
      </c>
      <c r="K231" s="29">
        <v>0.44</v>
      </c>
      <c r="L231" s="28">
        <f>nipple</f>
        <v>401.25</v>
      </c>
      <c r="M231" s="26">
        <f>K231*L231</f>
        <v>176.55</v>
      </c>
      <c r="N231" s="8" t="s">
        <v>580</v>
      </c>
      <c r="O231" s="66" t="s">
        <v>12</v>
      </c>
      <c r="P231" s="29"/>
      <c r="Q231" s="28"/>
      <c r="R231" s="154">
        <v>100</v>
      </c>
    </row>
    <row r="232" spans="1:18">
      <c r="A232" s="2"/>
      <c r="B232" s="126"/>
      <c r="C232" s="6"/>
      <c r="D232" s="4"/>
      <c r="E232" s="66"/>
      <c r="F232" s="29"/>
      <c r="G232" s="26"/>
      <c r="H232" s="26"/>
      <c r="I232" s="7" t="s">
        <v>577</v>
      </c>
      <c r="J232" s="145" t="s">
        <v>45</v>
      </c>
      <c r="K232" s="29">
        <v>1</v>
      </c>
      <c r="L232" s="28">
        <v>20</v>
      </c>
      <c r="M232" s="26">
        <f>K232*L232</f>
        <v>20</v>
      </c>
      <c r="N232" s="8" t="s">
        <v>581</v>
      </c>
      <c r="O232" s="66" t="s">
        <v>101</v>
      </c>
      <c r="P232" s="29">
        <v>0.16</v>
      </c>
      <c r="Q232" s="28">
        <f>wheel_loader</f>
        <v>1622.4</v>
      </c>
      <c r="R232" s="26">
        <f>P232*Q232</f>
        <v>259.584</v>
      </c>
    </row>
    <row r="233" spans="1:18">
      <c r="A233" s="2"/>
      <c r="B233" s="126"/>
      <c r="C233" s="6"/>
      <c r="D233" s="4"/>
      <c r="E233" s="66"/>
      <c r="F233" s="29"/>
      <c r="G233" s="26"/>
      <c r="H233" s="26"/>
      <c r="I233" s="7"/>
      <c r="J233" s="145"/>
      <c r="K233" s="29"/>
      <c r="L233" s="28"/>
      <c r="M233" s="26"/>
      <c r="N233" s="8" t="s">
        <v>582</v>
      </c>
      <c r="O233" s="66" t="s">
        <v>101</v>
      </c>
      <c r="P233" s="29">
        <v>7.0000000000000007E-2</v>
      </c>
      <c r="Q233" s="28">
        <f>wheel_loader</f>
        <v>1622.4</v>
      </c>
      <c r="R233" s="26">
        <f>P233*Q233</f>
        <v>113.56800000000001</v>
      </c>
    </row>
    <row r="234" spans="1:18">
      <c r="A234" s="2"/>
      <c r="B234" s="126"/>
      <c r="C234" s="6"/>
      <c r="D234" s="4"/>
      <c r="E234" s="66"/>
      <c r="F234" s="29"/>
      <c r="G234" s="26"/>
      <c r="H234" s="26"/>
      <c r="I234" s="7"/>
      <c r="J234" s="145"/>
      <c r="K234" s="29"/>
      <c r="L234" s="28"/>
      <c r="M234" s="26"/>
      <c r="N234" s="8"/>
      <c r="O234" s="66"/>
      <c r="P234" s="29"/>
      <c r="Q234" s="28"/>
      <c r="R234" s="26"/>
    </row>
    <row r="235" spans="1:18">
      <c r="A235" s="2"/>
      <c r="B235" s="126"/>
      <c r="C235" s="6"/>
      <c r="D235" s="4"/>
      <c r="E235" s="66"/>
      <c r="F235" s="29"/>
      <c r="G235" s="26"/>
      <c r="H235" s="26"/>
      <c r="I235" s="7"/>
      <c r="J235" s="145"/>
      <c r="K235" s="29"/>
      <c r="L235" s="28"/>
      <c r="M235" s="26"/>
      <c r="N235" s="8"/>
      <c r="O235" s="66"/>
      <c r="P235" s="29"/>
      <c r="Q235" s="28"/>
      <c r="R235" s="26"/>
    </row>
    <row r="236" spans="1:18">
      <c r="A236" s="2"/>
      <c r="B236" s="5"/>
      <c r="C236" s="6"/>
      <c r="D236" s="4"/>
      <c r="E236" s="9"/>
      <c r="F236" s="30"/>
      <c r="G236" s="27"/>
      <c r="H236" s="27"/>
      <c r="I236" s="9"/>
      <c r="J236" s="10"/>
      <c r="K236" s="30"/>
      <c r="L236" s="28"/>
      <c r="M236" s="28"/>
      <c r="N236" s="8"/>
      <c r="O236" s="6"/>
      <c r="P236" s="30"/>
      <c r="Q236" s="28"/>
      <c r="R236" s="28"/>
    </row>
    <row r="237" spans="1:18">
      <c r="A237" s="2"/>
      <c r="B237" s="11"/>
      <c r="C237" s="6"/>
      <c r="D237" s="12"/>
      <c r="E237" s="59"/>
      <c r="F237" s="13"/>
      <c r="G237" s="13" t="s">
        <v>20</v>
      </c>
      <c r="H237" s="25">
        <f>SUM(H228:H236)</f>
        <v>353.5625</v>
      </c>
      <c r="I237" s="703"/>
      <c r="J237" s="703"/>
      <c r="K237" s="14"/>
      <c r="L237" s="13" t="s">
        <v>21</v>
      </c>
      <c r="M237" s="25">
        <f>SUM(M228:M236)</f>
        <v>1504.0345</v>
      </c>
      <c r="N237" s="3"/>
      <c r="O237" s="14"/>
      <c r="P237" s="14"/>
      <c r="Q237" s="13" t="s">
        <v>22</v>
      </c>
      <c r="R237" s="25">
        <f>SUM(R228:R236)</f>
        <v>585.3578</v>
      </c>
    </row>
    <row r="238" spans="1:18">
      <c r="A238" s="2"/>
      <c r="B238" s="16" t="s">
        <v>13</v>
      </c>
      <c r="C238" s="14"/>
      <c r="D238" s="14"/>
      <c r="E238" s="14"/>
      <c r="F238" s="14"/>
      <c r="G238" s="13"/>
      <c r="H238" s="35">
        <f>M237+R237+H237</f>
        <v>2442.9548</v>
      </c>
      <c r="I238" s="17"/>
      <c r="J238" s="14"/>
      <c r="K238" s="14"/>
      <c r="L238" s="13"/>
      <c r="M238" s="15"/>
      <c r="N238" s="14"/>
      <c r="O238" s="14"/>
      <c r="P238" s="14"/>
      <c r="Q238" s="14"/>
      <c r="R238" s="17"/>
    </row>
    <row r="239" spans="1:18">
      <c r="A239" s="2"/>
      <c r="B239" s="11" t="s">
        <v>25</v>
      </c>
      <c r="C239" s="4"/>
      <c r="D239" s="4"/>
      <c r="E239" s="4"/>
      <c r="F239" s="4"/>
      <c r="G239" s="18"/>
      <c r="H239" s="36">
        <v>0</v>
      </c>
      <c r="I239" s="20"/>
      <c r="J239" s="4" t="s">
        <v>26</v>
      </c>
      <c r="K239" s="4"/>
      <c r="L239" s="18"/>
      <c r="M239" s="19"/>
      <c r="N239" s="4"/>
      <c r="O239" s="4"/>
      <c r="P239" s="4"/>
      <c r="Q239" s="4"/>
      <c r="R239" s="20"/>
    </row>
    <row r="240" spans="1:18">
      <c r="A240" s="23"/>
      <c r="B240" s="11" t="s">
        <v>14</v>
      </c>
      <c r="C240" s="4"/>
      <c r="D240" s="4"/>
      <c r="E240" s="4"/>
      <c r="F240" s="4"/>
      <c r="G240" s="18"/>
      <c r="H240" s="36">
        <f>SUM(H238:H239)</f>
        <v>2442.9548</v>
      </c>
      <c r="I240" s="20"/>
      <c r="J240" s="741"/>
      <c r="K240" s="742"/>
      <c r="L240" s="742"/>
      <c r="M240" s="742"/>
      <c r="N240" s="742"/>
      <c r="O240" s="742"/>
      <c r="P240" s="742"/>
      <c r="Q240" s="742"/>
      <c r="R240" s="743"/>
    </row>
    <row r="241" spans="1:18">
      <c r="A241" s="23"/>
      <c r="B241" s="11" t="s">
        <v>24</v>
      </c>
      <c r="C241" s="4"/>
      <c r="D241" s="4"/>
      <c r="E241" s="4"/>
      <c r="F241" s="4"/>
      <c r="G241" s="18"/>
      <c r="H241" s="36">
        <f>H240*15%</f>
        <v>366.44322</v>
      </c>
      <c r="I241" s="20"/>
      <c r="J241" s="744"/>
      <c r="K241" s="745"/>
      <c r="L241" s="745"/>
      <c r="M241" s="745"/>
      <c r="N241" s="745"/>
      <c r="O241" s="745"/>
      <c r="P241" s="745"/>
      <c r="Q241" s="745"/>
      <c r="R241" s="746"/>
    </row>
    <row r="242" spans="1:18">
      <c r="A242" s="23"/>
      <c r="B242" s="11" t="s">
        <v>15</v>
      </c>
      <c r="C242" s="4"/>
      <c r="D242" s="4"/>
      <c r="E242" s="4"/>
      <c r="F242" s="4"/>
      <c r="G242" s="21" t="s">
        <v>16</v>
      </c>
      <c r="H242" s="37">
        <f>H241+H240</f>
        <v>2809.3980200000001</v>
      </c>
      <c r="I242" s="38" t="str">
        <f>CONCATENATE("per ",C228, C229)</f>
        <v>per 50kg</v>
      </c>
      <c r="J242" s="744"/>
      <c r="K242" s="745"/>
      <c r="L242" s="745"/>
      <c r="M242" s="745"/>
      <c r="N242" s="745"/>
      <c r="O242" s="745"/>
      <c r="P242" s="745"/>
      <c r="Q242" s="745"/>
      <c r="R242" s="746"/>
    </row>
    <row r="243" spans="1:18">
      <c r="A243" s="23"/>
      <c r="B243" s="11"/>
      <c r="C243" s="4"/>
      <c r="D243" s="4"/>
      <c r="E243" s="4"/>
      <c r="F243" s="4"/>
      <c r="G243" s="21" t="s">
        <v>16</v>
      </c>
      <c r="H243" s="37">
        <f>H242/C228</f>
        <v>56.187960400000001</v>
      </c>
      <c r="I243" s="38" t="str">
        <f>CONCATENATE("per ",C229)</f>
        <v>per kg</v>
      </c>
      <c r="J243" s="744"/>
      <c r="K243" s="745"/>
      <c r="L243" s="745"/>
      <c r="M243" s="745"/>
      <c r="N243" s="745"/>
      <c r="O243" s="745"/>
      <c r="P243" s="745"/>
      <c r="Q243" s="745"/>
      <c r="R243" s="746"/>
    </row>
    <row r="244" spans="1:18">
      <c r="A244" s="23"/>
      <c r="B244" s="11" t="s">
        <v>18</v>
      </c>
      <c r="C244" s="4" t="s">
        <v>19</v>
      </c>
      <c r="D244" s="4"/>
      <c r="E244" s="4"/>
      <c r="F244" s="4"/>
      <c r="G244" s="21" t="s">
        <v>16</v>
      </c>
      <c r="H244" s="37">
        <f>CEILING(H243,0.5)</f>
        <v>56.5</v>
      </c>
      <c r="I244" s="38" t="str">
        <f>CONCATENATE("per ",C229)</f>
        <v>per kg</v>
      </c>
      <c r="J244" s="744"/>
      <c r="K244" s="745"/>
      <c r="L244" s="745"/>
      <c r="M244" s="745"/>
      <c r="N244" s="745"/>
      <c r="O244" s="745"/>
      <c r="P244" s="745"/>
      <c r="Q244" s="745"/>
      <c r="R244" s="746"/>
    </row>
    <row r="245" spans="1:18">
      <c r="A245" s="23"/>
      <c r="B245" s="11"/>
      <c r="C245" s="4"/>
      <c r="D245" s="4"/>
      <c r="E245" s="4"/>
      <c r="F245" s="4"/>
      <c r="G245" s="24" t="s">
        <v>17</v>
      </c>
      <c r="H245" s="37">
        <f>H244/exr</f>
        <v>0.43461538461538463</v>
      </c>
      <c r="I245" s="38" t="str">
        <f>CONCATENATE("per ",C229)</f>
        <v>per kg</v>
      </c>
      <c r="J245" s="747"/>
      <c r="K245" s="748"/>
      <c r="L245" s="748"/>
      <c r="M245" s="748"/>
      <c r="N245" s="748"/>
      <c r="O245" s="748"/>
      <c r="P245" s="748"/>
      <c r="Q245" s="748"/>
      <c r="R245" s="749"/>
    </row>
    <row r="246" spans="1:18">
      <c r="A246" s="39"/>
      <c r="B246" s="40"/>
      <c r="C246" s="41"/>
      <c r="D246" s="41"/>
      <c r="E246" s="41"/>
      <c r="F246" s="41"/>
      <c r="G246" s="149" t="s">
        <v>460</v>
      </c>
      <c r="H246" s="150">
        <f>CEILING(SUM(M237,R237)/H238,0.0025)</f>
        <v>0.85750000000000004</v>
      </c>
      <c r="I246" s="42"/>
      <c r="J246" s="43"/>
      <c r="K246" s="43"/>
      <c r="L246" s="43"/>
      <c r="M246" s="43"/>
      <c r="N246" s="43"/>
      <c r="O246" s="43"/>
      <c r="P246" s="43"/>
      <c r="Q246" s="43"/>
      <c r="R246" s="44"/>
    </row>
    <row r="248" spans="1:18">
      <c r="A248" s="693" t="s">
        <v>0</v>
      </c>
      <c r="B248" s="695" t="s">
        <v>1</v>
      </c>
      <c r="C248" s="695" t="s">
        <v>2</v>
      </c>
      <c r="D248" s="697" t="s">
        <v>3</v>
      </c>
      <c r="E248" s="698"/>
      <c r="F248" s="698"/>
      <c r="G248" s="698"/>
      <c r="H248" s="698"/>
      <c r="I248" s="699" t="s">
        <v>4</v>
      </c>
      <c r="J248" s="700"/>
      <c r="K248" s="700"/>
      <c r="L248" s="700"/>
      <c r="M248" s="700"/>
      <c r="N248" s="698" t="s">
        <v>5</v>
      </c>
      <c r="O248" s="698"/>
      <c r="P248" s="698"/>
      <c r="Q248" s="698"/>
      <c r="R248" s="698"/>
    </row>
    <row r="249" spans="1:18">
      <c r="A249" s="694"/>
      <c r="B249" s="759"/>
      <c r="C249" s="696"/>
      <c r="D249" s="45" t="s">
        <v>6</v>
      </c>
      <c r="E249" s="46" t="s">
        <v>2</v>
      </c>
      <c r="F249" s="46" t="s">
        <v>7</v>
      </c>
      <c r="G249" s="46" t="s">
        <v>8</v>
      </c>
      <c r="H249" s="46" t="s">
        <v>9</v>
      </c>
      <c r="I249" s="46" t="s">
        <v>10</v>
      </c>
      <c r="J249" s="46" t="s">
        <v>2</v>
      </c>
      <c r="K249" s="46" t="s">
        <v>7</v>
      </c>
      <c r="L249" s="46" t="s">
        <v>8</v>
      </c>
      <c r="M249" s="47" t="s">
        <v>9</v>
      </c>
      <c r="N249" s="46" t="s">
        <v>10</v>
      </c>
      <c r="O249" s="46" t="s">
        <v>2</v>
      </c>
      <c r="P249" s="46" t="s">
        <v>7</v>
      </c>
      <c r="Q249" s="46" t="s">
        <v>8</v>
      </c>
      <c r="R249" s="46" t="s">
        <v>9</v>
      </c>
    </row>
    <row r="250" spans="1:18">
      <c r="A250" s="33" t="s">
        <v>23</v>
      </c>
      <c r="B250" s="127"/>
      <c r="C250" s="31"/>
      <c r="D250" s="31"/>
      <c r="E250" s="31"/>
      <c r="F250" s="31"/>
      <c r="G250" s="31"/>
      <c r="H250" s="31"/>
      <c r="I250" s="31"/>
      <c r="J250" s="31"/>
      <c r="K250" s="31"/>
      <c r="L250" s="31"/>
      <c r="M250" s="31"/>
      <c r="N250" s="31"/>
      <c r="O250" s="31"/>
      <c r="P250" s="31"/>
      <c r="Q250" s="31"/>
      <c r="R250" s="32"/>
    </row>
    <row r="251" spans="1:18">
      <c r="A251" s="34">
        <f>A228+1</f>
        <v>13</v>
      </c>
      <c r="B251" s="713" t="s">
        <v>687</v>
      </c>
      <c r="C251" s="66">
        <v>50</v>
      </c>
      <c r="D251" s="4"/>
      <c r="E251" s="6"/>
      <c r="F251" s="29"/>
      <c r="G251" s="26"/>
      <c r="H251" s="26"/>
      <c r="I251" s="6"/>
      <c r="J251" s="6"/>
      <c r="K251" s="29"/>
      <c r="L251" s="26"/>
      <c r="M251" s="26"/>
      <c r="N251" s="6"/>
      <c r="O251" s="6"/>
      <c r="P251" s="29"/>
      <c r="Q251" s="26"/>
      <c r="R251" s="26"/>
    </row>
    <row r="252" spans="1:18">
      <c r="A252" s="2"/>
      <c r="B252" s="714"/>
      <c r="C252" s="124" t="s">
        <v>28</v>
      </c>
      <c r="D252" s="4"/>
      <c r="E252" s="66"/>
      <c r="F252" s="29"/>
      <c r="G252" s="26"/>
      <c r="H252" s="26"/>
      <c r="I252" s="7"/>
      <c r="J252" s="145"/>
      <c r="K252" s="29"/>
      <c r="L252" s="28"/>
      <c r="M252" s="26"/>
      <c r="N252" s="8"/>
      <c r="O252" s="66"/>
      <c r="P252" s="29"/>
      <c r="Q252" s="28"/>
      <c r="R252" s="26"/>
    </row>
    <row r="253" spans="1:18">
      <c r="A253" s="2"/>
      <c r="B253" s="714"/>
      <c r="C253" s="6"/>
      <c r="D253" s="4"/>
      <c r="E253" s="66"/>
      <c r="F253" s="29"/>
      <c r="G253" s="26"/>
      <c r="H253" s="26"/>
      <c r="I253" s="7"/>
      <c r="J253" s="145"/>
      <c r="K253" s="29"/>
      <c r="L253" s="28"/>
      <c r="M253" s="26"/>
      <c r="N253" s="8"/>
      <c r="O253" s="66"/>
      <c r="P253" s="29"/>
      <c r="Q253" s="28"/>
      <c r="R253" s="26"/>
    </row>
    <row r="254" spans="1:18">
      <c r="A254" s="2"/>
      <c r="B254" s="126"/>
      <c r="C254" s="6"/>
      <c r="D254" s="4"/>
      <c r="E254" s="66"/>
      <c r="F254" s="29"/>
      <c r="G254" s="26"/>
      <c r="H254" s="26"/>
      <c r="I254" s="7"/>
      <c r="J254" s="145"/>
      <c r="K254" s="29"/>
      <c r="L254" s="28"/>
      <c r="M254" s="26"/>
      <c r="N254" s="8"/>
      <c r="O254" s="66"/>
      <c r="P254" s="29"/>
      <c r="Q254" s="28"/>
      <c r="R254" s="154"/>
    </row>
    <row r="255" spans="1:18">
      <c r="A255" s="2"/>
      <c r="B255" s="126"/>
      <c r="C255" s="6"/>
      <c r="D255" s="4"/>
      <c r="E255" s="66"/>
      <c r="F255" s="29"/>
      <c r="G255" s="26"/>
      <c r="H255" s="26"/>
      <c r="I255" s="7"/>
      <c r="J255" s="145"/>
      <c r="K255" s="29"/>
      <c r="L255" s="28"/>
      <c r="M255" s="26"/>
      <c r="N255" s="8"/>
      <c r="O255" s="66"/>
      <c r="P255" s="29"/>
      <c r="Q255" s="28"/>
      <c r="R255" s="26"/>
    </row>
    <row r="256" spans="1:18">
      <c r="A256" s="2"/>
      <c r="B256" s="126"/>
      <c r="C256" s="6"/>
      <c r="D256" s="4"/>
      <c r="E256" s="66"/>
      <c r="F256" s="29"/>
      <c r="G256" s="26"/>
      <c r="H256" s="26"/>
      <c r="I256" s="7"/>
      <c r="J256" s="145"/>
      <c r="K256" s="29"/>
      <c r="L256" s="28"/>
      <c r="M256" s="26"/>
      <c r="N256" s="8"/>
      <c r="O256" s="66"/>
      <c r="P256" s="29"/>
      <c r="Q256" s="28"/>
      <c r="R256" s="26"/>
    </row>
    <row r="257" spans="1:18">
      <c r="A257" s="2"/>
      <c r="B257" s="126"/>
      <c r="C257" s="6"/>
      <c r="D257" s="4"/>
      <c r="E257" s="66"/>
      <c r="F257" s="29"/>
      <c r="G257" s="26"/>
      <c r="H257" s="26"/>
      <c r="I257" s="7"/>
      <c r="J257" s="145"/>
      <c r="K257" s="29"/>
      <c r="L257" s="28"/>
      <c r="M257" s="26"/>
      <c r="N257" s="8"/>
      <c r="O257" s="66"/>
      <c r="P257" s="29"/>
      <c r="Q257" s="28"/>
      <c r="R257" s="26"/>
    </row>
    <row r="258" spans="1:18">
      <c r="A258" s="2"/>
      <c r="B258" s="126"/>
      <c r="C258" s="6"/>
      <c r="D258" s="4"/>
      <c r="E258" s="66"/>
      <c r="F258" s="29"/>
      <c r="G258" s="26"/>
      <c r="H258" s="26"/>
      <c r="I258" s="7"/>
      <c r="J258" s="145"/>
      <c r="K258" s="29"/>
      <c r="L258" s="28"/>
      <c r="M258" s="26"/>
      <c r="N258" s="8"/>
      <c r="O258" s="66"/>
      <c r="P258" s="29"/>
      <c r="Q258" s="28"/>
      <c r="R258" s="26"/>
    </row>
    <row r="259" spans="1:18">
      <c r="A259" s="2"/>
      <c r="B259" s="5"/>
      <c r="C259" s="6"/>
      <c r="D259" s="4"/>
      <c r="E259" s="9"/>
      <c r="F259" s="30"/>
      <c r="G259" s="27"/>
      <c r="H259" s="27"/>
      <c r="I259" s="9"/>
      <c r="J259" s="10"/>
      <c r="K259" s="30"/>
      <c r="L259" s="28"/>
      <c r="M259" s="28"/>
      <c r="N259" s="8"/>
      <c r="O259" s="6"/>
      <c r="P259" s="30"/>
      <c r="Q259" s="28"/>
      <c r="R259" s="28"/>
    </row>
    <row r="260" spans="1:18">
      <c r="A260" s="2"/>
      <c r="B260" s="11"/>
      <c r="C260" s="6"/>
      <c r="D260" s="12"/>
      <c r="E260" s="59"/>
      <c r="F260" s="13"/>
      <c r="G260" s="13" t="s">
        <v>20</v>
      </c>
      <c r="H260" s="25">
        <f>SUM(H251:H259)</f>
        <v>0</v>
      </c>
      <c r="I260" s="703"/>
      <c r="J260" s="703"/>
      <c r="K260" s="14"/>
      <c r="L260" s="13" t="s">
        <v>21</v>
      </c>
      <c r="M260" s="25">
        <f>SUM(M251:M259)</f>
        <v>0</v>
      </c>
      <c r="N260" s="3"/>
      <c r="O260" s="14"/>
      <c r="P260" s="14"/>
      <c r="Q260" s="13" t="s">
        <v>22</v>
      </c>
      <c r="R260" s="25">
        <f>SUM(R251:R259)</f>
        <v>0</v>
      </c>
    </row>
    <row r="261" spans="1:18">
      <c r="A261" s="2"/>
      <c r="B261" s="16" t="s">
        <v>13</v>
      </c>
      <c r="C261" s="14"/>
      <c r="D261" s="14"/>
      <c r="E261" s="14"/>
      <c r="F261" s="14"/>
      <c r="G261" s="13"/>
      <c r="H261" s="35">
        <f>1.5*H238</f>
        <v>3664.4322000000002</v>
      </c>
      <c r="I261" s="17"/>
      <c r="J261" s="14"/>
      <c r="K261" s="14"/>
      <c r="L261" s="13"/>
      <c r="M261" s="15"/>
      <c r="N261" s="14"/>
      <c r="O261" s="14"/>
      <c r="P261" s="14"/>
      <c r="Q261" s="14"/>
      <c r="R261" s="17"/>
    </row>
    <row r="262" spans="1:18">
      <c r="A262" s="2"/>
      <c r="B262" s="11" t="s">
        <v>25</v>
      </c>
      <c r="C262" s="4"/>
      <c r="D262" s="4"/>
      <c r="E262" s="4"/>
      <c r="F262" s="4"/>
      <c r="G262" s="18"/>
      <c r="H262" s="36">
        <v>0</v>
      </c>
      <c r="I262" s="20"/>
      <c r="J262" s="4" t="s">
        <v>26</v>
      </c>
      <c r="K262" s="4"/>
      <c r="L262" s="18"/>
      <c r="M262" s="19"/>
      <c r="N262" s="4"/>
      <c r="O262" s="4"/>
      <c r="P262" s="4"/>
      <c r="Q262" s="4"/>
      <c r="R262" s="20"/>
    </row>
    <row r="263" spans="1:18">
      <c r="A263" s="23"/>
      <c r="B263" s="11" t="s">
        <v>14</v>
      </c>
      <c r="C263" s="4"/>
      <c r="D263" s="4"/>
      <c r="E263" s="4"/>
      <c r="F263" s="4"/>
      <c r="G263" s="18"/>
      <c r="H263" s="36">
        <f>SUM(H261:H262)</f>
        <v>3664.4322000000002</v>
      </c>
      <c r="I263" s="20"/>
      <c r="J263" s="741" t="s">
        <v>688</v>
      </c>
      <c r="K263" s="742"/>
      <c r="L263" s="742"/>
      <c r="M263" s="742"/>
      <c r="N263" s="742"/>
      <c r="O263" s="742"/>
      <c r="P263" s="742"/>
      <c r="Q263" s="742"/>
      <c r="R263" s="743"/>
    </row>
    <row r="264" spans="1:18">
      <c r="A264" s="23"/>
      <c r="B264" s="11" t="s">
        <v>24</v>
      </c>
      <c r="C264" s="4"/>
      <c r="D264" s="4"/>
      <c r="E264" s="4"/>
      <c r="F264" s="4"/>
      <c r="G264" s="18"/>
      <c r="H264" s="36">
        <f>H263*15%</f>
        <v>549.66483000000005</v>
      </c>
      <c r="I264" s="20"/>
      <c r="J264" s="744"/>
      <c r="K264" s="745"/>
      <c r="L264" s="745"/>
      <c r="M264" s="745"/>
      <c r="N264" s="745"/>
      <c r="O264" s="745"/>
      <c r="P264" s="745"/>
      <c r="Q264" s="745"/>
      <c r="R264" s="746"/>
    </row>
    <row r="265" spans="1:18">
      <c r="A265" s="23"/>
      <c r="B265" s="11" t="s">
        <v>15</v>
      </c>
      <c r="C265" s="4"/>
      <c r="D265" s="4"/>
      <c r="E265" s="4"/>
      <c r="F265" s="4"/>
      <c r="G265" s="21" t="s">
        <v>16</v>
      </c>
      <c r="H265" s="37">
        <f>H264+H263</f>
        <v>4214.0970299999999</v>
      </c>
      <c r="I265" s="38" t="str">
        <f>CONCATENATE("per ",C251, C252)</f>
        <v>per 50kg</v>
      </c>
      <c r="J265" s="744"/>
      <c r="K265" s="745"/>
      <c r="L265" s="745"/>
      <c r="M265" s="745"/>
      <c r="N265" s="745"/>
      <c r="O265" s="745"/>
      <c r="P265" s="745"/>
      <c r="Q265" s="745"/>
      <c r="R265" s="746"/>
    </row>
    <row r="266" spans="1:18">
      <c r="A266" s="23"/>
      <c r="B266" s="11"/>
      <c r="C266" s="4"/>
      <c r="D266" s="4"/>
      <c r="E266" s="4"/>
      <c r="F266" s="4"/>
      <c r="G266" s="21" t="s">
        <v>16</v>
      </c>
      <c r="H266" s="37">
        <f>H265/C251</f>
        <v>84.281940599999999</v>
      </c>
      <c r="I266" s="38" t="str">
        <f>CONCATENATE("per ",C252)</f>
        <v>per kg</v>
      </c>
      <c r="J266" s="744"/>
      <c r="K266" s="745"/>
      <c r="L266" s="745"/>
      <c r="M266" s="745"/>
      <c r="N266" s="745"/>
      <c r="O266" s="745"/>
      <c r="P266" s="745"/>
      <c r="Q266" s="745"/>
      <c r="R266" s="746"/>
    </row>
    <row r="267" spans="1:18">
      <c r="A267" s="23"/>
      <c r="B267" s="11" t="s">
        <v>18</v>
      </c>
      <c r="C267" s="4" t="s">
        <v>19</v>
      </c>
      <c r="D267" s="4"/>
      <c r="E267" s="4"/>
      <c r="F267" s="4"/>
      <c r="G267" s="21" t="s">
        <v>16</v>
      </c>
      <c r="H267" s="37">
        <f>CEILING(H266,0.5)</f>
        <v>84.5</v>
      </c>
      <c r="I267" s="38" t="str">
        <f>CONCATENATE("per ",C252)</f>
        <v>per kg</v>
      </c>
      <c r="J267" s="744"/>
      <c r="K267" s="745"/>
      <c r="L267" s="745"/>
      <c r="M267" s="745"/>
      <c r="N267" s="745"/>
      <c r="O267" s="745"/>
      <c r="P267" s="745"/>
      <c r="Q267" s="745"/>
      <c r="R267" s="746"/>
    </row>
    <row r="268" spans="1:18">
      <c r="A268" s="23"/>
      <c r="B268" s="11"/>
      <c r="C268" s="4"/>
      <c r="D268" s="4"/>
      <c r="E268" s="4"/>
      <c r="F268" s="4"/>
      <c r="G268" s="24" t="s">
        <v>17</v>
      </c>
      <c r="H268" s="37">
        <f>H267/exr</f>
        <v>0.65</v>
      </c>
      <c r="I268" s="38" t="str">
        <f>CONCATENATE("per ",C252)</f>
        <v>per kg</v>
      </c>
      <c r="J268" s="747"/>
      <c r="K268" s="748"/>
      <c r="L268" s="748"/>
      <c r="M268" s="748"/>
      <c r="N268" s="748"/>
      <c r="O268" s="748"/>
      <c r="P268" s="748"/>
      <c r="Q268" s="748"/>
      <c r="R268" s="749"/>
    </row>
    <row r="269" spans="1:18">
      <c r="A269" s="39"/>
      <c r="B269" s="40"/>
      <c r="C269" s="41"/>
      <c r="D269" s="41"/>
      <c r="E269" s="41"/>
      <c r="F269" s="41"/>
      <c r="G269" s="149" t="s">
        <v>460</v>
      </c>
      <c r="H269" s="150">
        <f>H246</f>
        <v>0.85750000000000004</v>
      </c>
      <c r="I269" s="42"/>
      <c r="J269" s="43"/>
      <c r="K269" s="43"/>
      <c r="L269" s="43"/>
      <c r="M269" s="43"/>
      <c r="N269" s="43"/>
      <c r="O269" s="43"/>
      <c r="P269" s="43"/>
      <c r="Q269" s="43"/>
      <c r="R269" s="44"/>
    </row>
    <row r="271" spans="1:18">
      <c r="A271" s="693" t="s">
        <v>0</v>
      </c>
      <c r="B271" s="695" t="s">
        <v>1</v>
      </c>
      <c r="C271" s="695" t="s">
        <v>2</v>
      </c>
      <c r="D271" s="697" t="s">
        <v>3</v>
      </c>
      <c r="E271" s="698"/>
      <c r="F271" s="698"/>
      <c r="G271" s="698"/>
      <c r="H271" s="698"/>
      <c r="I271" s="699" t="s">
        <v>4</v>
      </c>
      <c r="J271" s="700"/>
      <c r="K271" s="700"/>
      <c r="L271" s="700"/>
      <c r="M271" s="700"/>
      <c r="N271" s="698" t="s">
        <v>5</v>
      </c>
      <c r="O271" s="698"/>
      <c r="P271" s="698"/>
      <c r="Q271" s="698"/>
      <c r="R271" s="698"/>
    </row>
    <row r="272" spans="1:18">
      <c r="A272" s="694"/>
      <c r="B272" s="759"/>
      <c r="C272" s="696"/>
      <c r="D272" s="45" t="s">
        <v>6</v>
      </c>
      <c r="E272" s="46" t="s">
        <v>2</v>
      </c>
      <c r="F272" s="46" t="s">
        <v>7</v>
      </c>
      <c r="G272" s="46" t="s">
        <v>8</v>
      </c>
      <c r="H272" s="46" t="s">
        <v>9</v>
      </c>
      <c r="I272" s="46" t="s">
        <v>10</v>
      </c>
      <c r="J272" s="46" t="s">
        <v>2</v>
      </c>
      <c r="K272" s="46" t="s">
        <v>7</v>
      </c>
      <c r="L272" s="46" t="s">
        <v>8</v>
      </c>
      <c r="M272" s="47" t="s">
        <v>9</v>
      </c>
      <c r="N272" s="46" t="s">
        <v>10</v>
      </c>
      <c r="O272" s="46" t="s">
        <v>2</v>
      </c>
      <c r="P272" s="46" t="s">
        <v>7</v>
      </c>
      <c r="Q272" s="46" t="s">
        <v>8</v>
      </c>
      <c r="R272" s="46" t="s">
        <v>9</v>
      </c>
    </row>
    <row r="273" spans="1:18">
      <c r="A273" s="33" t="s">
        <v>23</v>
      </c>
      <c r="B273" s="127"/>
      <c r="C273" s="31"/>
      <c r="D273" s="31"/>
      <c r="E273" s="31"/>
      <c r="F273" s="31"/>
      <c r="G273" s="31"/>
      <c r="H273" s="31"/>
      <c r="I273" s="31"/>
      <c r="J273" s="31"/>
      <c r="K273" s="31"/>
      <c r="L273" s="31"/>
      <c r="M273" s="31"/>
      <c r="N273" s="31"/>
      <c r="O273" s="31"/>
      <c r="P273" s="31"/>
      <c r="Q273" s="31"/>
      <c r="R273" s="32"/>
    </row>
    <row r="274" spans="1:18">
      <c r="A274" s="34">
        <f>A251+1</f>
        <v>14</v>
      </c>
      <c r="B274" s="713" t="s">
        <v>689</v>
      </c>
      <c r="C274" s="66">
        <v>50</v>
      </c>
      <c r="D274" s="4"/>
      <c r="E274" s="6"/>
      <c r="F274" s="29"/>
      <c r="G274" s="26"/>
      <c r="H274" s="26"/>
      <c r="I274" s="6"/>
      <c r="J274" s="6"/>
      <c r="K274" s="29"/>
      <c r="L274" s="26"/>
      <c r="M274" s="26"/>
      <c r="N274" s="6"/>
      <c r="O274" s="6"/>
      <c r="P274" s="29"/>
      <c r="Q274" s="26"/>
      <c r="R274" s="26"/>
    </row>
    <row r="275" spans="1:18">
      <c r="A275" s="2"/>
      <c r="B275" s="714"/>
      <c r="C275" s="124" t="s">
        <v>28</v>
      </c>
      <c r="D275" s="4"/>
      <c r="E275" s="66"/>
      <c r="F275" s="29"/>
      <c r="G275" s="26"/>
      <c r="H275" s="26"/>
      <c r="I275" s="7"/>
      <c r="J275" s="145"/>
      <c r="K275" s="29"/>
      <c r="L275" s="28"/>
      <c r="M275" s="26"/>
      <c r="N275" s="8"/>
      <c r="O275" s="66"/>
      <c r="P275" s="29"/>
      <c r="Q275" s="28"/>
      <c r="R275" s="26"/>
    </row>
    <row r="276" spans="1:18">
      <c r="A276" s="2"/>
      <c r="B276" s="714"/>
      <c r="C276" s="6"/>
      <c r="D276" s="4"/>
      <c r="E276" s="66"/>
      <c r="F276" s="29"/>
      <c r="G276" s="26"/>
      <c r="H276" s="26"/>
      <c r="I276" s="7"/>
      <c r="J276" s="145"/>
      <c r="K276" s="29"/>
      <c r="L276" s="28"/>
      <c r="M276" s="26"/>
      <c r="N276" s="8"/>
      <c r="O276" s="66"/>
      <c r="P276" s="29"/>
      <c r="Q276" s="28"/>
      <c r="R276" s="26"/>
    </row>
    <row r="277" spans="1:18">
      <c r="A277" s="2"/>
      <c r="B277" s="126"/>
      <c r="C277" s="6"/>
      <c r="D277" s="4"/>
      <c r="E277" s="66"/>
      <c r="F277" s="29"/>
      <c r="G277" s="26"/>
      <c r="H277" s="26"/>
      <c r="I277" s="7"/>
      <c r="J277" s="145"/>
      <c r="K277" s="29"/>
      <c r="L277" s="28"/>
      <c r="M277" s="26"/>
      <c r="N277" s="8"/>
      <c r="O277" s="66"/>
      <c r="P277" s="29"/>
      <c r="Q277" s="28"/>
      <c r="R277" s="154"/>
    </row>
    <row r="278" spans="1:18">
      <c r="A278" s="2"/>
      <c r="B278" s="126"/>
      <c r="C278" s="6"/>
      <c r="D278" s="4"/>
      <c r="E278" s="66"/>
      <c r="F278" s="29"/>
      <c r="G278" s="26"/>
      <c r="H278" s="26"/>
      <c r="I278" s="7"/>
      <c r="J278" s="145"/>
      <c r="K278" s="29"/>
      <c r="L278" s="28"/>
      <c r="M278" s="26"/>
      <c r="N278" s="8"/>
      <c r="O278" s="66"/>
      <c r="P278" s="29"/>
      <c r="Q278" s="28"/>
      <c r="R278" s="26"/>
    </row>
    <row r="279" spans="1:18">
      <c r="A279" s="2"/>
      <c r="B279" s="126"/>
      <c r="C279" s="6"/>
      <c r="D279" s="4"/>
      <c r="E279" s="66"/>
      <c r="F279" s="29"/>
      <c r="G279" s="26"/>
      <c r="H279" s="26"/>
      <c r="I279" s="7"/>
      <c r="J279" s="145"/>
      <c r="K279" s="29"/>
      <c r="L279" s="28"/>
      <c r="M279" s="26"/>
      <c r="N279" s="8"/>
      <c r="O279" s="66"/>
      <c r="P279" s="29"/>
      <c r="Q279" s="28"/>
      <c r="R279" s="26"/>
    </row>
    <row r="280" spans="1:18">
      <c r="A280" s="2"/>
      <c r="B280" s="126"/>
      <c r="C280" s="6"/>
      <c r="D280" s="4"/>
      <c r="E280" s="66"/>
      <c r="F280" s="29"/>
      <c r="G280" s="26"/>
      <c r="H280" s="26"/>
      <c r="I280" s="7"/>
      <c r="J280" s="145"/>
      <c r="K280" s="29"/>
      <c r="L280" s="28"/>
      <c r="M280" s="26"/>
      <c r="N280" s="8"/>
      <c r="O280" s="66"/>
      <c r="P280" s="29"/>
      <c r="Q280" s="28"/>
      <c r="R280" s="26"/>
    </row>
    <row r="281" spans="1:18">
      <c r="A281" s="2"/>
      <c r="B281" s="126"/>
      <c r="C281" s="6"/>
      <c r="D281" s="4"/>
      <c r="E281" s="66"/>
      <c r="F281" s="29"/>
      <c r="G281" s="26"/>
      <c r="H281" s="26"/>
      <c r="I281" s="7"/>
      <c r="J281" s="145"/>
      <c r="K281" s="29"/>
      <c r="L281" s="28"/>
      <c r="M281" s="26"/>
      <c r="N281" s="8"/>
      <c r="O281" s="66"/>
      <c r="P281" s="29"/>
      <c r="Q281" s="28"/>
      <c r="R281" s="26"/>
    </row>
    <row r="282" spans="1:18">
      <c r="A282" s="2"/>
      <c r="B282" s="5"/>
      <c r="C282" s="6"/>
      <c r="D282" s="4"/>
      <c r="E282" s="9"/>
      <c r="F282" s="30"/>
      <c r="G282" s="27"/>
      <c r="H282" s="27"/>
      <c r="I282" s="9"/>
      <c r="J282" s="10"/>
      <c r="K282" s="30"/>
      <c r="L282" s="28"/>
      <c r="M282" s="28"/>
      <c r="N282" s="8"/>
      <c r="O282" s="6"/>
      <c r="P282" s="30"/>
      <c r="Q282" s="28"/>
      <c r="R282" s="28"/>
    </row>
    <row r="283" spans="1:18">
      <c r="A283" s="2"/>
      <c r="B283" s="11"/>
      <c r="C283" s="6"/>
      <c r="D283" s="12"/>
      <c r="E283" s="59"/>
      <c r="F283" s="13"/>
      <c r="G283" s="13" t="s">
        <v>20</v>
      </c>
      <c r="H283" s="25">
        <f>SUM(H274:H282)</f>
        <v>0</v>
      </c>
      <c r="I283" s="703"/>
      <c r="J283" s="703"/>
      <c r="K283" s="14"/>
      <c r="L283" s="13" t="s">
        <v>21</v>
      </c>
      <c r="M283" s="25">
        <f>SUM(M274:M282)</f>
        <v>0</v>
      </c>
      <c r="N283" s="3"/>
      <c r="O283" s="14"/>
      <c r="P283" s="14"/>
      <c r="Q283" s="13" t="s">
        <v>22</v>
      </c>
      <c r="R283" s="25">
        <f>SUM(R274:R282)</f>
        <v>0</v>
      </c>
    </row>
    <row r="284" spans="1:18">
      <c r="A284" s="2"/>
      <c r="B284" s="16" t="s">
        <v>13</v>
      </c>
      <c r="C284" s="14"/>
      <c r="D284" s="14"/>
      <c r="E284" s="14"/>
      <c r="F284" s="14"/>
      <c r="G284" s="13"/>
      <c r="H284" s="35">
        <f>2*H238</f>
        <v>4885.9096</v>
      </c>
      <c r="I284" s="17"/>
      <c r="J284" s="14"/>
      <c r="K284" s="14"/>
      <c r="L284" s="13"/>
      <c r="M284" s="15"/>
      <c r="N284" s="14"/>
      <c r="O284" s="14"/>
      <c r="P284" s="14"/>
      <c r="Q284" s="14"/>
      <c r="R284" s="17"/>
    </row>
    <row r="285" spans="1:18">
      <c r="A285" s="2"/>
      <c r="B285" s="11" t="s">
        <v>25</v>
      </c>
      <c r="C285" s="4"/>
      <c r="D285" s="4"/>
      <c r="E285" s="4"/>
      <c r="F285" s="4"/>
      <c r="G285" s="18"/>
      <c r="H285" s="36">
        <v>0</v>
      </c>
      <c r="I285" s="20"/>
      <c r="J285" s="4" t="s">
        <v>26</v>
      </c>
      <c r="K285" s="4"/>
      <c r="L285" s="18"/>
      <c r="M285" s="19"/>
      <c r="N285" s="4"/>
      <c r="O285" s="4"/>
      <c r="P285" s="4"/>
      <c r="Q285" s="4"/>
      <c r="R285" s="20"/>
    </row>
    <row r="286" spans="1:18">
      <c r="A286" s="23"/>
      <c r="B286" s="11" t="s">
        <v>14</v>
      </c>
      <c r="C286" s="4"/>
      <c r="D286" s="4"/>
      <c r="E286" s="4"/>
      <c r="F286" s="4"/>
      <c r="G286" s="18"/>
      <c r="H286" s="36">
        <f>SUM(H284:H285)</f>
        <v>4885.9096</v>
      </c>
      <c r="I286" s="20"/>
      <c r="J286" s="741" t="s">
        <v>690</v>
      </c>
      <c r="K286" s="742"/>
      <c r="L286" s="742"/>
      <c r="M286" s="742"/>
      <c r="N286" s="742"/>
      <c r="O286" s="742"/>
      <c r="P286" s="742"/>
      <c r="Q286" s="742"/>
      <c r="R286" s="743"/>
    </row>
    <row r="287" spans="1:18">
      <c r="A287" s="23"/>
      <c r="B287" s="11" t="s">
        <v>24</v>
      </c>
      <c r="C287" s="4"/>
      <c r="D287" s="4"/>
      <c r="E287" s="4"/>
      <c r="F287" s="4"/>
      <c r="G287" s="18"/>
      <c r="H287" s="36">
        <f>H286*15%</f>
        <v>732.88643999999999</v>
      </c>
      <c r="I287" s="20"/>
      <c r="J287" s="744"/>
      <c r="K287" s="745"/>
      <c r="L287" s="745"/>
      <c r="M287" s="745"/>
      <c r="N287" s="745"/>
      <c r="O287" s="745"/>
      <c r="P287" s="745"/>
      <c r="Q287" s="745"/>
      <c r="R287" s="746"/>
    </row>
    <row r="288" spans="1:18">
      <c r="A288" s="23"/>
      <c r="B288" s="11" t="s">
        <v>15</v>
      </c>
      <c r="C288" s="4"/>
      <c r="D288" s="4"/>
      <c r="E288" s="4"/>
      <c r="F288" s="4"/>
      <c r="G288" s="21" t="s">
        <v>16</v>
      </c>
      <c r="H288" s="37">
        <f>H287+H286</f>
        <v>5618.7960400000002</v>
      </c>
      <c r="I288" s="38" t="str">
        <f>CONCATENATE("per ",C274, C275)</f>
        <v>per 50kg</v>
      </c>
      <c r="J288" s="744"/>
      <c r="K288" s="745"/>
      <c r="L288" s="745"/>
      <c r="M288" s="745"/>
      <c r="N288" s="745"/>
      <c r="O288" s="745"/>
      <c r="P288" s="745"/>
      <c r="Q288" s="745"/>
      <c r="R288" s="746"/>
    </row>
    <row r="289" spans="1:18">
      <c r="A289" s="23"/>
      <c r="B289" s="11"/>
      <c r="C289" s="4"/>
      <c r="D289" s="4"/>
      <c r="E289" s="4"/>
      <c r="F289" s="4"/>
      <c r="G289" s="21" t="s">
        <v>16</v>
      </c>
      <c r="H289" s="37">
        <f>H288/C274</f>
        <v>112.3759208</v>
      </c>
      <c r="I289" s="38" t="str">
        <f>CONCATENATE("per ",C275)</f>
        <v>per kg</v>
      </c>
      <c r="J289" s="744"/>
      <c r="K289" s="745"/>
      <c r="L289" s="745"/>
      <c r="M289" s="745"/>
      <c r="N289" s="745"/>
      <c r="O289" s="745"/>
      <c r="P289" s="745"/>
      <c r="Q289" s="745"/>
      <c r="R289" s="746"/>
    </row>
    <row r="290" spans="1:18">
      <c r="A290" s="23"/>
      <c r="B290" s="11" t="s">
        <v>18</v>
      </c>
      <c r="C290" s="4" t="s">
        <v>19</v>
      </c>
      <c r="D290" s="4"/>
      <c r="E290" s="4"/>
      <c r="F290" s="4"/>
      <c r="G290" s="21" t="s">
        <v>16</v>
      </c>
      <c r="H290" s="37">
        <f>CEILING(H289,0.5)</f>
        <v>112.5</v>
      </c>
      <c r="I290" s="38" t="str">
        <f>CONCATENATE("per ",C275)</f>
        <v>per kg</v>
      </c>
      <c r="J290" s="744"/>
      <c r="K290" s="745"/>
      <c r="L290" s="745"/>
      <c r="M290" s="745"/>
      <c r="N290" s="745"/>
      <c r="O290" s="745"/>
      <c r="P290" s="745"/>
      <c r="Q290" s="745"/>
      <c r="R290" s="746"/>
    </row>
    <row r="291" spans="1:18">
      <c r="A291" s="23"/>
      <c r="B291" s="11"/>
      <c r="C291" s="4"/>
      <c r="D291" s="4"/>
      <c r="E291" s="4"/>
      <c r="F291" s="4"/>
      <c r="G291" s="24" t="s">
        <v>17</v>
      </c>
      <c r="H291" s="37">
        <f>H290/exr</f>
        <v>0.86538461538461542</v>
      </c>
      <c r="I291" s="38" t="str">
        <f>CONCATENATE("per ",C275)</f>
        <v>per kg</v>
      </c>
      <c r="J291" s="747"/>
      <c r="K291" s="748"/>
      <c r="L291" s="748"/>
      <c r="M291" s="748"/>
      <c r="N291" s="748"/>
      <c r="O291" s="748"/>
      <c r="P291" s="748"/>
      <c r="Q291" s="748"/>
      <c r="R291" s="749"/>
    </row>
    <row r="292" spans="1:18">
      <c r="A292" s="39"/>
      <c r="B292" s="40"/>
      <c r="C292" s="41"/>
      <c r="D292" s="41"/>
      <c r="E292" s="41"/>
      <c r="F292" s="41"/>
      <c r="G292" s="149" t="s">
        <v>460</v>
      </c>
      <c r="H292" s="150">
        <f>H246</f>
        <v>0.85750000000000004</v>
      </c>
      <c r="I292" s="42"/>
      <c r="J292" s="43"/>
      <c r="K292" s="43"/>
      <c r="L292" s="43"/>
      <c r="M292" s="43"/>
      <c r="N292" s="43"/>
      <c r="O292" s="43"/>
      <c r="P292" s="43"/>
      <c r="Q292" s="43"/>
      <c r="R292" s="44"/>
    </row>
    <row r="294" spans="1:18">
      <c r="A294" s="693" t="s">
        <v>0</v>
      </c>
      <c r="B294" s="695" t="s">
        <v>1</v>
      </c>
      <c r="C294" s="695" t="s">
        <v>2</v>
      </c>
      <c r="D294" s="697" t="s">
        <v>3</v>
      </c>
      <c r="E294" s="698"/>
      <c r="F294" s="698"/>
      <c r="G294" s="698"/>
      <c r="H294" s="698"/>
      <c r="I294" s="699" t="s">
        <v>4</v>
      </c>
      <c r="J294" s="700"/>
      <c r="K294" s="700"/>
      <c r="L294" s="700"/>
      <c r="M294" s="700"/>
      <c r="N294" s="698" t="s">
        <v>5</v>
      </c>
      <c r="O294" s="698"/>
      <c r="P294" s="698"/>
      <c r="Q294" s="698"/>
      <c r="R294" s="698"/>
    </row>
    <row r="295" spans="1:18">
      <c r="A295" s="694"/>
      <c r="B295" s="759"/>
      <c r="C295" s="696"/>
      <c r="D295" s="45" t="s">
        <v>6</v>
      </c>
      <c r="E295" s="46" t="s">
        <v>2</v>
      </c>
      <c r="F295" s="46" t="s">
        <v>7</v>
      </c>
      <c r="G295" s="46" t="s">
        <v>8</v>
      </c>
      <c r="H295" s="46" t="s">
        <v>9</v>
      </c>
      <c r="I295" s="46" t="s">
        <v>10</v>
      </c>
      <c r="J295" s="46" t="s">
        <v>2</v>
      </c>
      <c r="K295" s="46" t="s">
        <v>7</v>
      </c>
      <c r="L295" s="46" t="s">
        <v>8</v>
      </c>
      <c r="M295" s="47" t="s">
        <v>9</v>
      </c>
      <c r="N295" s="46" t="s">
        <v>10</v>
      </c>
      <c r="O295" s="46" t="s">
        <v>2</v>
      </c>
      <c r="P295" s="46" t="s">
        <v>7</v>
      </c>
      <c r="Q295" s="46" t="s">
        <v>8</v>
      </c>
      <c r="R295" s="46" t="s">
        <v>9</v>
      </c>
    </row>
    <row r="296" spans="1:18">
      <c r="A296" s="33" t="s">
        <v>23</v>
      </c>
      <c r="B296" s="127"/>
      <c r="C296" s="31"/>
      <c r="D296" s="31"/>
      <c r="E296" s="31"/>
      <c r="F296" s="31"/>
      <c r="G296" s="31"/>
      <c r="H296" s="31"/>
      <c r="I296" s="31"/>
      <c r="J296" s="31"/>
      <c r="K296" s="31"/>
      <c r="L296" s="31"/>
      <c r="M296" s="31"/>
      <c r="N296" s="31"/>
      <c r="O296" s="31"/>
      <c r="P296" s="31"/>
      <c r="Q296" s="31"/>
      <c r="R296" s="32"/>
    </row>
    <row r="297" spans="1:18">
      <c r="A297" s="34">
        <f>A274+1</f>
        <v>15</v>
      </c>
      <c r="B297" s="713" t="s">
        <v>818</v>
      </c>
      <c r="C297" s="66">
        <v>1</v>
      </c>
      <c r="D297" s="4"/>
      <c r="E297" s="6"/>
      <c r="F297" s="29"/>
      <c r="G297" s="26"/>
      <c r="H297" s="26"/>
      <c r="I297" s="6"/>
      <c r="J297" s="6"/>
      <c r="K297" s="29"/>
      <c r="L297" s="26"/>
      <c r="M297" s="26"/>
      <c r="N297" s="6"/>
      <c r="O297" s="6"/>
      <c r="P297" s="29"/>
      <c r="Q297" s="26"/>
      <c r="R297" s="26"/>
    </row>
    <row r="298" spans="1:18">
      <c r="A298" s="2"/>
      <c r="B298" s="714"/>
      <c r="C298" s="124" t="s">
        <v>47</v>
      </c>
      <c r="D298" s="4" t="s">
        <v>75</v>
      </c>
      <c r="E298" s="66" t="s">
        <v>81</v>
      </c>
      <c r="F298" s="29"/>
      <c r="G298" s="26"/>
      <c r="H298" s="26"/>
      <c r="I298" s="7"/>
      <c r="J298" s="145"/>
      <c r="K298" s="29"/>
      <c r="L298" s="28"/>
      <c r="M298" s="26"/>
      <c r="N298" s="8"/>
      <c r="O298" s="66"/>
      <c r="P298" s="29"/>
      <c r="Q298" s="28"/>
      <c r="R298" s="26"/>
    </row>
    <row r="299" spans="1:18">
      <c r="A299" s="2"/>
      <c r="B299" s="714"/>
      <c r="C299" s="6"/>
      <c r="D299" s="4" t="s">
        <v>503</v>
      </c>
      <c r="E299" s="66" t="s">
        <v>81</v>
      </c>
      <c r="F299" s="29"/>
      <c r="G299" s="26"/>
      <c r="H299" s="26"/>
      <c r="I299" s="7"/>
      <c r="J299" s="145"/>
      <c r="K299" s="29"/>
      <c r="L299" s="28"/>
      <c r="M299" s="26"/>
      <c r="N299" s="8"/>
      <c r="O299" s="66"/>
      <c r="P299" s="29"/>
      <c r="Q299" s="28"/>
      <c r="R299" s="26"/>
    </row>
    <row r="300" spans="1:18">
      <c r="A300" s="2"/>
      <c r="B300" s="126"/>
      <c r="C300" s="6"/>
      <c r="D300" s="4" t="s">
        <v>492</v>
      </c>
      <c r="E300" s="66" t="s">
        <v>81</v>
      </c>
      <c r="F300" s="29"/>
      <c r="G300" s="26"/>
      <c r="H300" s="26"/>
      <c r="I300" s="7"/>
      <c r="J300" s="145"/>
      <c r="K300" s="29"/>
      <c r="L300" s="28"/>
      <c r="M300" s="26"/>
      <c r="N300" s="8"/>
      <c r="O300" s="66"/>
      <c r="P300" s="29"/>
      <c r="Q300" s="28"/>
      <c r="R300" s="154"/>
    </row>
    <row r="301" spans="1:18">
      <c r="A301" s="2"/>
      <c r="B301" s="126"/>
      <c r="C301" s="6"/>
      <c r="D301" s="4"/>
      <c r="E301" s="66"/>
      <c r="F301" s="29"/>
      <c r="G301" s="26"/>
      <c r="H301" s="26"/>
      <c r="I301" s="7"/>
      <c r="J301" s="145"/>
      <c r="K301" s="29"/>
      <c r="L301" s="28"/>
      <c r="M301" s="26"/>
      <c r="N301" s="8"/>
      <c r="O301" s="66"/>
      <c r="P301" s="29"/>
      <c r="Q301" s="28"/>
      <c r="R301" s="26"/>
    </row>
    <row r="302" spans="1:18">
      <c r="A302" s="2"/>
      <c r="B302" s="126"/>
      <c r="C302" s="6"/>
      <c r="D302" s="4"/>
      <c r="E302" s="66"/>
      <c r="F302" s="29"/>
      <c r="G302" s="26"/>
      <c r="H302" s="26"/>
      <c r="I302" s="7"/>
      <c r="J302" s="145"/>
      <c r="K302" s="29"/>
      <c r="L302" s="28"/>
      <c r="M302" s="26"/>
      <c r="N302" s="8"/>
      <c r="O302" s="66"/>
      <c r="P302" s="29"/>
      <c r="Q302" s="28"/>
      <c r="R302" s="26"/>
    </row>
    <row r="303" spans="1:18">
      <c r="A303" s="2"/>
      <c r="B303" s="126"/>
      <c r="C303" s="6"/>
      <c r="D303" s="4"/>
      <c r="E303" s="66"/>
      <c r="F303" s="29"/>
      <c r="G303" s="26"/>
      <c r="H303" s="26"/>
      <c r="I303" s="7"/>
      <c r="J303" s="145"/>
      <c r="K303" s="29"/>
      <c r="L303" s="28"/>
      <c r="M303" s="26"/>
      <c r="N303" s="8"/>
      <c r="O303" s="66"/>
      <c r="P303" s="29"/>
      <c r="Q303" s="28"/>
      <c r="R303" s="26"/>
    </row>
    <row r="304" spans="1:18">
      <c r="A304" s="2"/>
      <c r="B304" s="126"/>
      <c r="C304" s="6"/>
      <c r="D304" s="4"/>
      <c r="E304" s="66"/>
      <c r="F304" s="29"/>
      <c r="G304" s="26"/>
      <c r="H304" s="26"/>
      <c r="I304" s="7"/>
      <c r="J304" s="145"/>
      <c r="K304" s="29"/>
      <c r="L304" s="28"/>
      <c r="M304" s="26"/>
      <c r="N304" s="8"/>
      <c r="O304" s="66"/>
      <c r="P304" s="29"/>
      <c r="Q304" s="28"/>
      <c r="R304" s="26"/>
    </row>
    <row r="305" spans="1:18">
      <c r="A305" s="2"/>
      <c r="B305" s="5"/>
      <c r="C305" s="6"/>
      <c r="D305" s="4"/>
      <c r="E305" s="9"/>
      <c r="F305" s="30"/>
      <c r="G305" s="27"/>
      <c r="H305" s="27"/>
      <c r="I305" s="9"/>
      <c r="J305" s="10"/>
      <c r="K305" s="30"/>
      <c r="L305" s="28"/>
      <c r="M305" s="28"/>
      <c r="N305" s="8"/>
      <c r="O305" s="6"/>
      <c r="P305" s="30"/>
      <c r="Q305" s="28"/>
      <c r="R305" s="28"/>
    </row>
    <row r="306" spans="1:18">
      <c r="A306" s="2"/>
      <c r="B306" s="11"/>
      <c r="C306" s="6"/>
      <c r="D306" s="12"/>
      <c r="E306" s="59"/>
      <c r="F306" s="13"/>
      <c r="G306" s="13" t="s">
        <v>20</v>
      </c>
      <c r="H306" s="25">
        <f>SUM(H297:H305)</f>
        <v>0</v>
      </c>
      <c r="I306" s="703"/>
      <c r="J306" s="703"/>
      <c r="K306" s="14"/>
      <c r="L306" s="13" t="s">
        <v>21</v>
      </c>
      <c r="M306" s="25">
        <f>SUM(M297:M305)</f>
        <v>0</v>
      </c>
      <c r="N306" s="3"/>
      <c r="O306" s="14"/>
      <c r="P306" s="14"/>
      <c r="Q306" s="13" t="s">
        <v>22</v>
      </c>
      <c r="R306" s="25">
        <f>SUM(R297:R305)</f>
        <v>0</v>
      </c>
    </row>
    <row r="307" spans="1:18">
      <c r="A307" s="2"/>
      <c r="B307" s="16" t="s">
        <v>13</v>
      </c>
      <c r="C307" s="14"/>
      <c r="D307" s="14"/>
      <c r="E307" s="14"/>
      <c r="F307" s="14"/>
      <c r="G307" s="13"/>
      <c r="H307" s="35">
        <f>2*H261</f>
        <v>7328.8644000000004</v>
      </c>
      <c r="I307" s="17"/>
      <c r="J307" s="14"/>
      <c r="K307" s="14"/>
      <c r="L307" s="13"/>
      <c r="M307" s="15"/>
      <c r="N307" s="14"/>
      <c r="O307" s="14"/>
      <c r="P307" s="14"/>
      <c r="Q307" s="14"/>
      <c r="R307" s="17"/>
    </row>
    <row r="308" spans="1:18">
      <c r="A308" s="2"/>
      <c r="B308" s="11" t="s">
        <v>25</v>
      </c>
      <c r="C308" s="4"/>
      <c r="D308" s="4"/>
      <c r="E308" s="4"/>
      <c r="F308" s="4"/>
      <c r="G308" s="18"/>
      <c r="H308" s="36">
        <v>0</v>
      </c>
      <c r="I308" s="20"/>
      <c r="J308" s="4" t="s">
        <v>26</v>
      </c>
      <c r="K308" s="4"/>
      <c r="L308" s="18"/>
      <c r="M308" s="19"/>
      <c r="N308" s="4"/>
      <c r="O308" s="4"/>
      <c r="P308" s="4"/>
      <c r="Q308" s="4"/>
      <c r="R308" s="20"/>
    </row>
    <row r="309" spans="1:18">
      <c r="A309" s="23"/>
      <c r="B309" s="11" t="s">
        <v>14</v>
      </c>
      <c r="C309" s="4"/>
      <c r="D309" s="4"/>
      <c r="E309" s="4"/>
      <c r="F309" s="4"/>
      <c r="G309" s="18"/>
      <c r="H309" s="36">
        <f>SUM(H307:H308)</f>
        <v>7328.8644000000004</v>
      </c>
      <c r="I309" s="20"/>
      <c r="J309" s="741" t="s">
        <v>690</v>
      </c>
      <c r="K309" s="742"/>
      <c r="L309" s="742"/>
      <c r="M309" s="742"/>
      <c r="N309" s="742"/>
      <c r="O309" s="742"/>
      <c r="P309" s="742"/>
      <c r="Q309" s="742"/>
      <c r="R309" s="743"/>
    </row>
    <row r="310" spans="1:18">
      <c r="A310" s="23"/>
      <c r="B310" s="11" t="s">
        <v>24</v>
      </c>
      <c r="C310" s="4"/>
      <c r="D310" s="4"/>
      <c r="E310" s="4"/>
      <c r="F310" s="4"/>
      <c r="G310" s="18"/>
      <c r="H310" s="36">
        <f>H309*15%</f>
        <v>1099.3296600000001</v>
      </c>
      <c r="I310" s="20"/>
      <c r="J310" s="744"/>
      <c r="K310" s="745"/>
      <c r="L310" s="745"/>
      <c r="M310" s="745"/>
      <c r="N310" s="745"/>
      <c r="O310" s="745"/>
      <c r="P310" s="745"/>
      <c r="Q310" s="745"/>
      <c r="R310" s="746"/>
    </row>
    <row r="311" spans="1:18">
      <c r="A311" s="23"/>
      <c r="B311" s="11" t="s">
        <v>15</v>
      </c>
      <c r="C311" s="4"/>
      <c r="D311" s="4"/>
      <c r="E311" s="4"/>
      <c r="F311" s="4"/>
      <c r="G311" s="21" t="s">
        <v>16</v>
      </c>
      <c r="H311" s="37">
        <f>H310+H309</f>
        <v>8428.1940599999998</v>
      </c>
      <c r="I311" s="38" t="str">
        <f>CONCATENATE("per ",C297, C298)</f>
        <v>per 1m</v>
      </c>
      <c r="J311" s="744"/>
      <c r="K311" s="745"/>
      <c r="L311" s="745"/>
      <c r="M311" s="745"/>
      <c r="N311" s="745"/>
      <c r="O311" s="745"/>
      <c r="P311" s="745"/>
      <c r="Q311" s="745"/>
      <c r="R311" s="746"/>
    </row>
    <row r="312" spans="1:18">
      <c r="A312" s="23"/>
      <c r="B312" s="11"/>
      <c r="C312" s="4"/>
      <c r="D312" s="4"/>
      <c r="E312" s="4"/>
      <c r="F312" s="4"/>
      <c r="G312" s="21" t="s">
        <v>16</v>
      </c>
      <c r="H312" s="37">
        <f>H311/C297</f>
        <v>8428.1940599999998</v>
      </c>
      <c r="I312" s="38" t="str">
        <f>CONCATENATE("per ",C298)</f>
        <v>per m</v>
      </c>
      <c r="J312" s="744"/>
      <c r="K312" s="745"/>
      <c r="L312" s="745"/>
      <c r="M312" s="745"/>
      <c r="N312" s="745"/>
      <c r="O312" s="745"/>
      <c r="P312" s="745"/>
      <c r="Q312" s="745"/>
      <c r="R312" s="746"/>
    </row>
    <row r="313" spans="1:18">
      <c r="A313" s="23"/>
      <c r="B313" s="11" t="s">
        <v>18</v>
      </c>
      <c r="C313" s="4" t="s">
        <v>19</v>
      </c>
      <c r="D313" s="4"/>
      <c r="E313" s="4"/>
      <c r="F313" s="4"/>
      <c r="G313" s="21" t="s">
        <v>16</v>
      </c>
      <c r="H313" s="37">
        <f>CEILING(H312,0.5)</f>
        <v>8428.5</v>
      </c>
      <c r="I313" s="38" t="str">
        <f>CONCATENATE("per ",C298)</f>
        <v>per m</v>
      </c>
      <c r="J313" s="744"/>
      <c r="K313" s="745"/>
      <c r="L313" s="745"/>
      <c r="M313" s="745"/>
      <c r="N313" s="745"/>
      <c r="O313" s="745"/>
      <c r="P313" s="745"/>
      <c r="Q313" s="745"/>
      <c r="R313" s="746"/>
    </row>
    <row r="314" spans="1:18">
      <c r="A314" s="23"/>
      <c r="B314" s="11"/>
      <c r="C314" s="4"/>
      <c r="D314" s="4"/>
      <c r="E314" s="4"/>
      <c r="F314" s="4"/>
      <c r="G314" s="24" t="s">
        <v>17</v>
      </c>
      <c r="H314" s="37">
        <f>H313/exr</f>
        <v>64.83461538461539</v>
      </c>
      <c r="I314" s="38" t="str">
        <f>CONCATENATE("per ",C298)</f>
        <v>per m</v>
      </c>
      <c r="J314" s="747"/>
      <c r="K314" s="748"/>
      <c r="L314" s="748"/>
      <c r="M314" s="748"/>
      <c r="N314" s="748"/>
      <c r="O314" s="748"/>
      <c r="P314" s="748"/>
      <c r="Q314" s="748"/>
      <c r="R314" s="749"/>
    </row>
    <row r="315" spans="1:18">
      <c r="A315" s="39"/>
      <c r="B315" s="40"/>
      <c r="C315" s="41"/>
      <c r="D315" s="41"/>
      <c r="E315" s="41"/>
      <c r="F315" s="41"/>
      <c r="G315" s="149" t="s">
        <v>460</v>
      </c>
      <c r="H315" s="150">
        <f>H269</f>
        <v>0.85750000000000004</v>
      </c>
      <c r="I315" s="42"/>
      <c r="J315" s="43"/>
      <c r="K315" s="43"/>
      <c r="L315" s="43"/>
      <c r="M315" s="43"/>
      <c r="N315" s="43"/>
      <c r="O315" s="43"/>
      <c r="P315" s="43"/>
      <c r="Q315" s="43"/>
      <c r="R315" s="44"/>
    </row>
    <row r="317" spans="1:18">
      <c r="A317" s="693" t="s">
        <v>0</v>
      </c>
      <c r="B317" s="695" t="s">
        <v>1</v>
      </c>
      <c r="C317" s="695" t="s">
        <v>2</v>
      </c>
      <c r="D317" s="697" t="s">
        <v>3</v>
      </c>
      <c r="E317" s="698"/>
      <c r="F317" s="698"/>
      <c r="G317" s="698"/>
      <c r="H317" s="698"/>
      <c r="I317" s="699" t="s">
        <v>4</v>
      </c>
      <c r="J317" s="700"/>
      <c r="K317" s="700"/>
      <c r="L317" s="700"/>
      <c r="M317" s="700"/>
      <c r="N317" s="698" t="s">
        <v>5</v>
      </c>
      <c r="O317" s="698"/>
      <c r="P317" s="698"/>
      <c r="Q317" s="698"/>
      <c r="R317" s="698"/>
    </row>
    <row r="318" spans="1:18">
      <c r="A318" s="694"/>
      <c r="B318" s="759"/>
      <c r="C318" s="696"/>
      <c r="D318" s="45" t="s">
        <v>6</v>
      </c>
      <c r="E318" s="46" t="s">
        <v>2</v>
      </c>
      <c r="F318" s="46" t="s">
        <v>7</v>
      </c>
      <c r="G318" s="46" t="s">
        <v>8</v>
      </c>
      <c r="H318" s="46" t="s">
        <v>9</v>
      </c>
      <c r="I318" s="46" t="s">
        <v>10</v>
      </c>
      <c r="J318" s="46" t="s">
        <v>2</v>
      </c>
      <c r="K318" s="46" t="s">
        <v>7</v>
      </c>
      <c r="L318" s="46" t="s">
        <v>8</v>
      </c>
      <c r="M318" s="47" t="s">
        <v>9</v>
      </c>
      <c r="N318" s="46" t="s">
        <v>10</v>
      </c>
      <c r="O318" s="46" t="s">
        <v>2</v>
      </c>
      <c r="P318" s="46" t="s">
        <v>7</v>
      </c>
      <c r="Q318" s="46" t="s">
        <v>8</v>
      </c>
      <c r="R318" s="46" t="s">
        <v>9</v>
      </c>
    </row>
    <row r="319" spans="1:18">
      <c r="A319" s="33" t="s">
        <v>23</v>
      </c>
      <c r="B319" s="127">
        <v>27.04</v>
      </c>
      <c r="C319" s="31"/>
      <c r="D319" s="31"/>
      <c r="E319" s="31"/>
      <c r="F319" s="31"/>
      <c r="G319" s="31"/>
      <c r="H319" s="31"/>
      <c r="I319" s="31"/>
      <c r="J319" s="31"/>
      <c r="K319" s="31"/>
      <c r="L319" s="31"/>
      <c r="M319" s="31"/>
      <c r="N319" s="31"/>
      <c r="O319" s="31"/>
      <c r="P319" s="31"/>
      <c r="Q319" s="31"/>
      <c r="R319" s="32"/>
    </row>
    <row r="320" spans="1:18">
      <c r="A320" s="34">
        <v>1</v>
      </c>
      <c r="B320" s="713" t="s">
        <v>837</v>
      </c>
      <c r="C320" s="66">
        <v>100</v>
      </c>
      <c r="D320" s="4"/>
      <c r="E320" s="6"/>
      <c r="F320" s="29"/>
      <c r="G320" s="26"/>
      <c r="H320" s="26"/>
      <c r="I320" s="6"/>
      <c r="J320" s="6"/>
      <c r="K320" s="29"/>
      <c r="L320" s="26"/>
      <c r="M320" s="26"/>
      <c r="N320" s="6"/>
      <c r="O320" s="6"/>
      <c r="P320" s="29"/>
      <c r="Q320" s="26"/>
      <c r="R320" s="26"/>
    </row>
    <row r="321" spans="1:18">
      <c r="A321" s="2"/>
      <c r="B321" s="714"/>
      <c r="C321" s="124" t="s">
        <v>28</v>
      </c>
      <c r="D321" s="4" t="s">
        <v>97</v>
      </c>
      <c r="E321" s="6" t="s">
        <v>81</v>
      </c>
      <c r="F321" s="29">
        <v>0.13</v>
      </c>
      <c r="G321" s="26">
        <f>ur</f>
        <v>850</v>
      </c>
      <c r="H321" s="26">
        <f>F321*G321</f>
        <v>110.5</v>
      </c>
      <c r="I321" s="7" t="s">
        <v>67</v>
      </c>
      <c r="J321" s="8" t="s">
        <v>250</v>
      </c>
      <c r="K321" s="29">
        <v>8</v>
      </c>
      <c r="L321" s="28">
        <f>diesel</f>
        <v>177.6</v>
      </c>
      <c r="M321" s="26">
        <f>K321*L321</f>
        <v>1420.8</v>
      </c>
      <c r="N321" s="8" t="s">
        <v>351</v>
      </c>
      <c r="O321" s="6" t="s">
        <v>101</v>
      </c>
      <c r="P321" s="29">
        <v>0.8</v>
      </c>
      <c r="Q321" s="28">
        <f>mixer</f>
        <v>216.32</v>
      </c>
      <c r="R321" s="26">
        <f>P321*Q321</f>
        <v>173.05600000000001</v>
      </c>
    </row>
    <row r="322" spans="1:18">
      <c r="A322" s="2"/>
      <c r="B322" s="714"/>
      <c r="C322" s="6"/>
      <c r="D322" s="4" t="s">
        <v>77</v>
      </c>
      <c r="E322" s="6" t="s">
        <v>81</v>
      </c>
      <c r="F322" s="29">
        <v>0.26</v>
      </c>
      <c r="G322" s="26">
        <f>or</f>
        <v>1840</v>
      </c>
      <c r="H322" s="26">
        <f>F322*G322</f>
        <v>478.40000000000003</v>
      </c>
      <c r="I322" s="7" t="s">
        <v>31</v>
      </c>
      <c r="J322" s="8" t="s">
        <v>335</v>
      </c>
      <c r="K322" s="29">
        <v>100</v>
      </c>
      <c r="L322" s="28">
        <f>cement/1000</f>
        <v>24.049689999999998</v>
      </c>
      <c r="M322" s="26">
        <f>K322*L322</f>
        <v>2404.9690000000001</v>
      </c>
      <c r="N322" s="8" t="s">
        <v>352</v>
      </c>
      <c r="O322" s="6" t="s">
        <v>101</v>
      </c>
      <c r="P322" s="29">
        <v>0.6</v>
      </c>
      <c r="Q322" s="28">
        <f>grout_pump</f>
        <v>540.79999999999995</v>
      </c>
      <c r="R322" s="26">
        <f>P322*Q322</f>
        <v>324.47999999999996</v>
      </c>
    </row>
    <row r="323" spans="1:18">
      <c r="A323" s="2"/>
      <c r="B323" s="126"/>
      <c r="C323" s="6"/>
      <c r="D323" s="4"/>
      <c r="E323" s="6"/>
      <c r="F323" s="29"/>
      <c r="G323" s="26"/>
      <c r="H323" s="26"/>
      <c r="I323" s="7"/>
      <c r="J323" s="8"/>
      <c r="K323" s="29"/>
      <c r="L323" s="28"/>
      <c r="M323" s="26"/>
      <c r="N323" s="8" t="s">
        <v>353</v>
      </c>
      <c r="O323" s="6"/>
      <c r="P323" s="29"/>
      <c r="Q323" s="28"/>
      <c r="R323" s="26"/>
    </row>
    <row r="324" spans="1:18">
      <c r="A324" s="2"/>
      <c r="B324" s="126"/>
      <c r="C324" s="6"/>
      <c r="D324" s="4"/>
      <c r="E324" s="6"/>
      <c r="F324" s="29"/>
      <c r="G324" s="26"/>
      <c r="H324" s="26"/>
      <c r="I324" s="7"/>
      <c r="J324" s="8"/>
      <c r="K324" s="29"/>
      <c r="L324" s="28"/>
      <c r="M324" s="26"/>
      <c r="N324" s="8" t="s">
        <v>660</v>
      </c>
      <c r="O324" s="6" t="s">
        <v>101</v>
      </c>
      <c r="P324" s="29">
        <v>0.06</v>
      </c>
      <c r="Q324" s="28">
        <f>fan</f>
        <v>260.67</v>
      </c>
      <c r="R324" s="26">
        <f>P324*Q324</f>
        <v>15.6402</v>
      </c>
    </row>
    <row r="325" spans="1:18">
      <c r="A325" s="2"/>
      <c r="B325" s="5"/>
      <c r="C325" s="6"/>
      <c r="D325" s="4"/>
      <c r="E325" s="9"/>
      <c r="F325" s="30"/>
      <c r="G325" s="27"/>
      <c r="H325" s="27"/>
      <c r="I325" s="9"/>
      <c r="J325" s="10"/>
      <c r="K325" s="30"/>
      <c r="L325" s="28"/>
      <c r="M325" s="28"/>
      <c r="N325" s="8" t="s">
        <v>661</v>
      </c>
      <c r="O325" s="6" t="s">
        <v>12</v>
      </c>
      <c r="P325" s="30"/>
      <c r="Q325" s="28"/>
      <c r="R325" s="28">
        <v>15</v>
      </c>
    </row>
    <row r="326" spans="1:18">
      <c r="A326" s="2"/>
      <c r="B326" s="11"/>
      <c r="C326" s="6"/>
      <c r="D326" s="12"/>
      <c r="E326" s="59"/>
      <c r="F326" s="13"/>
      <c r="G326" s="13" t="s">
        <v>20</v>
      </c>
      <c r="H326" s="25">
        <f>SUM(H320:H325)</f>
        <v>588.90000000000009</v>
      </c>
      <c r="I326" s="703"/>
      <c r="J326" s="703"/>
      <c r="K326" s="14"/>
      <c r="L326" s="13" t="s">
        <v>21</v>
      </c>
      <c r="M326" s="25">
        <f>SUM(M320:M325)</f>
        <v>3825.7690000000002</v>
      </c>
      <c r="N326" s="3"/>
      <c r="O326" s="14"/>
      <c r="P326" s="14"/>
      <c r="Q326" s="13" t="s">
        <v>22</v>
      </c>
      <c r="R326" s="25">
        <f>SUM(R320:R325)</f>
        <v>528.17619999999999</v>
      </c>
    </row>
    <row r="327" spans="1:18">
      <c r="A327" s="2"/>
      <c r="B327" s="16" t="s">
        <v>13</v>
      </c>
      <c r="C327" s="14"/>
      <c r="D327" s="14"/>
      <c r="E327" s="14"/>
      <c r="F327" s="14"/>
      <c r="G327" s="13"/>
      <c r="H327" s="35">
        <f>M326+R326+H326</f>
        <v>4942.8451999999997</v>
      </c>
      <c r="I327" s="17"/>
      <c r="J327" s="14"/>
      <c r="K327" s="14"/>
      <c r="L327" s="13"/>
      <c r="M327" s="15"/>
      <c r="N327" s="14"/>
      <c r="O327" s="14"/>
      <c r="P327" s="14"/>
      <c r="Q327" s="14"/>
      <c r="R327" s="17"/>
    </row>
    <row r="328" spans="1:18">
      <c r="A328" s="2"/>
      <c r="B328" s="11" t="s">
        <v>25</v>
      </c>
      <c r="C328" s="4"/>
      <c r="D328" s="4"/>
      <c r="E328" s="4"/>
      <c r="F328" s="4"/>
      <c r="G328" s="18"/>
      <c r="H328" s="36">
        <v>0</v>
      </c>
      <c r="I328" s="20"/>
      <c r="J328" s="4" t="s">
        <v>26</v>
      </c>
      <c r="K328" s="4"/>
      <c r="L328" s="18"/>
      <c r="M328" s="19"/>
      <c r="N328" s="4"/>
      <c r="O328" s="4"/>
      <c r="P328" s="4"/>
      <c r="Q328" s="4"/>
      <c r="R328" s="20"/>
    </row>
    <row r="329" spans="1:18">
      <c r="A329" s="23"/>
      <c r="B329" s="11" t="s">
        <v>14</v>
      </c>
      <c r="C329" s="4"/>
      <c r="D329" s="4"/>
      <c r="E329" s="4"/>
      <c r="F329" s="4"/>
      <c r="G329" s="18"/>
      <c r="H329" s="36">
        <f>SUM(H327:H328)</f>
        <v>4942.8451999999997</v>
      </c>
      <c r="I329" s="20"/>
      <c r="J329" s="741"/>
      <c r="K329" s="742"/>
      <c r="L329" s="742"/>
      <c r="M329" s="742"/>
      <c r="N329" s="742"/>
      <c r="O329" s="742"/>
      <c r="P329" s="742"/>
      <c r="Q329" s="742"/>
      <c r="R329" s="743"/>
    </row>
    <row r="330" spans="1:18">
      <c r="A330" s="23"/>
      <c r="B330" s="11" t="s">
        <v>24</v>
      </c>
      <c r="C330" s="4"/>
      <c r="D330" s="4"/>
      <c r="E330" s="4"/>
      <c r="F330" s="4"/>
      <c r="G330" s="18"/>
      <c r="H330" s="36">
        <f>H329*15%</f>
        <v>741.42677999999989</v>
      </c>
      <c r="I330" s="20"/>
      <c r="J330" s="744"/>
      <c r="K330" s="745"/>
      <c r="L330" s="745"/>
      <c r="M330" s="745"/>
      <c r="N330" s="745"/>
      <c r="O330" s="745"/>
      <c r="P330" s="745"/>
      <c r="Q330" s="745"/>
      <c r="R330" s="746"/>
    </row>
    <row r="331" spans="1:18">
      <c r="A331" s="23"/>
      <c r="B331" s="11" t="s">
        <v>15</v>
      </c>
      <c r="C331" s="4"/>
      <c r="D331" s="4"/>
      <c r="E331" s="4"/>
      <c r="F331" s="4"/>
      <c r="G331" s="21" t="s">
        <v>16</v>
      </c>
      <c r="H331" s="37">
        <f>H330+H329</f>
        <v>5684.2719799999995</v>
      </c>
      <c r="I331" s="38" t="str">
        <f>CONCATENATE("per ",C320, C321)</f>
        <v>per 100kg</v>
      </c>
      <c r="J331" s="744"/>
      <c r="K331" s="745"/>
      <c r="L331" s="745"/>
      <c r="M331" s="745"/>
      <c r="N331" s="745"/>
      <c r="O331" s="745"/>
      <c r="P331" s="745"/>
      <c r="Q331" s="745"/>
      <c r="R331" s="746"/>
    </row>
    <row r="332" spans="1:18">
      <c r="A332" s="23"/>
      <c r="B332" s="11"/>
      <c r="C332" s="4"/>
      <c r="D332" s="4"/>
      <c r="E332" s="4"/>
      <c r="F332" s="4"/>
      <c r="G332" s="21" t="s">
        <v>16</v>
      </c>
      <c r="H332" s="37">
        <f>H331/C320</f>
        <v>56.842719799999998</v>
      </c>
      <c r="I332" s="38" t="str">
        <f>CONCATENATE("per ",C321)</f>
        <v>per kg</v>
      </c>
      <c r="J332" s="744"/>
      <c r="K332" s="745"/>
      <c r="L332" s="745"/>
      <c r="M332" s="745"/>
      <c r="N332" s="745"/>
      <c r="O332" s="745"/>
      <c r="P332" s="745"/>
      <c r="Q332" s="745"/>
      <c r="R332" s="746"/>
    </row>
    <row r="333" spans="1:18">
      <c r="A333" s="23"/>
      <c r="B333" s="11" t="s">
        <v>18</v>
      </c>
      <c r="C333" s="4" t="s">
        <v>19</v>
      </c>
      <c r="D333" s="4"/>
      <c r="E333" s="4"/>
      <c r="F333" s="4"/>
      <c r="G333" s="21" t="s">
        <v>16</v>
      </c>
      <c r="H333" s="37">
        <f>CEILING(H332,0.5)</f>
        <v>57</v>
      </c>
      <c r="I333" s="38" t="str">
        <f>CONCATENATE("per ",C321)</f>
        <v>per kg</v>
      </c>
      <c r="J333" s="744"/>
      <c r="K333" s="745"/>
      <c r="L333" s="745"/>
      <c r="M333" s="745"/>
      <c r="N333" s="745"/>
      <c r="O333" s="745"/>
      <c r="P333" s="745"/>
      <c r="Q333" s="745"/>
      <c r="R333" s="746"/>
    </row>
    <row r="334" spans="1:18">
      <c r="A334" s="23"/>
      <c r="B334" s="11"/>
      <c r="C334" s="4"/>
      <c r="D334" s="4"/>
      <c r="E334" s="4"/>
      <c r="F334" s="4"/>
      <c r="G334" s="24" t="s">
        <v>17</v>
      </c>
      <c r="H334" s="37">
        <f>H333/exr</f>
        <v>0.43846153846153846</v>
      </c>
      <c r="I334" s="38" t="str">
        <f>CONCATENATE("per ",C321)</f>
        <v>per kg</v>
      </c>
      <c r="J334" s="747"/>
      <c r="K334" s="748"/>
      <c r="L334" s="748"/>
      <c r="M334" s="748"/>
      <c r="N334" s="748"/>
      <c r="O334" s="748"/>
      <c r="P334" s="748"/>
      <c r="Q334" s="748"/>
      <c r="R334" s="749"/>
    </row>
    <row r="335" spans="1:18">
      <c r="A335" s="39"/>
      <c r="B335" s="40"/>
      <c r="C335" s="41"/>
      <c r="D335" s="41"/>
      <c r="E335" s="41"/>
      <c r="F335" s="41"/>
      <c r="G335" s="149" t="s">
        <v>460</v>
      </c>
      <c r="H335" s="150">
        <f>CEILING(SUM(M321,M322,R321,R322)/H327,0.0025)</f>
        <v>0.875</v>
      </c>
      <c r="I335" s="42"/>
      <c r="J335" s="43"/>
      <c r="K335" s="43"/>
      <c r="L335" s="43"/>
      <c r="M335" s="43"/>
      <c r="N335" s="43"/>
      <c r="O335" s="43"/>
      <c r="P335" s="43"/>
      <c r="Q335" s="43"/>
      <c r="R335" s="44"/>
    </row>
  </sheetData>
  <mergeCells count="144">
    <mergeCell ref="N1:R1"/>
    <mergeCell ref="A108:A109"/>
    <mergeCell ref="B108:B109"/>
    <mergeCell ref="C108:C109"/>
    <mergeCell ref="D108:H108"/>
    <mergeCell ref="I108:M108"/>
    <mergeCell ref="A23:A24"/>
    <mergeCell ref="B23:B24"/>
    <mergeCell ref="B4:B6"/>
    <mergeCell ref="A1:A2"/>
    <mergeCell ref="B1:B2"/>
    <mergeCell ref="C1:C2"/>
    <mergeCell ref="D1:H1"/>
    <mergeCell ref="I1:M1"/>
    <mergeCell ref="I12:J12"/>
    <mergeCell ref="J15:R20"/>
    <mergeCell ref="C23:C24"/>
    <mergeCell ref="D23:H23"/>
    <mergeCell ref="D67:H67"/>
    <mergeCell ref="I67:M67"/>
    <mergeCell ref="N67:R67"/>
    <mergeCell ref="B93:B94"/>
    <mergeCell ref="I98:J98"/>
    <mergeCell ref="N23:R23"/>
    <mergeCell ref="B26:B28"/>
    <mergeCell ref="I34:J34"/>
    <mergeCell ref="J37:R41"/>
    <mergeCell ref="N44:R44"/>
    <mergeCell ref="B47:B49"/>
    <mergeCell ref="I80:J80"/>
    <mergeCell ref="J83:R87"/>
    <mergeCell ref="N90:R90"/>
    <mergeCell ref="I23:M23"/>
    <mergeCell ref="B70:B72"/>
    <mergeCell ref="A44:A45"/>
    <mergeCell ref="B44:B45"/>
    <mergeCell ref="C44:C45"/>
    <mergeCell ref="D44:H44"/>
    <mergeCell ref="I44:M44"/>
    <mergeCell ref="A67:A68"/>
    <mergeCell ref="B67:B68"/>
    <mergeCell ref="C67:C68"/>
    <mergeCell ref="J101:R105"/>
    <mergeCell ref="I132:J132"/>
    <mergeCell ref="I57:J57"/>
    <mergeCell ref="J60:R64"/>
    <mergeCell ref="A90:A91"/>
    <mergeCell ref="B90:B91"/>
    <mergeCell ref="C90:C91"/>
    <mergeCell ref="D90:H90"/>
    <mergeCell ref="I90:M90"/>
    <mergeCell ref="B111:B112"/>
    <mergeCell ref="I115:J115"/>
    <mergeCell ref="J118:R122"/>
    <mergeCell ref="A125:A126"/>
    <mergeCell ref="B125:B126"/>
    <mergeCell ref="C125:C126"/>
    <mergeCell ref="D125:H125"/>
    <mergeCell ref="I125:M125"/>
    <mergeCell ref="N125:R125"/>
    <mergeCell ref="N108:R108"/>
    <mergeCell ref="B128:B129"/>
    <mergeCell ref="J135:R139"/>
    <mergeCell ref="A142:A143"/>
    <mergeCell ref="B142:B143"/>
    <mergeCell ref="C142:C143"/>
    <mergeCell ref="D142:H142"/>
    <mergeCell ref="I142:M142"/>
    <mergeCell ref="N142:R142"/>
    <mergeCell ref="B145:B146"/>
    <mergeCell ref="I149:J149"/>
    <mergeCell ref="J152:R156"/>
    <mergeCell ref="A159:A160"/>
    <mergeCell ref="B159:B160"/>
    <mergeCell ref="C159:C160"/>
    <mergeCell ref="D159:H159"/>
    <mergeCell ref="I159:M159"/>
    <mergeCell ref="N159:R159"/>
    <mergeCell ref="B162:B163"/>
    <mergeCell ref="I171:J171"/>
    <mergeCell ref="J174:R178"/>
    <mergeCell ref="A181:A182"/>
    <mergeCell ref="B181:B182"/>
    <mergeCell ref="C181:C182"/>
    <mergeCell ref="D181:H181"/>
    <mergeCell ref="I181:M181"/>
    <mergeCell ref="N181:R181"/>
    <mergeCell ref="B184:B186"/>
    <mergeCell ref="I193:J193"/>
    <mergeCell ref="J196:R200"/>
    <mergeCell ref="A203:A204"/>
    <mergeCell ref="B203:B204"/>
    <mergeCell ref="C203:C204"/>
    <mergeCell ref="D203:H203"/>
    <mergeCell ref="I203:M203"/>
    <mergeCell ref="N203:R203"/>
    <mergeCell ref="B206:B208"/>
    <mergeCell ref="I215:J215"/>
    <mergeCell ref="J218:R222"/>
    <mergeCell ref="A225:A226"/>
    <mergeCell ref="B225:B226"/>
    <mergeCell ref="C225:C226"/>
    <mergeCell ref="D225:H225"/>
    <mergeCell ref="I225:M225"/>
    <mergeCell ref="N225:R225"/>
    <mergeCell ref="B228:B230"/>
    <mergeCell ref="I237:J237"/>
    <mergeCell ref="J240:R245"/>
    <mergeCell ref="A248:A249"/>
    <mergeCell ref="B248:B249"/>
    <mergeCell ref="C248:C249"/>
    <mergeCell ref="D248:H248"/>
    <mergeCell ref="I248:M248"/>
    <mergeCell ref="N248:R248"/>
    <mergeCell ref="I283:J283"/>
    <mergeCell ref="B251:B253"/>
    <mergeCell ref="A294:A295"/>
    <mergeCell ref="B294:B295"/>
    <mergeCell ref="C294:C295"/>
    <mergeCell ref="D294:H294"/>
    <mergeCell ref="I294:M294"/>
    <mergeCell ref="N294:R294"/>
    <mergeCell ref="J286:R291"/>
    <mergeCell ref="I260:J260"/>
    <mergeCell ref="J263:R268"/>
    <mergeCell ref="A271:A272"/>
    <mergeCell ref="B271:B272"/>
    <mergeCell ref="C271:C272"/>
    <mergeCell ref="D271:H271"/>
    <mergeCell ref="I271:M271"/>
    <mergeCell ref="N271:R271"/>
    <mergeCell ref="B274:B276"/>
    <mergeCell ref="B320:B322"/>
    <mergeCell ref="I326:J326"/>
    <mergeCell ref="J329:R334"/>
    <mergeCell ref="B297:B299"/>
    <mergeCell ref="I306:J306"/>
    <mergeCell ref="J309:R314"/>
    <mergeCell ref="A317:A318"/>
    <mergeCell ref="B317:B318"/>
    <mergeCell ref="C317:C318"/>
    <mergeCell ref="D317:H317"/>
    <mergeCell ref="I317:M317"/>
    <mergeCell ref="N317:R317"/>
  </mergeCells>
  <printOptions horizontalCentered="1"/>
  <pageMargins left="0.7" right="0.7" top="0.75" bottom="0.75" header="0.3" footer="0.3"/>
  <pageSetup paperSize="9" scale="65" orientation="landscape" r:id="rId1"/>
  <headerFooter>
    <oddHeader>&amp;L&amp;"Gill Sans MT,Italic"&amp;9Hydro Consult
Nyadi Hydropower Project&amp;C&amp;"Gill Sans MT,Regular"RATE ANALYSIS&amp;R&amp;"Gill Sans MT,Italic"&amp;9&amp;A</oddHeader>
    <oddFooter>&amp;R&amp;"Gill Sans MT,Italic"&amp;9Page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19"/>
  <sheetViews>
    <sheetView workbookViewId="0">
      <selection activeCell="C5" sqref="C5"/>
    </sheetView>
  </sheetViews>
  <sheetFormatPr defaultColWidth="9.140625" defaultRowHeight="15"/>
  <cols>
    <col min="1" max="1" width="5" style="48" customWidth="1"/>
    <col min="2" max="2" width="30.140625" style="48" bestFit="1" customWidth="1"/>
    <col min="3" max="3" width="11" style="48" bestFit="1" customWidth="1"/>
    <col min="4" max="4" width="9.140625" style="48"/>
    <col min="5" max="5" width="10.42578125" style="48" bestFit="1" customWidth="1"/>
    <col min="6" max="10" width="9.140625" style="48"/>
    <col min="11" max="11" width="23.85546875" style="48" customWidth="1"/>
    <col min="12" max="16384" width="9.140625" style="48"/>
  </cols>
  <sheetData>
    <row r="1" spans="1:11">
      <c r="A1" s="48" t="s">
        <v>869</v>
      </c>
    </row>
    <row r="3" spans="1:11" ht="15" customHeight="1">
      <c r="A3" s="670" t="s">
        <v>122</v>
      </c>
      <c r="B3" s="670" t="s">
        <v>123</v>
      </c>
      <c r="C3" s="667" t="s">
        <v>404</v>
      </c>
      <c r="D3" s="668"/>
      <c r="E3" s="669"/>
      <c r="K3" s="561" t="s">
        <v>913</v>
      </c>
    </row>
    <row r="4" spans="1:11" ht="15" customHeight="1">
      <c r="A4" s="671"/>
      <c r="B4" s="671"/>
      <c r="C4" s="60" t="s">
        <v>401</v>
      </c>
      <c r="D4" s="60" t="s">
        <v>402</v>
      </c>
      <c r="E4" s="60" t="s">
        <v>403</v>
      </c>
    </row>
    <row r="5" spans="1:11">
      <c r="A5" s="51">
        <v>1</v>
      </c>
      <c r="B5" s="52" t="s">
        <v>868</v>
      </c>
      <c r="C5" s="57">
        <v>0</v>
      </c>
      <c r="D5" s="57">
        <v>0</v>
      </c>
      <c r="E5" s="57">
        <v>0</v>
      </c>
      <c r="H5" s="560" t="s">
        <v>744</v>
      </c>
      <c r="K5" s="560" t="s">
        <v>886</v>
      </c>
    </row>
    <row r="6" spans="1:11">
      <c r="A6" s="51">
        <f t="shared" ref="A6:A19" si="0">A5+1</f>
        <v>2</v>
      </c>
      <c r="B6" s="52" t="s">
        <v>124</v>
      </c>
      <c r="C6" s="57">
        <v>280</v>
      </c>
      <c r="D6" s="57">
        <v>0</v>
      </c>
      <c r="E6" s="57">
        <v>0</v>
      </c>
      <c r="H6" s="560" t="s">
        <v>871</v>
      </c>
      <c r="K6" s="560" t="s">
        <v>981</v>
      </c>
    </row>
    <row r="7" spans="1:11">
      <c r="A7" s="51">
        <f t="shared" si="0"/>
        <v>3</v>
      </c>
      <c r="B7" s="52" t="s">
        <v>882</v>
      </c>
      <c r="C7" s="57">
        <v>80</v>
      </c>
      <c r="D7" s="57">
        <v>0</v>
      </c>
      <c r="E7" s="57">
        <v>0</v>
      </c>
      <c r="K7" s="560" t="s">
        <v>981</v>
      </c>
    </row>
    <row r="8" spans="1:11">
      <c r="A8" s="51">
        <f t="shared" si="0"/>
        <v>4</v>
      </c>
      <c r="B8" s="52" t="s">
        <v>881</v>
      </c>
      <c r="C8" s="57">
        <v>138.4</v>
      </c>
      <c r="D8" s="57">
        <v>0</v>
      </c>
      <c r="E8" s="57">
        <v>0</v>
      </c>
      <c r="K8" s="560" t="s">
        <v>887</v>
      </c>
    </row>
    <row r="9" spans="1:11">
      <c r="A9" s="51">
        <f t="shared" si="0"/>
        <v>5</v>
      </c>
      <c r="B9" s="52" t="s">
        <v>880</v>
      </c>
      <c r="C9" s="57">
        <v>71.61</v>
      </c>
      <c r="D9" s="57">
        <v>0</v>
      </c>
      <c r="E9" s="57">
        <v>0</v>
      </c>
      <c r="K9" s="560" t="s">
        <v>887</v>
      </c>
    </row>
    <row r="10" spans="1:11">
      <c r="A10" s="51">
        <f t="shared" si="0"/>
        <v>6</v>
      </c>
      <c r="B10" s="52" t="s">
        <v>879</v>
      </c>
      <c r="C10" s="57">
        <v>54.28</v>
      </c>
      <c r="D10" s="57">
        <v>0</v>
      </c>
      <c r="E10" s="57">
        <v>0</v>
      </c>
      <c r="K10" s="560"/>
    </row>
    <row r="11" spans="1:11">
      <c r="A11" s="51">
        <f t="shared" si="0"/>
        <v>7</v>
      </c>
      <c r="B11" s="52" t="s">
        <v>878</v>
      </c>
      <c r="C11" s="57">
        <v>152.55000000000001</v>
      </c>
      <c r="D11" s="57">
        <v>0</v>
      </c>
      <c r="E11" s="57">
        <v>0</v>
      </c>
      <c r="K11" s="560"/>
    </row>
    <row r="12" spans="1:11">
      <c r="A12" s="51">
        <f t="shared" si="0"/>
        <v>8</v>
      </c>
      <c r="B12" s="52" t="s">
        <v>870</v>
      </c>
      <c r="C12" s="136">
        <v>194.58</v>
      </c>
      <c r="D12" s="57">
        <v>0</v>
      </c>
      <c r="E12" s="57">
        <v>0</v>
      </c>
      <c r="K12" s="560"/>
    </row>
    <row r="13" spans="1:11">
      <c r="A13" s="51">
        <f t="shared" si="0"/>
        <v>9</v>
      </c>
      <c r="B13" s="52" t="s">
        <v>876</v>
      </c>
      <c r="C13" s="57">
        <v>120</v>
      </c>
      <c r="D13" s="57">
        <v>0</v>
      </c>
      <c r="E13" s="57">
        <v>0</v>
      </c>
      <c r="K13" s="560" t="s">
        <v>887</v>
      </c>
    </row>
    <row r="14" spans="1:11">
      <c r="A14" s="51">
        <f t="shared" si="0"/>
        <v>10</v>
      </c>
      <c r="B14" s="238" t="s">
        <v>883</v>
      </c>
      <c r="C14" s="57">
        <v>272.69</v>
      </c>
      <c r="D14" s="57">
        <v>0</v>
      </c>
      <c r="E14" s="57">
        <v>0</v>
      </c>
      <c r="K14" s="560"/>
    </row>
    <row r="15" spans="1:11">
      <c r="A15" s="51">
        <f t="shared" si="0"/>
        <v>11</v>
      </c>
      <c r="B15" s="238" t="s">
        <v>877</v>
      </c>
      <c r="C15" s="239">
        <v>253.05</v>
      </c>
      <c r="D15" s="57">
        <v>0</v>
      </c>
      <c r="E15" s="57">
        <v>0</v>
      </c>
      <c r="I15" s="237"/>
      <c r="K15" s="560"/>
    </row>
    <row r="16" spans="1:11">
      <c r="A16" s="51">
        <f t="shared" si="0"/>
        <v>12</v>
      </c>
      <c r="B16" s="238" t="s">
        <v>1000</v>
      </c>
      <c r="C16" s="239">
        <v>267.49</v>
      </c>
      <c r="D16" s="57"/>
      <c r="E16" s="57"/>
      <c r="I16" s="237"/>
      <c r="K16" s="560"/>
    </row>
    <row r="17" spans="1:11">
      <c r="A17" s="51">
        <f t="shared" si="0"/>
        <v>13</v>
      </c>
      <c r="B17" s="238" t="s">
        <v>1001</v>
      </c>
      <c r="C17" s="239">
        <v>348.92</v>
      </c>
      <c r="D17" s="57"/>
      <c r="E17" s="57"/>
      <c r="I17" s="237"/>
      <c r="K17" s="560"/>
    </row>
    <row r="18" spans="1:11">
      <c r="A18" s="51">
        <f t="shared" si="0"/>
        <v>14</v>
      </c>
      <c r="B18" s="238" t="s">
        <v>1002</v>
      </c>
      <c r="C18" s="239">
        <v>497.93</v>
      </c>
      <c r="D18" s="57"/>
      <c r="E18" s="57"/>
      <c r="I18" s="237"/>
      <c r="K18" s="560"/>
    </row>
    <row r="19" spans="1:11">
      <c r="A19" s="51">
        <f t="shared" si="0"/>
        <v>15</v>
      </c>
      <c r="B19" s="52" t="s">
        <v>605</v>
      </c>
      <c r="C19" s="239">
        <v>0</v>
      </c>
      <c r="D19" s="57">
        <v>0</v>
      </c>
      <c r="E19" s="57">
        <v>0</v>
      </c>
      <c r="I19" s="237"/>
      <c r="K19" s="560"/>
    </row>
  </sheetData>
  <mergeCells count="3">
    <mergeCell ref="C3:E3"/>
    <mergeCell ref="A3:A4"/>
    <mergeCell ref="B3:B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heetViews>
  <sheetFormatPr defaultRowHeight="15"/>
  <cols>
    <col min="1" max="1" width="5.140625" customWidth="1"/>
    <col min="2" max="2" width="54.85546875" customWidth="1"/>
    <col min="3" max="3" width="12.28515625" bestFit="1" customWidth="1"/>
  </cols>
  <sheetData>
    <row r="1" spans="1:4">
      <c r="A1" s="310" t="s">
        <v>937</v>
      </c>
      <c r="B1" s="310" t="s">
        <v>938</v>
      </c>
      <c r="C1" s="310" t="s">
        <v>8</v>
      </c>
      <c r="D1" s="310" t="s">
        <v>972</v>
      </c>
    </row>
    <row r="2" spans="1:4">
      <c r="A2" s="310"/>
      <c r="B2" s="310" t="s">
        <v>960</v>
      </c>
      <c r="C2" s="310"/>
      <c r="D2" s="310"/>
    </row>
    <row r="3" spans="1:4">
      <c r="A3" s="310">
        <v>1</v>
      </c>
      <c r="B3" s="310" t="s">
        <v>939</v>
      </c>
      <c r="C3" s="567">
        <f>Summary!I17</f>
        <v>50.5</v>
      </c>
      <c r="D3" s="310" t="s">
        <v>127</v>
      </c>
    </row>
    <row r="4" spans="1:4">
      <c r="A4" s="310">
        <v>2</v>
      </c>
      <c r="B4" s="310" t="s">
        <v>940</v>
      </c>
      <c r="C4" s="310"/>
      <c r="D4" s="310" t="s">
        <v>11</v>
      </c>
    </row>
    <row r="5" spans="1:4">
      <c r="A5" s="310"/>
      <c r="B5" s="310" t="s">
        <v>941</v>
      </c>
      <c r="C5" s="567">
        <f>Summary!E20</f>
        <v>755.5</v>
      </c>
      <c r="D5" s="310"/>
    </row>
    <row r="6" spans="1:4">
      <c r="A6" s="310"/>
      <c r="B6" s="310" t="s">
        <v>942</v>
      </c>
      <c r="C6" s="567">
        <f>Summary!E21</f>
        <v>1007</v>
      </c>
      <c r="D6" s="310"/>
    </row>
    <row r="7" spans="1:4">
      <c r="A7" s="310"/>
      <c r="B7" s="310" t="s">
        <v>943</v>
      </c>
      <c r="C7" s="567">
        <f>Summary!E25</f>
        <v>2769</v>
      </c>
      <c r="D7" s="310"/>
    </row>
    <row r="8" spans="1:4">
      <c r="A8" s="310">
        <v>3</v>
      </c>
      <c r="B8" s="310" t="s">
        <v>944</v>
      </c>
      <c r="C8" s="567">
        <f>Summary!E51</f>
        <v>217.5</v>
      </c>
      <c r="D8" s="310" t="s">
        <v>11</v>
      </c>
    </row>
    <row r="9" spans="1:4">
      <c r="A9" s="310">
        <v>4</v>
      </c>
      <c r="B9" s="310" t="s">
        <v>811</v>
      </c>
      <c r="C9" s="567">
        <f>Summary!E63</f>
        <v>1425.05</v>
      </c>
      <c r="D9" s="310" t="s">
        <v>127</v>
      </c>
    </row>
    <row r="10" spans="1:4">
      <c r="A10" s="310">
        <v>5</v>
      </c>
      <c r="B10" s="310" t="s">
        <v>945</v>
      </c>
      <c r="C10" s="310"/>
      <c r="D10" s="310" t="s">
        <v>11</v>
      </c>
    </row>
    <row r="11" spans="1:4">
      <c r="A11" s="310"/>
      <c r="B11" s="310" t="s">
        <v>946</v>
      </c>
      <c r="C11" s="567">
        <f>Summary!E127</f>
        <v>14140.5</v>
      </c>
      <c r="D11" s="310"/>
    </row>
    <row r="12" spans="1:4">
      <c r="A12" s="310"/>
      <c r="B12" s="310" t="s">
        <v>947</v>
      </c>
      <c r="C12" s="567">
        <f>Summary!K128</f>
        <v>13187.5</v>
      </c>
      <c r="D12" s="310"/>
    </row>
    <row r="13" spans="1:4">
      <c r="A13" s="310"/>
      <c r="B13" s="310" t="s">
        <v>948</v>
      </c>
      <c r="C13" s="567">
        <f>Summary!K130</f>
        <v>15391.75</v>
      </c>
      <c r="D13" s="310"/>
    </row>
    <row r="14" spans="1:4">
      <c r="A14" s="310"/>
      <c r="B14" s="310" t="s">
        <v>949</v>
      </c>
      <c r="C14" s="567">
        <f>Summary!K134</f>
        <v>18375.5</v>
      </c>
      <c r="D14" s="310"/>
    </row>
    <row r="15" spans="1:4">
      <c r="A15" s="310"/>
      <c r="B15" s="310" t="s">
        <v>950</v>
      </c>
      <c r="C15" s="567">
        <f>Summary!K140</f>
        <v>25562.875</v>
      </c>
      <c r="D15" s="310"/>
    </row>
    <row r="16" spans="1:4">
      <c r="A16" s="310"/>
      <c r="B16" s="310" t="s">
        <v>951</v>
      </c>
      <c r="C16" s="310"/>
      <c r="D16" s="310"/>
    </row>
    <row r="17" spans="1:4">
      <c r="A17" s="310">
        <v>6</v>
      </c>
      <c r="B17" s="310" t="s">
        <v>952</v>
      </c>
      <c r="C17" s="567">
        <f>Summary!K147</f>
        <v>0</v>
      </c>
      <c r="D17" s="310" t="s">
        <v>113</v>
      </c>
    </row>
    <row r="18" spans="1:4">
      <c r="A18" s="310">
        <v>7</v>
      </c>
      <c r="B18" s="310" t="s">
        <v>953</v>
      </c>
      <c r="C18" s="567">
        <f>Summary!E153</f>
        <v>18644</v>
      </c>
      <c r="D18" s="310" t="s">
        <v>11</v>
      </c>
    </row>
    <row r="19" spans="1:4">
      <c r="A19" s="310">
        <v>8</v>
      </c>
      <c r="B19" s="310" t="s">
        <v>916</v>
      </c>
      <c r="C19" s="567">
        <f>Summary!E162</f>
        <v>487.5</v>
      </c>
      <c r="D19" s="310" t="s">
        <v>127</v>
      </c>
    </row>
    <row r="20" spans="1:4">
      <c r="A20" s="310">
        <v>9</v>
      </c>
      <c r="B20" s="310" t="s">
        <v>954</v>
      </c>
      <c r="C20" s="567">
        <f>Summary!E172</f>
        <v>9852.5</v>
      </c>
      <c r="D20" s="310" t="s">
        <v>11</v>
      </c>
    </row>
    <row r="21" spans="1:4">
      <c r="A21" s="310">
        <v>10</v>
      </c>
      <c r="B21" s="310" t="s">
        <v>955</v>
      </c>
      <c r="C21" s="567">
        <f>Summary!E182</f>
        <v>5321.5</v>
      </c>
      <c r="D21" s="310" t="s">
        <v>11</v>
      </c>
    </row>
    <row r="22" spans="1:4">
      <c r="A22" s="310">
        <v>11</v>
      </c>
      <c r="B22" s="310" t="s">
        <v>956</v>
      </c>
      <c r="C22" s="567">
        <f>Summary!E196</f>
        <v>5367</v>
      </c>
      <c r="D22" s="310" t="s">
        <v>11</v>
      </c>
    </row>
    <row r="23" spans="1:4">
      <c r="A23" s="310">
        <v>12</v>
      </c>
      <c r="B23" s="310" t="s">
        <v>119</v>
      </c>
      <c r="C23" s="567">
        <f>Summary!E199</f>
        <v>233</v>
      </c>
      <c r="D23" s="310" t="s">
        <v>127</v>
      </c>
    </row>
    <row r="24" spans="1:4">
      <c r="A24" s="310">
        <v>13</v>
      </c>
      <c r="B24" s="310" t="s">
        <v>957</v>
      </c>
      <c r="C24" s="310"/>
      <c r="D24" s="310" t="s">
        <v>28</v>
      </c>
    </row>
    <row r="25" spans="1:4">
      <c r="A25" s="310">
        <v>14</v>
      </c>
      <c r="B25" s="310" t="s">
        <v>917</v>
      </c>
      <c r="C25" s="310"/>
      <c r="D25" s="310" t="s">
        <v>127</v>
      </c>
    </row>
    <row r="26" spans="1:4">
      <c r="A26" s="310">
        <v>15</v>
      </c>
      <c r="B26" s="310" t="s">
        <v>958</v>
      </c>
      <c r="C26" s="310"/>
      <c r="D26" s="310" t="s">
        <v>11</v>
      </c>
    </row>
    <row r="27" spans="1:4">
      <c r="A27" s="310">
        <v>16</v>
      </c>
      <c r="B27" s="310" t="s">
        <v>959</v>
      </c>
      <c r="C27" s="310"/>
      <c r="D27" s="310" t="s">
        <v>127</v>
      </c>
    </row>
    <row r="28" spans="1:4">
      <c r="A28" s="310"/>
      <c r="B28" s="310"/>
      <c r="C28" s="310"/>
      <c r="D28" s="310"/>
    </row>
    <row r="29" spans="1:4">
      <c r="A29" s="310"/>
      <c r="B29" s="310" t="s">
        <v>961</v>
      </c>
      <c r="C29" s="310"/>
      <c r="D29" s="310"/>
    </row>
    <row r="30" spans="1:4">
      <c r="A30" s="310">
        <v>1</v>
      </c>
      <c r="B30" s="310" t="s">
        <v>940</v>
      </c>
      <c r="C30" s="310"/>
      <c r="D30" s="310" t="s">
        <v>11</v>
      </c>
    </row>
    <row r="31" spans="1:4">
      <c r="A31" s="310"/>
      <c r="B31" s="310" t="s">
        <v>962</v>
      </c>
      <c r="C31" s="567">
        <f>Summary!E222</f>
        <v>6194</v>
      </c>
      <c r="D31" s="310"/>
    </row>
    <row r="32" spans="1:4">
      <c r="A32" s="310"/>
      <c r="B32" s="310" t="s">
        <v>963</v>
      </c>
      <c r="C32" s="567">
        <f>Summary!E223</f>
        <v>10129</v>
      </c>
      <c r="D32" s="310"/>
    </row>
    <row r="33" spans="1:4">
      <c r="A33" s="310">
        <v>2</v>
      </c>
      <c r="B33" s="310" t="s">
        <v>964</v>
      </c>
      <c r="C33" s="567">
        <f>Summary!E224</f>
        <v>17033.5</v>
      </c>
      <c r="D33" s="310" t="s">
        <v>11</v>
      </c>
    </row>
    <row r="34" spans="1:4">
      <c r="A34" s="310">
        <v>3</v>
      </c>
      <c r="B34" s="310" t="s">
        <v>976</v>
      </c>
      <c r="C34" s="310"/>
      <c r="D34" s="310" t="s">
        <v>11</v>
      </c>
    </row>
    <row r="35" spans="1:4">
      <c r="A35" s="310">
        <v>4</v>
      </c>
      <c r="B35" s="310" t="s">
        <v>965</v>
      </c>
      <c r="C35" s="310"/>
      <c r="D35" s="310" t="s">
        <v>127</v>
      </c>
    </row>
    <row r="36" spans="1:4">
      <c r="A36" s="310"/>
      <c r="B36" s="310" t="s">
        <v>966</v>
      </c>
      <c r="C36" s="567">
        <f>Summary!E227</f>
        <v>2789.4750000000004</v>
      </c>
      <c r="D36" s="310"/>
    </row>
    <row r="37" spans="1:4">
      <c r="A37" s="310"/>
      <c r="B37" s="310" t="s">
        <v>967</v>
      </c>
      <c r="C37" s="567">
        <f>Summary!E228</f>
        <v>5578.9500000000007</v>
      </c>
      <c r="D37" s="310"/>
    </row>
    <row r="38" spans="1:4">
      <c r="A38" s="310">
        <v>5</v>
      </c>
      <c r="B38" s="310" t="s">
        <v>968</v>
      </c>
      <c r="C38" s="310"/>
      <c r="D38" s="310" t="s">
        <v>127</v>
      </c>
    </row>
    <row r="39" spans="1:4">
      <c r="A39" s="310"/>
      <c r="B39" s="310" t="s">
        <v>967</v>
      </c>
      <c r="C39" s="567">
        <f>Summary!E230</f>
        <v>5831.9000000000005</v>
      </c>
      <c r="D39" s="310"/>
    </row>
    <row r="40" spans="1:4">
      <c r="A40" s="310"/>
      <c r="B40" s="310" t="s">
        <v>969</v>
      </c>
      <c r="C40" s="567">
        <f>Summary!E231</f>
        <v>8747.85</v>
      </c>
      <c r="D40" s="310"/>
    </row>
    <row r="41" spans="1:4">
      <c r="A41" s="310"/>
      <c r="B41" s="310" t="s">
        <v>970</v>
      </c>
      <c r="C41" s="567">
        <f>Summary!E232</f>
        <v>11663.800000000001</v>
      </c>
      <c r="D41" s="310"/>
    </row>
    <row r="42" spans="1:4">
      <c r="A42" s="310">
        <v>6</v>
      </c>
      <c r="B42" s="310" t="s">
        <v>971</v>
      </c>
      <c r="C42" s="567">
        <f>Summary!E233</f>
        <v>69066.5</v>
      </c>
      <c r="D42" s="310" t="s">
        <v>11</v>
      </c>
    </row>
    <row r="43" spans="1:4">
      <c r="A43" s="310">
        <v>7</v>
      </c>
      <c r="B43" s="310" t="s">
        <v>483</v>
      </c>
      <c r="C43" s="567">
        <f>Summary!E235</f>
        <v>668.5</v>
      </c>
      <c r="D43" s="310" t="s">
        <v>127</v>
      </c>
    </row>
    <row r="44" spans="1:4">
      <c r="A44" s="310">
        <v>8</v>
      </c>
      <c r="B44" s="310" t="s">
        <v>973</v>
      </c>
      <c r="C44" s="310"/>
      <c r="D44" s="310" t="s">
        <v>138</v>
      </c>
    </row>
    <row r="45" spans="1:4">
      <c r="A45" s="310"/>
      <c r="B45" s="310" t="s">
        <v>974</v>
      </c>
      <c r="C45" s="567">
        <f>Summary!E241</f>
        <v>3827</v>
      </c>
      <c r="D45" s="310"/>
    </row>
    <row r="46" spans="1:4">
      <c r="A46" s="310">
        <v>9</v>
      </c>
      <c r="B46" s="310" t="s">
        <v>975</v>
      </c>
      <c r="C46" s="310"/>
      <c r="D46" s="310" t="s">
        <v>11</v>
      </c>
    </row>
    <row r="47" spans="1:4">
      <c r="A47" s="310"/>
      <c r="B47" s="310" t="s">
        <v>947</v>
      </c>
      <c r="C47" s="567">
        <f>Summary!E255</f>
        <v>14001</v>
      </c>
      <c r="D47" s="310"/>
    </row>
    <row r="48" spans="1:4">
      <c r="A48" s="310"/>
      <c r="B48" s="310" t="s">
        <v>948</v>
      </c>
      <c r="C48" s="567">
        <f>Summary!E256</f>
        <v>16560</v>
      </c>
      <c r="D48" s="310"/>
    </row>
    <row r="49" spans="1:4">
      <c r="A49" s="310"/>
      <c r="B49" s="310" t="s">
        <v>949</v>
      </c>
      <c r="C49" s="567">
        <f>Summary!E257</f>
        <v>19638</v>
      </c>
      <c r="D49" s="310"/>
    </row>
    <row r="50" spans="1:4">
      <c r="A50" s="310">
        <v>10</v>
      </c>
      <c r="B50" s="310" t="s">
        <v>977</v>
      </c>
      <c r="C50" s="567">
        <f>Summary!E258</f>
        <v>1352.3668033333333</v>
      </c>
      <c r="D50" s="310" t="s">
        <v>127</v>
      </c>
    </row>
    <row r="51" spans="1:4">
      <c r="A51" s="310">
        <v>11</v>
      </c>
      <c r="B51" s="310" t="s">
        <v>30</v>
      </c>
      <c r="C51" s="567">
        <f>AVERAGE(Summary!E278,Summary!E279)</f>
        <v>190293.25</v>
      </c>
      <c r="D51" s="310" t="s">
        <v>113</v>
      </c>
    </row>
    <row r="52" spans="1:4">
      <c r="A52" s="310">
        <v>12</v>
      </c>
      <c r="B52" s="310" t="s">
        <v>978</v>
      </c>
      <c r="C52" s="567">
        <f>C51</f>
        <v>190293.25</v>
      </c>
      <c r="D52" s="310" t="s">
        <v>979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3:X105"/>
  <sheetViews>
    <sheetView tabSelected="1" topLeftCell="P10" workbookViewId="0">
      <selection activeCell="D30" sqref="D30"/>
    </sheetView>
  </sheetViews>
  <sheetFormatPr defaultColWidth="9.140625" defaultRowHeight="15"/>
  <cols>
    <col min="1" max="1" width="10" style="48" customWidth="1"/>
    <col min="2" max="2" width="37.140625" style="48" customWidth="1"/>
    <col min="3" max="3" width="6" style="49" customWidth="1"/>
    <col min="4" max="5" width="13.7109375" style="48" customWidth="1"/>
    <col min="6" max="6" width="13" style="48" customWidth="1"/>
    <col min="7" max="9" width="9.140625" style="48" customWidth="1"/>
    <col min="10" max="10" width="12.5703125" style="48" customWidth="1"/>
    <col min="11" max="11" width="12.5703125" style="49" customWidth="1"/>
    <col min="12" max="12" width="10.140625" style="49" customWidth="1"/>
    <col min="13" max="20" width="9.140625" style="48" customWidth="1"/>
    <col min="21" max="21" width="13.42578125" style="48" customWidth="1"/>
    <col min="22" max="22" width="13.85546875" style="48" customWidth="1"/>
    <col min="23" max="23" width="12.140625" style="48" customWidth="1"/>
    <col min="24" max="16384" width="9.140625" style="48"/>
  </cols>
  <sheetData>
    <row r="3" spans="1:22">
      <c r="B3" s="58" t="s">
        <v>980</v>
      </c>
      <c r="C3" s="58" t="s">
        <v>2</v>
      </c>
      <c r="D3" s="58" t="s">
        <v>607</v>
      </c>
    </row>
    <row r="4" spans="1:22">
      <c r="B4" s="51" t="s">
        <v>91</v>
      </c>
      <c r="C4" s="51" t="s">
        <v>408</v>
      </c>
      <c r="D4" s="57">
        <v>3</v>
      </c>
    </row>
    <row r="5" spans="1:22">
      <c r="B5" s="51" t="s">
        <v>92</v>
      </c>
      <c r="C5" s="51" t="s">
        <v>408</v>
      </c>
      <c r="D5" s="57">
        <v>23</v>
      </c>
      <c r="F5" s="581"/>
      <c r="G5" s="581" t="s">
        <v>1003</v>
      </c>
      <c r="H5" s="581" t="s">
        <v>1004</v>
      </c>
      <c r="I5" s="581" t="s">
        <v>1005</v>
      </c>
    </row>
    <row r="6" spans="1:22">
      <c r="B6" s="51" t="s">
        <v>93</v>
      </c>
      <c r="C6" s="51" t="s">
        <v>408</v>
      </c>
      <c r="D6" s="57">
        <v>40.81</v>
      </c>
      <c r="F6" s="582">
        <f>SUM(D4:D6)</f>
        <v>66.81</v>
      </c>
      <c r="G6" s="581">
        <v>267.49</v>
      </c>
      <c r="H6" s="581">
        <v>348.92</v>
      </c>
      <c r="I6" s="581">
        <v>497.93</v>
      </c>
    </row>
    <row r="7" spans="1:22">
      <c r="B7" s="343" t="s">
        <v>605</v>
      </c>
      <c r="C7" s="51" t="s">
        <v>408</v>
      </c>
      <c r="D7" s="52"/>
      <c r="F7" s="581"/>
      <c r="G7" s="582">
        <f>$F$6+G6</f>
        <v>334.3</v>
      </c>
      <c r="H7" s="582">
        <f t="shared" ref="H7:I7" si="0">$F$6+H6</f>
        <v>415.73</v>
      </c>
      <c r="I7" s="582">
        <f t="shared" si="0"/>
        <v>564.74</v>
      </c>
    </row>
    <row r="8" spans="1:22">
      <c r="B8" s="58" t="s">
        <v>109</v>
      </c>
      <c r="C8" s="58" t="s">
        <v>2</v>
      </c>
      <c r="D8" s="58" t="s">
        <v>94</v>
      </c>
      <c r="K8" s="138"/>
      <c r="L8" s="138"/>
    </row>
    <row r="9" spans="1:22">
      <c r="B9" s="51" t="s">
        <v>91</v>
      </c>
      <c r="C9" s="51" t="s">
        <v>108</v>
      </c>
      <c r="D9" s="57">
        <v>30</v>
      </c>
      <c r="K9" s="138"/>
      <c r="L9" s="138"/>
    </row>
    <row r="10" spans="1:22">
      <c r="B10" s="51" t="s">
        <v>92</v>
      </c>
      <c r="C10" s="51" t="s">
        <v>108</v>
      </c>
      <c r="D10" s="57">
        <v>15</v>
      </c>
      <c r="K10" s="138"/>
      <c r="L10" s="138"/>
    </row>
    <row r="11" spans="1:22">
      <c r="B11" s="51" t="s">
        <v>93</v>
      </c>
      <c r="C11" s="51" t="s">
        <v>108</v>
      </c>
      <c r="D11" s="57">
        <v>10</v>
      </c>
      <c r="K11" s="138"/>
      <c r="L11" s="138"/>
    </row>
    <row r="12" spans="1:22">
      <c r="K12" s="48"/>
      <c r="L12" s="48"/>
    </row>
    <row r="14" spans="1:22" ht="4.5" customHeight="1" thickBot="1"/>
    <row r="15" spans="1:22" ht="15.75" customHeight="1">
      <c r="A15" s="686" t="s">
        <v>83</v>
      </c>
      <c r="B15" s="678" t="s">
        <v>84</v>
      </c>
      <c r="C15" s="678" t="s">
        <v>2</v>
      </c>
      <c r="D15" s="678" t="s">
        <v>99</v>
      </c>
      <c r="E15" s="689" t="s">
        <v>98</v>
      </c>
      <c r="F15" s="690"/>
      <c r="G15" s="685" t="s">
        <v>606</v>
      </c>
      <c r="H15" s="681"/>
      <c r="I15" s="681"/>
      <c r="J15" s="681"/>
      <c r="K15" s="678" t="s">
        <v>102</v>
      </c>
      <c r="L15" s="675" t="s">
        <v>600</v>
      </c>
      <c r="M15" s="681" t="s">
        <v>96</v>
      </c>
      <c r="N15" s="681"/>
      <c r="O15" s="681" t="s">
        <v>97</v>
      </c>
      <c r="P15" s="681"/>
      <c r="Q15" s="681" t="s">
        <v>67</v>
      </c>
      <c r="R15" s="681"/>
      <c r="S15" s="681" t="s">
        <v>117</v>
      </c>
      <c r="T15" s="681"/>
      <c r="U15" s="682" t="s">
        <v>105</v>
      </c>
      <c r="V15" s="672" t="s">
        <v>107</v>
      </c>
    </row>
    <row r="16" spans="1:22">
      <c r="A16" s="687"/>
      <c r="B16" s="679"/>
      <c r="C16" s="679"/>
      <c r="D16" s="679"/>
      <c r="E16" s="691"/>
      <c r="F16" s="692"/>
      <c r="G16" s="53" t="s">
        <v>91</v>
      </c>
      <c r="H16" s="54" t="s">
        <v>92</v>
      </c>
      <c r="I16" s="54" t="s">
        <v>93</v>
      </c>
      <c r="J16" s="54" t="s">
        <v>95</v>
      </c>
      <c r="K16" s="679"/>
      <c r="L16" s="676"/>
      <c r="M16" s="54" t="s">
        <v>7</v>
      </c>
      <c r="N16" s="54" t="s">
        <v>8</v>
      </c>
      <c r="O16" s="54" t="s">
        <v>7</v>
      </c>
      <c r="P16" s="54" t="s">
        <v>8</v>
      </c>
      <c r="Q16" s="54" t="s">
        <v>7</v>
      </c>
      <c r="R16" s="54" t="s">
        <v>8</v>
      </c>
      <c r="S16" s="54" t="s">
        <v>7</v>
      </c>
      <c r="T16" s="54" t="s">
        <v>8</v>
      </c>
      <c r="U16" s="683"/>
      <c r="V16" s="673"/>
    </row>
    <row r="17" spans="1:24" ht="29.25" customHeight="1" thickBot="1">
      <c r="A17" s="688"/>
      <c r="B17" s="680"/>
      <c r="C17" s="680"/>
      <c r="D17" s="680"/>
      <c r="E17" s="54" t="s">
        <v>603</v>
      </c>
      <c r="F17" s="164" t="s">
        <v>604</v>
      </c>
      <c r="G17" s="55" t="s">
        <v>100</v>
      </c>
      <c r="H17" s="56" t="s">
        <v>100</v>
      </c>
      <c r="I17" s="56" t="s">
        <v>100</v>
      </c>
      <c r="J17" s="56" t="s">
        <v>101</v>
      </c>
      <c r="K17" s="680"/>
      <c r="L17" s="677"/>
      <c r="M17" s="56" t="s">
        <v>81</v>
      </c>
      <c r="N17" s="56" t="s">
        <v>103</v>
      </c>
      <c r="O17" s="56" t="s">
        <v>81</v>
      </c>
      <c r="P17" s="56" t="s">
        <v>103</v>
      </c>
      <c r="Q17" s="56" t="s">
        <v>104</v>
      </c>
      <c r="R17" s="56" t="s">
        <v>16</v>
      </c>
      <c r="S17" s="56" t="s">
        <v>101</v>
      </c>
      <c r="T17" s="56" t="s">
        <v>16</v>
      </c>
      <c r="U17" s="684"/>
      <c r="V17" s="674"/>
    </row>
    <row r="18" spans="1:24" ht="15.75" thickBot="1">
      <c r="A18" s="163" t="str">
        <f>'Basic Rates'!A50</f>
        <v>LOCAL</v>
      </c>
      <c r="B18" s="159"/>
      <c r="C18" s="160"/>
      <c r="D18" s="161"/>
      <c r="E18" s="159"/>
      <c r="F18" s="159"/>
      <c r="G18" s="161"/>
      <c r="H18" s="161"/>
      <c r="I18" s="161"/>
      <c r="J18" s="161"/>
      <c r="K18" s="160"/>
      <c r="L18" s="160"/>
      <c r="M18" s="161"/>
      <c r="N18" s="161"/>
      <c r="O18" s="161"/>
      <c r="P18" s="161"/>
      <c r="Q18" s="161"/>
      <c r="R18" s="161"/>
      <c r="S18" s="161"/>
      <c r="T18" s="161"/>
      <c r="U18" s="161"/>
      <c r="V18" s="162"/>
    </row>
    <row r="19" spans="1:24" s="137" customFormat="1">
      <c r="A19" s="128">
        <f>VLOOKUP(B19,'Basic Rates'!$B$50:$G$133,6,FALSE)</f>
        <v>1</v>
      </c>
      <c r="B19" s="129" t="str">
        <f>'Basic Rates'!B51</f>
        <v>River Sand</v>
      </c>
      <c r="C19" s="130" t="str">
        <f>'Basic Rates'!C51</f>
        <v>cum</v>
      </c>
      <c r="D19" s="132">
        <f>VLOOKUP(B19,'Basic Rates'!$B$50:$G$133,3,FALSE)</f>
        <v>1050</v>
      </c>
      <c r="E19" s="129" t="str">
        <f>'Basic Rates'!E51</f>
        <v>SITE</v>
      </c>
      <c r="F19" s="165" t="s">
        <v>605</v>
      </c>
      <c r="G19" s="131"/>
      <c r="H19" s="131">
        <f>VLOOKUP($E19,Distances!$B$5:$C$19,2,FALSE)+$D$7</f>
        <v>0</v>
      </c>
      <c r="I19" s="132"/>
      <c r="J19" s="132">
        <f>2*(G19/$D$9+H19/$D$10+I19/$D$11)</f>
        <v>0</v>
      </c>
      <c r="K19" s="130" t="s">
        <v>111</v>
      </c>
      <c r="L19" s="130">
        <v>1</v>
      </c>
      <c r="M19" s="132">
        <f>0*$L19</f>
        <v>0</v>
      </c>
      <c r="N19" s="132">
        <f>sr</f>
        <v>1100</v>
      </c>
      <c r="O19" s="132">
        <f>0.3*$L19</f>
        <v>0.3</v>
      </c>
      <c r="P19" s="132">
        <f t="shared" ref="P19:P27" si="1">ur</f>
        <v>850</v>
      </c>
      <c r="Q19" s="132">
        <f>1.7*J19*$L19</f>
        <v>0</v>
      </c>
      <c r="R19" s="132">
        <f>'Basic Rates'!$D$92</f>
        <v>170.5</v>
      </c>
      <c r="S19" s="132">
        <f>0.13*(J19+0.75)*$L19</f>
        <v>9.7500000000000003E-2</v>
      </c>
      <c r="T19" s="132">
        <f t="shared" ref="T19:T27" si="2">truck</f>
        <v>486.72</v>
      </c>
      <c r="U19" s="133">
        <f>ROUND(IF(OR(D19=0,J19=0),0,M19*N19+O19*P19+Q19*R19+S19*T19),2)</f>
        <v>0</v>
      </c>
      <c r="V19" s="169">
        <f>ROUND(D19+U19,2)</f>
        <v>1050</v>
      </c>
    </row>
    <row r="20" spans="1:24" s="137" customFormat="1">
      <c r="A20" s="128">
        <f>VLOOKUP(B20,'Basic Rates'!$B$50:$G$133,6,FALSE)</f>
        <v>2</v>
      </c>
      <c r="B20" s="129" t="str">
        <f>'Basic Rates'!B52</f>
        <v>Stone</v>
      </c>
      <c r="C20" s="130" t="str">
        <f>'Basic Rates'!C52</f>
        <v>cum</v>
      </c>
      <c r="D20" s="132">
        <f>VLOOKUP(B20,'Basic Rates'!$B$50:$G$133,3,FALSE)</f>
        <v>1000</v>
      </c>
      <c r="E20" s="129" t="str">
        <f>'Basic Rates'!E52</f>
        <v>SITE</v>
      </c>
      <c r="F20" s="165" t="s">
        <v>605</v>
      </c>
      <c r="G20" s="131"/>
      <c r="H20" s="131">
        <f>VLOOKUP($E20,Distances!$B$5:$C$19,2,FALSE)+$D$7</f>
        <v>0</v>
      </c>
      <c r="I20" s="132"/>
      <c r="J20" s="132">
        <f>2*(G20/$D$9+H20/$D$10+I20/$D$11)</f>
        <v>0</v>
      </c>
      <c r="K20" s="130" t="s">
        <v>115</v>
      </c>
      <c r="L20" s="130">
        <v>1</v>
      </c>
      <c r="M20" s="132">
        <f>0*$L20</f>
        <v>0</v>
      </c>
      <c r="N20" s="132">
        <f t="shared" ref="N20:N27" si="3">sr</f>
        <v>1100</v>
      </c>
      <c r="O20" s="132">
        <f>0.5*$L20</f>
        <v>0.5</v>
      </c>
      <c r="P20" s="132">
        <f t="shared" si="1"/>
        <v>850</v>
      </c>
      <c r="Q20" s="132">
        <f>2.7*J20*$L20</f>
        <v>0</v>
      </c>
      <c r="R20" s="132">
        <f>'Basic Rates'!$D$92</f>
        <v>170.5</v>
      </c>
      <c r="S20" s="132">
        <f>0.21*(J20+0.75)*$L20</f>
        <v>0.1575</v>
      </c>
      <c r="T20" s="132">
        <f t="shared" si="2"/>
        <v>486.72</v>
      </c>
      <c r="U20" s="133">
        <f t="shared" ref="U20:U27" si="4">ROUND(IF(OR(D20=0,J20=0),0,M20*N20+O20*P20+Q20*R20+S20*T20),2)</f>
        <v>0</v>
      </c>
      <c r="V20" s="169">
        <f t="shared" ref="V20:V27" si="5">ROUND(D20+U20,2)</f>
        <v>1000</v>
      </c>
      <c r="X20" s="137">
        <f>(0.5*ur+2.7*2*7/10*'Basic Rates'!$D$92+0.21*(2*7/10+0.75)*truck)</f>
        <v>1289.2440799999999</v>
      </c>
    </row>
    <row r="21" spans="1:24" s="137" customFormat="1">
      <c r="A21" s="128">
        <f>VLOOKUP(B21,'Basic Rates'!$B$50:$G$133,6,FALSE)</f>
        <v>3</v>
      </c>
      <c r="B21" s="129" t="str">
        <f>'Basic Rates'!B53</f>
        <v>Block Stone</v>
      </c>
      <c r="C21" s="130" t="str">
        <f>'Basic Rates'!C53</f>
        <v>cum</v>
      </c>
      <c r="D21" s="132">
        <f>VLOOKUP(B21,'Basic Rates'!$B$50:$G$133,3,FALSE)</f>
        <v>1350</v>
      </c>
      <c r="E21" s="129" t="str">
        <f>'Basic Rates'!E53</f>
        <v>SITE</v>
      </c>
      <c r="F21" s="165" t="s">
        <v>605</v>
      </c>
      <c r="G21" s="131"/>
      <c r="H21" s="131">
        <f>VLOOKUP($E21,Distances!$B$5:$C$19,2,FALSE)+$D$7</f>
        <v>0</v>
      </c>
      <c r="I21" s="132"/>
      <c r="J21" s="132">
        <f t="shared" ref="J21:J22" si="6">2*(G21/$D$9+H21/$D$10+I21/$D$11)</f>
        <v>0</v>
      </c>
      <c r="K21" s="130" t="s">
        <v>115</v>
      </c>
      <c r="L21" s="130">
        <v>1</v>
      </c>
      <c r="M21" s="132">
        <f t="shared" ref="M21:M40" si="7">0*$L21</f>
        <v>0</v>
      </c>
      <c r="N21" s="132">
        <f t="shared" si="3"/>
        <v>1100</v>
      </c>
      <c r="O21" s="132">
        <f t="shared" ref="O21:O27" si="8">0.5*$L21</f>
        <v>0.5</v>
      </c>
      <c r="P21" s="132">
        <f t="shared" si="1"/>
        <v>850</v>
      </c>
      <c r="Q21" s="132">
        <f t="shared" ref="Q21:Q22" si="9">2.7*J21*$L21</f>
        <v>0</v>
      </c>
      <c r="R21" s="132">
        <f>'Basic Rates'!$D$92</f>
        <v>170.5</v>
      </c>
      <c r="S21" s="132">
        <f>0.21*(J21+0.75)*$L21</f>
        <v>0.1575</v>
      </c>
      <c r="T21" s="132">
        <f t="shared" si="2"/>
        <v>486.72</v>
      </c>
      <c r="U21" s="133">
        <f t="shared" si="4"/>
        <v>0</v>
      </c>
      <c r="V21" s="169">
        <f t="shared" si="5"/>
        <v>1350</v>
      </c>
    </row>
    <row r="22" spans="1:24" s="137" customFormat="1">
      <c r="A22" s="128">
        <f>VLOOKUP(B22,'Basic Rates'!$B$50:$G$133,6,FALSE)</f>
        <v>4</v>
      </c>
      <c r="B22" s="129" t="str">
        <f>'Basic Rates'!B54</f>
        <v>Bond Stone</v>
      </c>
      <c r="C22" s="130" t="str">
        <f>'Basic Rates'!C54</f>
        <v>cum</v>
      </c>
      <c r="D22" s="132">
        <f>VLOOKUP(B22,'Basic Rates'!$B$50:$G$133,3,FALSE)</f>
        <v>1450</v>
      </c>
      <c r="E22" s="129" t="str">
        <f>'Basic Rates'!E54</f>
        <v>SITE</v>
      </c>
      <c r="F22" s="165" t="s">
        <v>605</v>
      </c>
      <c r="G22" s="131"/>
      <c r="H22" s="131">
        <f>VLOOKUP($E22,Distances!$B$5:$C$19,2,FALSE)+$D$7</f>
        <v>0</v>
      </c>
      <c r="I22" s="132"/>
      <c r="J22" s="132">
        <f t="shared" si="6"/>
        <v>0</v>
      </c>
      <c r="K22" s="130" t="s">
        <v>115</v>
      </c>
      <c r="L22" s="130">
        <v>1</v>
      </c>
      <c r="M22" s="132">
        <f t="shared" si="7"/>
        <v>0</v>
      </c>
      <c r="N22" s="132">
        <f t="shared" si="3"/>
        <v>1100</v>
      </c>
      <c r="O22" s="132">
        <f t="shared" si="8"/>
        <v>0.5</v>
      </c>
      <c r="P22" s="132">
        <f t="shared" si="1"/>
        <v>850</v>
      </c>
      <c r="Q22" s="132">
        <f t="shared" si="9"/>
        <v>0</v>
      </c>
      <c r="R22" s="132">
        <f>'Basic Rates'!$D$92</f>
        <v>170.5</v>
      </c>
      <c r="S22" s="132">
        <f>0.21*(J22+0.75)*$L22</f>
        <v>0.1575</v>
      </c>
      <c r="T22" s="132">
        <f t="shared" si="2"/>
        <v>486.72</v>
      </c>
      <c r="U22" s="133">
        <f t="shared" si="4"/>
        <v>0</v>
      </c>
      <c r="V22" s="169">
        <f t="shared" si="5"/>
        <v>1450</v>
      </c>
    </row>
    <row r="23" spans="1:24" s="137" customFormat="1">
      <c r="A23" s="128">
        <f>VLOOKUP(B23,'Basic Rates'!$B$50:$G$133,6,FALSE)</f>
        <v>5</v>
      </c>
      <c r="B23" s="129" t="str">
        <f>'Basic Rates'!B55</f>
        <v>40 mm aggregates (Crusher Run)</v>
      </c>
      <c r="C23" s="130" t="str">
        <f>'Basic Rates'!C55</f>
        <v>cum</v>
      </c>
      <c r="D23" s="132">
        <f>VLOOKUP(B23,'Basic Rates'!$B$50:$G$133,3,FALSE)</f>
        <v>2450</v>
      </c>
      <c r="E23" s="129" t="str">
        <f>'Basic Rates'!E55</f>
        <v>SITE</v>
      </c>
      <c r="F23" s="165" t="s">
        <v>605</v>
      </c>
      <c r="G23" s="131"/>
      <c r="H23" s="131">
        <f>VLOOKUP($E23,Distances!$B$5:$C$19,2,FALSE)+$D$7</f>
        <v>0</v>
      </c>
      <c r="I23" s="132"/>
      <c r="J23" s="132">
        <f t="shared" ref="J23:J27" si="10">2*(G23/$D$9+H23/$D$10+I23/$D$11)</f>
        <v>0</v>
      </c>
      <c r="K23" s="130" t="s">
        <v>112</v>
      </c>
      <c r="L23" s="130">
        <v>1</v>
      </c>
      <c r="M23" s="132">
        <f t="shared" si="7"/>
        <v>0</v>
      </c>
      <c r="N23" s="132">
        <f t="shared" si="3"/>
        <v>1100</v>
      </c>
      <c r="O23" s="132">
        <f t="shared" si="8"/>
        <v>0.5</v>
      </c>
      <c r="P23" s="132">
        <f t="shared" si="1"/>
        <v>850</v>
      </c>
      <c r="Q23" s="132">
        <f>2.1*J23*$L23</f>
        <v>0</v>
      </c>
      <c r="R23" s="132">
        <f>'Basic Rates'!$D$92</f>
        <v>170.5</v>
      </c>
      <c r="S23" s="132">
        <f>0.16*(J23+0.75)*$L23</f>
        <v>0.12</v>
      </c>
      <c r="T23" s="132">
        <f t="shared" si="2"/>
        <v>486.72</v>
      </c>
      <c r="U23" s="133">
        <f t="shared" si="4"/>
        <v>0</v>
      </c>
      <c r="V23" s="169">
        <f t="shared" si="5"/>
        <v>2450</v>
      </c>
    </row>
    <row r="24" spans="1:24" s="137" customFormat="1">
      <c r="A24" s="128">
        <f>VLOOKUP(B24,'Basic Rates'!$B$50:$G$133,6,FALSE)</f>
        <v>6</v>
      </c>
      <c r="B24" s="129" t="str">
        <f>'Basic Rates'!B56</f>
        <v>20 mm aggregates (Crusher Run)</v>
      </c>
      <c r="C24" s="130" t="str">
        <f>'Basic Rates'!C56</f>
        <v>cum</v>
      </c>
      <c r="D24" s="132">
        <f>VLOOKUP(B24,'Basic Rates'!$B$50:$G$133,3,FALSE)</f>
        <v>2700</v>
      </c>
      <c r="E24" s="129" t="str">
        <f>'Basic Rates'!E56</f>
        <v>SITE</v>
      </c>
      <c r="F24" s="165" t="s">
        <v>605</v>
      </c>
      <c r="G24" s="131"/>
      <c r="H24" s="131">
        <f>VLOOKUP($E24,Distances!$B$5:$C$19,2,FALSE)+$D$7</f>
        <v>0</v>
      </c>
      <c r="I24" s="132"/>
      <c r="J24" s="132">
        <f t="shared" si="10"/>
        <v>0</v>
      </c>
      <c r="K24" s="130" t="s">
        <v>112</v>
      </c>
      <c r="L24" s="130">
        <v>1</v>
      </c>
      <c r="M24" s="132">
        <f t="shared" si="7"/>
        <v>0</v>
      </c>
      <c r="N24" s="132">
        <f t="shared" si="3"/>
        <v>1100</v>
      </c>
      <c r="O24" s="132">
        <f t="shared" si="8"/>
        <v>0.5</v>
      </c>
      <c r="P24" s="132">
        <f t="shared" si="1"/>
        <v>850</v>
      </c>
      <c r="Q24" s="132">
        <f>2.1*J24*$L24</f>
        <v>0</v>
      </c>
      <c r="R24" s="132">
        <f>'Basic Rates'!$D$92</f>
        <v>170.5</v>
      </c>
      <c r="S24" s="132">
        <f>0.16*(J24+0.75)*$L24</f>
        <v>0.12</v>
      </c>
      <c r="T24" s="132">
        <f t="shared" si="2"/>
        <v>486.72</v>
      </c>
      <c r="U24" s="133">
        <f t="shared" si="4"/>
        <v>0</v>
      </c>
      <c r="V24" s="169">
        <f t="shared" si="5"/>
        <v>2700</v>
      </c>
      <c r="X24" s="213"/>
    </row>
    <row r="25" spans="1:24" s="137" customFormat="1">
      <c r="A25" s="128">
        <f>VLOOKUP(B25,'Basic Rates'!$B$50:$G$133,6,FALSE)</f>
        <v>7</v>
      </c>
      <c r="B25" s="129" t="str">
        <f>'Basic Rates'!B57</f>
        <v>10 mm aggregates (Crusher Run)</v>
      </c>
      <c r="C25" s="130" t="str">
        <f>'Basic Rates'!C57</f>
        <v>cum</v>
      </c>
      <c r="D25" s="132">
        <f>VLOOKUP(B25,'Basic Rates'!$B$50:$G$133,3,FALSE)</f>
        <v>2950</v>
      </c>
      <c r="E25" s="129" t="str">
        <f>'Basic Rates'!E57</f>
        <v>SITE</v>
      </c>
      <c r="F25" s="165" t="s">
        <v>605</v>
      </c>
      <c r="G25" s="131"/>
      <c r="H25" s="131">
        <f>VLOOKUP($E25,Distances!$B$5:$C$19,2,FALSE)+$D$7</f>
        <v>0</v>
      </c>
      <c r="I25" s="132"/>
      <c r="J25" s="132">
        <f t="shared" si="10"/>
        <v>0</v>
      </c>
      <c r="K25" s="130" t="s">
        <v>112</v>
      </c>
      <c r="L25" s="130">
        <v>1</v>
      </c>
      <c r="M25" s="132">
        <f t="shared" si="7"/>
        <v>0</v>
      </c>
      <c r="N25" s="132">
        <f t="shared" si="3"/>
        <v>1100</v>
      </c>
      <c r="O25" s="136">
        <f t="shared" si="8"/>
        <v>0.5</v>
      </c>
      <c r="P25" s="132">
        <f t="shared" si="1"/>
        <v>850</v>
      </c>
      <c r="Q25" s="132">
        <f>2.1*J25*$L25</f>
        <v>0</v>
      </c>
      <c r="R25" s="132">
        <f>'Basic Rates'!$D$92</f>
        <v>170.5</v>
      </c>
      <c r="S25" s="132">
        <f>0.16*(J25+0.75)*$L25</f>
        <v>0.12</v>
      </c>
      <c r="T25" s="132">
        <f t="shared" si="2"/>
        <v>486.72</v>
      </c>
      <c r="U25" s="133">
        <f t="shared" si="4"/>
        <v>0</v>
      </c>
      <c r="V25" s="169">
        <f t="shared" si="5"/>
        <v>2950</v>
      </c>
    </row>
    <row r="26" spans="1:24" s="137" customFormat="1">
      <c r="A26" s="128">
        <f>VLOOKUP(B26,'Basic Rates'!$B$50:$G$133,6,FALSE)</f>
        <v>8</v>
      </c>
      <c r="B26" s="129" t="str">
        <f>'Basic Rates'!B58</f>
        <v>Natural Gravel</v>
      </c>
      <c r="C26" s="130" t="str">
        <f>'Basic Rates'!C58</f>
        <v>cum</v>
      </c>
      <c r="D26" s="132">
        <f>VLOOKUP(B26,'Basic Rates'!$B$50:$G$133,3,FALSE)</f>
        <v>1150</v>
      </c>
      <c r="E26" s="129" t="str">
        <f>'Basic Rates'!E58</f>
        <v>SITE</v>
      </c>
      <c r="F26" s="165" t="s">
        <v>605</v>
      </c>
      <c r="G26" s="131"/>
      <c r="H26" s="131">
        <f>VLOOKUP($E26,Distances!$B$5:$C$19,2,FALSE)+$D$7</f>
        <v>0</v>
      </c>
      <c r="I26" s="132"/>
      <c r="J26" s="132">
        <f t="shared" si="10"/>
        <v>0</v>
      </c>
      <c r="K26" s="130" t="s">
        <v>112</v>
      </c>
      <c r="L26" s="130">
        <v>1</v>
      </c>
      <c r="M26" s="132">
        <f t="shared" si="7"/>
        <v>0</v>
      </c>
      <c r="N26" s="132">
        <f t="shared" si="3"/>
        <v>1100</v>
      </c>
      <c r="O26" s="136">
        <f t="shared" si="8"/>
        <v>0.5</v>
      </c>
      <c r="P26" s="132">
        <f t="shared" si="1"/>
        <v>850</v>
      </c>
      <c r="Q26" s="132">
        <f>2.1*J26*$L26</f>
        <v>0</v>
      </c>
      <c r="R26" s="132">
        <f>'Basic Rates'!$D$92</f>
        <v>170.5</v>
      </c>
      <c r="S26" s="132">
        <f>0.16*(J26+0.75)*$L26</f>
        <v>0.12</v>
      </c>
      <c r="T26" s="132">
        <f t="shared" si="2"/>
        <v>486.72</v>
      </c>
      <c r="U26" s="133">
        <f t="shared" si="4"/>
        <v>0</v>
      </c>
      <c r="V26" s="169">
        <f t="shared" si="5"/>
        <v>1150</v>
      </c>
    </row>
    <row r="27" spans="1:24" s="137" customFormat="1" ht="15.75" thickBot="1">
      <c r="A27" s="128">
        <f>VLOOKUP(B27,'Basic Rates'!$B$50:$G$133,6,FALSE)</f>
        <v>9</v>
      </c>
      <c r="B27" s="129" t="str">
        <f>'Basic Rates'!B59</f>
        <v>Graded material</v>
      </c>
      <c r="C27" s="130" t="str">
        <f>'Basic Rates'!C59</f>
        <v>cum</v>
      </c>
      <c r="D27" s="132">
        <f>VLOOKUP(B27,'Basic Rates'!$B$50:$G$133,3,FALSE)</f>
        <v>1100</v>
      </c>
      <c r="E27" s="129" t="str">
        <f>'Basic Rates'!E59</f>
        <v>SITE</v>
      </c>
      <c r="F27" s="165" t="s">
        <v>605</v>
      </c>
      <c r="G27" s="131"/>
      <c r="H27" s="131">
        <f>VLOOKUP($E27,Distances!$B$5:$C$19,2,FALSE)+$D$7</f>
        <v>0</v>
      </c>
      <c r="I27" s="132"/>
      <c r="J27" s="132">
        <f t="shared" si="10"/>
        <v>0</v>
      </c>
      <c r="K27" s="130" t="s">
        <v>112</v>
      </c>
      <c r="L27" s="130">
        <v>1</v>
      </c>
      <c r="M27" s="132">
        <f t="shared" si="7"/>
        <v>0</v>
      </c>
      <c r="N27" s="132">
        <f t="shared" si="3"/>
        <v>1100</v>
      </c>
      <c r="O27" s="136">
        <f t="shared" si="8"/>
        <v>0.5</v>
      </c>
      <c r="P27" s="132">
        <f t="shared" si="1"/>
        <v>850</v>
      </c>
      <c r="Q27" s="132">
        <f>2.1*J27*$L27</f>
        <v>0</v>
      </c>
      <c r="R27" s="132">
        <f>'Basic Rates'!$D$92</f>
        <v>170.5</v>
      </c>
      <c r="S27" s="132">
        <f>0.16*(J27+0.75)*$L27</f>
        <v>0.12</v>
      </c>
      <c r="T27" s="132">
        <f t="shared" si="2"/>
        <v>486.72</v>
      </c>
      <c r="U27" s="133">
        <f t="shared" si="4"/>
        <v>0</v>
      </c>
      <c r="V27" s="169">
        <f t="shared" si="5"/>
        <v>1100</v>
      </c>
    </row>
    <row r="28" spans="1:24" s="137" customFormat="1" ht="15.75" thickBot="1">
      <c r="A28" s="163" t="str">
        <f>'Basic Rates'!A60</f>
        <v>GENERAL</v>
      </c>
      <c r="B28" s="159"/>
      <c r="C28" s="160"/>
      <c r="D28" s="161"/>
      <c r="E28" s="159"/>
      <c r="F28" s="159"/>
      <c r="G28" s="161"/>
      <c r="H28" s="161"/>
      <c r="I28" s="161"/>
      <c r="J28" s="161"/>
      <c r="K28" s="160"/>
      <c r="L28" s="160"/>
      <c r="M28" s="161"/>
      <c r="N28" s="161"/>
      <c r="O28" s="161"/>
      <c r="P28" s="161"/>
      <c r="Q28" s="161"/>
      <c r="R28" s="161"/>
      <c r="S28" s="161"/>
      <c r="T28" s="161"/>
      <c r="U28" s="161"/>
      <c r="V28" s="162"/>
    </row>
    <row r="29" spans="1:24" s="137" customFormat="1">
      <c r="A29" s="128">
        <f>VLOOKUP(B29,'Basic Rates'!$B$50:$G$133,6,FALSE)</f>
        <v>10</v>
      </c>
      <c r="B29" s="134" t="str">
        <f>'Basic Rates'!B61</f>
        <v>Cement</v>
      </c>
      <c r="C29" s="135" t="str">
        <f>'Basic Rates'!C61</f>
        <v>ton</v>
      </c>
      <c r="D29" s="132">
        <f>VLOOKUP(B29,'Basic Rates'!$B$50:$G$133,3,FALSE)</f>
        <v>18400</v>
      </c>
      <c r="E29" s="129" t="s">
        <v>882</v>
      </c>
      <c r="F29" s="165" t="s">
        <v>605</v>
      </c>
      <c r="G29" s="131">
        <f>VLOOKUP($E29,Distances!$B$5:$C$19,2,FALSE)+$D$4</f>
        <v>83</v>
      </c>
      <c r="H29" s="132">
        <f>$D$5</f>
        <v>23</v>
      </c>
      <c r="I29" s="132">
        <f>$D$6</f>
        <v>40.81</v>
      </c>
      <c r="J29" s="132">
        <f>2*(G29/$D$9+H29/$D$10+I29/$D$11)</f>
        <v>16.762</v>
      </c>
      <c r="K29" s="130" t="s">
        <v>116</v>
      </c>
      <c r="L29" s="130">
        <v>1</v>
      </c>
      <c r="M29" s="132">
        <f t="shared" si="7"/>
        <v>0</v>
      </c>
      <c r="N29" s="132">
        <f t="shared" ref="N29:N58" si="11">sr</f>
        <v>1100</v>
      </c>
      <c r="O29" s="136">
        <f>0.4*$L29</f>
        <v>0.4</v>
      </c>
      <c r="P29" s="132">
        <f t="shared" ref="P29:P58" si="12">ur</f>
        <v>850</v>
      </c>
      <c r="Q29" s="132">
        <f t="shared" ref="Q29:Q36" si="13">1.5*J29*$L29</f>
        <v>25.143000000000001</v>
      </c>
      <c r="R29" s="132">
        <f>'Basic Rates'!$D$92</f>
        <v>170.5</v>
      </c>
      <c r="S29" s="132">
        <f t="shared" ref="S29:S36" si="14">0.12*(J29+0.75)*$L29</f>
        <v>2.1014400000000002</v>
      </c>
      <c r="T29" s="132">
        <f t="shared" ref="T29:T58" si="15">truck</f>
        <v>486.72</v>
      </c>
      <c r="U29" s="133">
        <f>ROUND(IF(OR(D29=0,J29=0),0,M29*N29+O29*P29+Q29*R29+S29*T29),2)</f>
        <v>5649.69</v>
      </c>
      <c r="V29" s="169">
        <f>ROUND(D29+U29,2)</f>
        <v>24049.69</v>
      </c>
      <c r="W29" s="213">
        <f>cement+6000</f>
        <v>30049.69</v>
      </c>
      <c r="X29" s="213"/>
    </row>
    <row r="30" spans="1:24" s="137" customFormat="1">
      <c r="A30" s="128">
        <f>VLOOKUP(B30,'Basic Rates'!$B$50:$G$133,6,FALSE)</f>
        <v>11</v>
      </c>
      <c r="B30" s="134" t="str">
        <f>'Basic Rates'!B62</f>
        <v xml:space="preserve">Reinforcement </v>
      </c>
      <c r="C30" s="135" t="str">
        <f>'Basic Rates'!C62</f>
        <v>ton</v>
      </c>
      <c r="D30" s="132">
        <f>VLOOKUP(B30,'Basic Rates'!$B$50:$G$133,3,FALSE)</f>
        <v>124500</v>
      </c>
      <c r="E30" s="129" t="str">
        <f>'Basic Rates'!E62</f>
        <v>BENI</v>
      </c>
      <c r="F30" s="165" t="s">
        <v>605</v>
      </c>
      <c r="G30" s="131">
        <f>VLOOKUP($E30,Distances!$B$5:$C$19,2,FALSE)+$D$4</f>
        <v>3</v>
      </c>
      <c r="H30" s="132">
        <f t="shared" ref="H30:H58" si="16">$D$5</f>
        <v>23</v>
      </c>
      <c r="I30" s="132">
        <f t="shared" ref="I30:I58" si="17">$D$6</f>
        <v>40.81</v>
      </c>
      <c r="J30" s="132">
        <f>2*(G30/$D$9+H30/$D$10+I30/$D$11)</f>
        <v>11.428666666666668</v>
      </c>
      <c r="K30" s="130" t="s">
        <v>110</v>
      </c>
      <c r="L30" s="130">
        <v>1</v>
      </c>
      <c r="M30" s="132">
        <f t="shared" si="7"/>
        <v>0</v>
      </c>
      <c r="N30" s="132">
        <f t="shared" si="11"/>
        <v>1100</v>
      </c>
      <c r="O30" s="136">
        <f>0.6*$L30</f>
        <v>0.6</v>
      </c>
      <c r="P30" s="132">
        <f t="shared" si="12"/>
        <v>850</v>
      </c>
      <c r="Q30" s="132">
        <f t="shared" si="13"/>
        <v>17.143000000000001</v>
      </c>
      <c r="R30" s="132">
        <f>'Basic Rates'!$D$92</f>
        <v>170.5</v>
      </c>
      <c r="S30" s="132">
        <f t="shared" si="14"/>
        <v>1.4614400000000001</v>
      </c>
      <c r="T30" s="132">
        <f t="shared" si="15"/>
        <v>486.72</v>
      </c>
      <c r="U30" s="133">
        <f t="shared" ref="U30:U41" si="18">ROUND(IF(OR(D30=0,J30=0),0,M30*N30+O30*P30+Q30*R30+S30*T30),2)</f>
        <v>4144.1899999999996</v>
      </c>
      <c r="V30" s="169">
        <f t="shared" ref="V30:V41" si="19">ROUND(D30+U30,2)</f>
        <v>128644.19</v>
      </c>
    </row>
    <row r="31" spans="1:24" s="137" customFormat="1">
      <c r="A31" s="128">
        <f>VLOOKUP(B31,'Basic Rates'!$B$50:$G$133,6,FALSE)</f>
        <v>12</v>
      </c>
      <c r="B31" s="134" t="str">
        <f>'Basic Rates'!B63</f>
        <v>Binding wire</v>
      </c>
      <c r="C31" s="135" t="str">
        <f>'Basic Rates'!C63</f>
        <v>ton</v>
      </c>
      <c r="D31" s="132">
        <f>VLOOKUP(B31,'Basic Rates'!$B$50:$G$133,3,FALSE)</f>
        <v>100000</v>
      </c>
      <c r="E31" s="129" t="str">
        <f>'Basic Rates'!E63</f>
        <v>BENI</v>
      </c>
      <c r="F31" s="165" t="s">
        <v>605</v>
      </c>
      <c r="G31" s="131">
        <f>VLOOKUP($E31,Distances!$B$5:$C$19,2,FALSE)+$D$4</f>
        <v>3</v>
      </c>
      <c r="H31" s="132">
        <f t="shared" si="16"/>
        <v>23</v>
      </c>
      <c r="I31" s="132">
        <f t="shared" si="17"/>
        <v>40.81</v>
      </c>
      <c r="J31" s="132">
        <f t="shared" ref="J31:J58" si="20">2*(G31/$D$9+H31/$D$10+I31/$D$11)</f>
        <v>11.428666666666668</v>
      </c>
      <c r="K31" s="130" t="s">
        <v>110</v>
      </c>
      <c r="L31" s="130">
        <v>1</v>
      </c>
      <c r="M31" s="132">
        <f t="shared" si="7"/>
        <v>0</v>
      </c>
      <c r="N31" s="132">
        <f t="shared" si="11"/>
        <v>1100</v>
      </c>
      <c r="O31" s="136">
        <f>0.6*$L31</f>
        <v>0.6</v>
      </c>
      <c r="P31" s="132">
        <f t="shared" si="12"/>
        <v>850</v>
      </c>
      <c r="Q31" s="132">
        <f t="shared" si="13"/>
        <v>17.143000000000001</v>
      </c>
      <c r="R31" s="132">
        <f>'Basic Rates'!$D$92</f>
        <v>170.5</v>
      </c>
      <c r="S31" s="132">
        <f t="shared" si="14"/>
        <v>1.4614400000000001</v>
      </c>
      <c r="T31" s="132">
        <f t="shared" si="15"/>
        <v>486.72</v>
      </c>
      <c r="U31" s="133">
        <f t="shared" si="18"/>
        <v>4144.1899999999996</v>
      </c>
      <c r="V31" s="169">
        <f t="shared" si="19"/>
        <v>104144.19</v>
      </c>
    </row>
    <row r="32" spans="1:24" s="137" customFormat="1">
      <c r="A32" s="128">
        <f>VLOOKUP(B32,'Basic Rates'!$B$50:$G$133,6,FALSE)</f>
        <v>13</v>
      </c>
      <c r="B32" s="134" t="str">
        <f>'Basic Rates'!B64</f>
        <v>Structural Steel</v>
      </c>
      <c r="C32" s="135" t="str">
        <f>'Basic Rates'!C64</f>
        <v>ton</v>
      </c>
      <c r="D32" s="132">
        <f>VLOOKUP(B32,'Basic Rates'!$B$50:$G$133,3,FALSE)</f>
        <v>89000</v>
      </c>
      <c r="E32" s="129" t="str">
        <f>'Basic Rates'!E64</f>
        <v>BENI</v>
      </c>
      <c r="F32" s="165" t="s">
        <v>605</v>
      </c>
      <c r="G32" s="131">
        <f>VLOOKUP($E32,Distances!$B$5:$C$19,2,FALSE)+$D$4</f>
        <v>3</v>
      </c>
      <c r="H32" s="132">
        <f t="shared" si="16"/>
        <v>23</v>
      </c>
      <c r="I32" s="132">
        <f t="shared" si="17"/>
        <v>40.81</v>
      </c>
      <c r="J32" s="132">
        <f t="shared" si="20"/>
        <v>11.428666666666668</v>
      </c>
      <c r="K32" s="130" t="s">
        <v>484</v>
      </c>
      <c r="L32" s="130">
        <v>1</v>
      </c>
      <c r="M32" s="132">
        <f>0.4*$L32</f>
        <v>0.4</v>
      </c>
      <c r="N32" s="132">
        <f t="shared" si="11"/>
        <v>1100</v>
      </c>
      <c r="O32" s="136">
        <f>4*$L32</f>
        <v>4</v>
      </c>
      <c r="P32" s="132">
        <f t="shared" si="12"/>
        <v>850</v>
      </c>
      <c r="Q32" s="132">
        <f t="shared" si="13"/>
        <v>17.143000000000001</v>
      </c>
      <c r="R32" s="132">
        <f>'Basic Rates'!$D$92</f>
        <v>170.5</v>
      </c>
      <c r="S32" s="132">
        <f>0.12*(J32+1.25)*$L32</f>
        <v>1.5214400000000001</v>
      </c>
      <c r="T32" s="132">
        <f t="shared" si="15"/>
        <v>486.72</v>
      </c>
      <c r="U32" s="133">
        <f t="shared" si="18"/>
        <v>7503.4</v>
      </c>
      <c r="V32" s="169">
        <f t="shared" si="19"/>
        <v>96503.4</v>
      </c>
    </row>
    <row r="33" spans="1:22" s="137" customFormat="1">
      <c r="A33" s="128">
        <f>VLOOKUP(B33,'Basic Rates'!$B$50:$G$133,6,FALSE)</f>
        <v>14</v>
      </c>
      <c r="B33" s="134" t="str">
        <f>'Basic Rates'!B65</f>
        <v>Gabion - Selvedge Wire (9 SWG)</v>
      </c>
      <c r="C33" s="135" t="str">
        <f>'Basic Rates'!C65</f>
        <v>ton</v>
      </c>
      <c r="D33" s="132">
        <f>VLOOKUP(B33,'Basic Rates'!$B$50:$G$133,3,FALSE)</f>
        <v>108160</v>
      </c>
      <c r="E33" s="129" t="str">
        <f>'Basic Rates'!E65</f>
        <v>BENI</v>
      </c>
      <c r="F33" s="165" t="s">
        <v>605</v>
      </c>
      <c r="G33" s="131">
        <f>VLOOKUP($E33,Distances!$B$5:$C$19,2,FALSE)+$D$4</f>
        <v>3</v>
      </c>
      <c r="H33" s="132">
        <f t="shared" si="16"/>
        <v>23</v>
      </c>
      <c r="I33" s="132">
        <f t="shared" si="17"/>
        <v>40.81</v>
      </c>
      <c r="J33" s="132">
        <f t="shared" si="20"/>
        <v>11.428666666666668</v>
      </c>
      <c r="K33" s="130" t="s">
        <v>110</v>
      </c>
      <c r="L33" s="130">
        <v>1</v>
      </c>
      <c r="M33" s="132">
        <f t="shared" si="7"/>
        <v>0</v>
      </c>
      <c r="N33" s="132">
        <f t="shared" si="11"/>
        <v>1100</v>
      </c>
      <c r="O33" s="136">
        <f>0.6*$L33</f>
        <v>0.6</v>
      </c>
      <c r="P33" s="132">
        <f t="shared" si="12"/>
        <v>850</v>
      </c>
      <c r="Q33" s="132">
        <f>1.5*J33*$L33</f>
        <v>17.143000000000001</v>
      </c>
      <c r="R33" s="132">
        <f>'Basic Rates'!$D$92</f>
        <v>170.5</v>
      </c>
      <c r="S33" s="132">
        <f t="shared" si="14"/>
        <v>1.4614400000000001</v>
      </c>
      <c r="T33" s="132">
        <f t="shared" si="15"/>
        <v>486.72</v>
      </c>
      <c r="U33" s="133">
        <f t="shared" si="18"/>
        <v>4144.1899999999996</v>
      </c>
      <c r="V33" s="169">
        <f t="shared" si="19"/>
        <v>112304.19</v>
      </c>
    </row>
    <row r="34" spans="1:22" s="137" customFormat="1">
      <c r="A34" s="128">
        <f>VLOOKUP(B34,'Basic Rates'!$B$50:$G$133,6,FALSE)</f>
        <v>15</v>
      </c>
      <c r="B34" s="134" t="str">
        <f>'Basic Rates'!B66</f>
        <v>Gabion - Mesh Wire (10 SWG)</v>
      </c>
      <c r="C34" s="135" t="str">
        <f>'Basic Rates'!C66</f>
        <v>ton</v>
      </c>
      <c r="D34" s="132">
        <f>VLOOKUP(B34,'Basic Rates'!$B$50:$G$133,3,FALSE)</f>
        <v>110320</v>
      </c>
      <c r="E34" s="129" t="str">
        <f>'Basic Rates'!E66</f>
        <v>BENI</v>
      </c>
      <c r="F34" s="165" t="s">
        <v>605</v>
      </c>
      <c r="G34" s="131">
        <f>VLOOKUP($E34,Distances!$B$5:$C$19,2,FALSE)+$D$4</f>
        <v>3</v>
      </c>
      <c r="H34" s="132">
        <f t="shared" si="16"/>
        <v>23</v>
      </c>
      <c r="I34" s="132">
        <f t="shared" si="17"/>
        <v>40.81</v>
      </c>
      <c r="J34" s="132">
        <f t="shared" si="20"/>
        <v>11.428666666666668</v>
      </c>
      <c r="K34" s="130" t="s">
        <v>110</v>
      </c>
      <c r="L34" s="130">
        <v>1</v>
      </c>
      <c r="M34" s="132">
        <f t="shared" si="7"/>
        <v>0</v>
      </c>
      <c r="N34" s="132">
        <f t="shared" si="11"/>
        <v>1100</v>
      </c>
      <c r="O34" s="132">
        <f>0.6*$L34</f>
        <v>0.6</v>
      </c>
      <c r="P34" s="132">
        <f t="shared" si="12"/>
        <v>850</v>
      </c>
      <c r="Q34" s="132">
        <f t="shared" si="13"/>
        <v>17.143000000000001</v>
      </c>
      <c r="R34" s="132">
        <f>'Basic Rates'!$D$92</f>
        <v>170.5</v>
      </c>
      <c r="S34" s="132">
        <f t="shared" si="14"/>
        <v>1.4614400000000001</v>
      </c>
      <c r="T34" s="132">
        <f t="shared" si="15"/>
        <v>486.72</v>
      </c>
      <c r="U34" s="133">
        <f t="shared" si="18"/>
        <v>4144.1899999999996</v>
      </c>
      <c r="V34" s="169">
        <f t="shared" si="19"/>
        <v>114464.19</v>
      </c>
    </row>
    <row r="35" spans="1:22" s="137" customFormat="1">
      <c r="A35" s="128">
        <f>VLOOKUP(B35,'Basic Rates'!$B$50:$G$133,6,FALSE)</f>
        <v>16</v>
      </c>
      <c r="B35" s="134" t="str">
        <f>'Basic Rates'!B67</f>
        <v>Gabion - Tying Wire (12 SWG)</v>
      </c>
      <c r="C35" s="135" t="str">
        <f>'Basic Rates'!C67</f>
        <v>ton</v>
      </c>
      <c r="D35" s="132">
        <f>VLOOKUP(B35,'Basic Rates'!$B$50:$G$133,3,FALSE)</f>
        <v>113570</v>
      </c>
      <c r="E35" s="129" t="str">
        <f>'Basic Rates'!E67</f>
        <v>BENI</v>
      </c>
      <c r="F35" s="165" t="s">
        <v>605</v>
      </c>
      <c r="G35" s="131">
        <f>VLOOKUP($E35,Distances!$B$5:$C$19,2,FALSE)+$D$4</f>
        <v>3</v>
      </c>
      <c r="H35" s="132">
        <f t="shared" si="16"/>
        <v>23</v>
      </c>
      <c r="I35" s="132">
        <f t="shared" si="17"/>
        <v>40.81</v>
      </c>
      <c r="J35" s="132">
        <f t="shared" si="20"/>
        <v>11.428666666666668</v>
      </c>
      <c r="K35" s="130" t="s">
        <v>110</v>
      </c>
      <c r="L35" s="130">
        <v>1</v>
      </c>
      <c r="M35" s="132">
        <f t="shared" si="7"/>
        <v>0</v>
      </c>
      <c r="N35" s="132">
        <f t="shared" si="11"/>
        <v>1100</v>
      </c>
      <c r="O35" s="132">
        <f>0.6*$L35</f>
        <v>0.6</v>
      </c>
      <c r="P35" s="132">
        <f t="shared" si="12"/>
        <v>850</v>
      </c>
      <c r="Q35" s="132">
        <f t="shared" si="13"/>
        <v>17.143000000000001</v>
      </c>
      <c r="R35" s="132">
        <f>'Basic Rates'!$D$92</f>
        <v>170.5</v>
      </c>
      <c r="S35" s="132">
        <f t="shared" si="14"/>
        <v>1.4614400000000001</v>
      </c>
      <c r="T35" s="132">
        <f t="shared" si="15"/>
        <v>486.72</v>
      </c>
      <c r="U35" s="133">
        <f t="shared" si="18"/>
        <v>4144.1899999999996</v>
      </c>
      <c r="V35" s="169">
        <f t="shared" si="19"/>
        <v>117714.19</v>
      </c>
    </row>
    <row r="36" spans="1:22" s="137" customFormat="1">
      <c r="A36" s="128">
        <f>VLOOKUP(B36,'Basic Rates'!$B$50:$G$133,6,FALSE)</f>
        <v>17</v>
      </c>
      <c r="B36" s="134" t="str">
        <f>'Basic Rates'!B68</f>
        <v>GI wire (8 Gauge-Commercial)</v>
      </c>
      <c r="C36" s="135" t="str">
        <f>'Basic Rates'!C68</f>
        <v>ton</v>
      </c>
      <c r="D36" s="132">
        <f>VLOOKUP(B36,'Basic Rates'!$B$50:$G$133,3,FALSE)</f>
        <v>100000</v>
      </c>
      <c r="E36" s="129" t="str">
        <f>'Basic Rates'!E68</f>
        <v>BENI</v>
      </c>
      <c r="F36" s="165" t="s">
        <v>605</v>
      </c>
      <c r="G36" s="131">
        <f>VLOOKUP($E36,Distances!$B$5:$C$19,2,FALSE)+$D$4</f>
        <v>3</v>
      </c>
      <c r="H36" s="132">
        <f t="shared" si="16"/>
        <v>23</v>
      </c>
      <c r="I36" s="132">
        <f t="shared" si="17"/>
        <v>40.81</v>
      </c>
      <c r="J36" s="132">
        <f t="shared" si="20"/>
        <v>11.428666666666668</v>
      </c>
      <c r="K36" s="130" t="s">
        <v>110</v>
      </c>
      <c r="L36" s="130">
        <v>1</v>
      </c>
      <c r="M36" s="132">
        <f t="shared" si="7"/>
        <v>0</v>
      </c>
      <c r="N36" s="132">
        <f t="shared" si="11"/>
        <v>1100</v>
      </c>
      <c r="O36" s="132">
        <f>0.6*$L36</f>
        <v>0.6</v>
      </c>
      <c r="P36" s="132">
        <f t="shared" si="12"/>
        <v>850</v>
      </c>
      <c r="Q36" s="132">
        <f t="shared" si="13"/>
        <v>17.143000000000001</v>
      </c>
      <c r="R36" s="132">
        <f>'Basic Rates'!$D$92</f>
        <v>170.5</v>
      </c>
      <c r="S36" s="132">
        <f t="shared" si="14"/>
        <v>1.4614400000000001</v>
      </c>
      <c r="T36" s="132">
        <f t="shared" si="15"/>
        <v>486.72</v>
      </c>
      <c r="U36" s="133">
        <f t="shared" si="18"/>
        <v>4144.1899999999996</v>
      </c>
      <c r="V36" s="169">
        <f t="shared" si="19"/>
        <v>104144.19</v>
      </c>
    </row>
    <row r="37" spans="1:22" s="137" customFormat="1">
      <c r="A37" s="128">
        <f>VLOOKUP(B37,'Basic Rates'!$B$50:$G$133,6,FALSE)</f>
        <v>18</v>
      </c>
      <c r="B37" s="134" t="str">
        <f>'Basic Rates'!B69</f>
        <v>Sal Timber (local)</v>
      </c>
      <c r="C37" s="135" t="str">
        <f>'Basic Rates'!C69</f>
        <v>cum</v>
      </c>
      <c r="D37" s="132">
        <f>VLOOKUP(B37,'Basic Rates'!$B$50:$G$133,3,FALSE)</f>
        <v>90000</v>
      </c>
      <c r="E37" s="129" t="str">
        <f>'Basic Rates'!E69</f>
        <v>BENI</v>
      </c>
      <c r="F37" s="165" t="s">
        <v>605</v>
      </c>
      <c r="G37" s="131">
        <f>VLOOKUP($E37,Distances!$B$5:$C$19,2,FALSE)+$D$4</f>
        <v>3</v>
      </c>
      <c r="H37" s="132">
        <f t="shared" si="16"/>
        <v>23</v>
      </c>
      <c r="I37" s="132">
        <f t="shared" si="17"/>
        <v>40.81</v>
      </c>
      <c r="J37" s="132">
        <f t="shared" si="20"/>
        <v>11.428666666666668</v>
      </c>
      <c r="K37" s="130" t="s">
        <v>114</v>
      </c>
      <c r="L37" s="130">
        <v>1</v>
      </c>
      <c r="M37" s="132">
        <f t="shared" si="7"/>
        <v>0</v>
      </c>
      <c r="N37" s="132">
        <f t="shared" si="11"/>
        <v>1100</v>
      </c>
      <c r="O37" s="132">
        <f>0.3*$L37</f>
        <v>0.3</v>
      </c>
      <c r="P37" s="132">
        <f t="shared" si="12"/>
        <v>850</v>
      </c>
      <c r="Q37" s="132">
        <f>1.4*J37*$L37</f>
        <v>16.000133333333334</v>
      </c>
      <c r="R37" s="132">
        <f>'Basic Rates'!$D$92</f>
        <v>170.5</v>
      </c>
      <c r="S37" s="132">
        <f>0.11*(J37+0.75)*$L37</f>
        <v>1.3396533333333336</v>
      </c>
      <c r="T37" s="132">
        <f t="shared" si="15"/>
        <v>486.72</v>
      </c>
      <c r="U37" s="133">
        <f t="shared" si="18"/>
        <v>3635.06</v>
      </c>
      <c r="V37" s="169">
        <f t="shared" si="19"/>
        <v>93635.06</v>
      </c>
    </row>
    <row r="38" spans="1:22" s="137" customFormat="1">
      <c r="A38" s="128">
        <f>VLOOKUP(B38,'Basic Rates'!$B$50:$G$133,6,FALSE)</f>
        <v>19</v>
      </c>
      <c r="B38" s="134" t="str">
        <f>'Basic Rates'!B70</f>
        <v>Planks of local wood (1" - 1.5" thick)</v>
      </c>
      <c r="C38" s="135" t="str">
        <f>'Basic Rates'!C70</f>
        <v>cum</v>
      </c>
      <c r="D38" s="132">
        <f>VLOOKUP(B38,'Basic Rates'!$B$50:$G$133,3,FALSE)</f>
        <v>31000</v>
      </c>
      <c r="E38" s="129" t="str">
        <f>'Basic Rates'!E70</f>
        <v>BENI</v>
      </c>
      <c r="F38" s="165" t="s">
        <v>605</v>
      </c>
      <c r="G38" s="131">
        <f>VLOOKUP($E38,Distances!$B$5:$C$19,2,FALSE)+$D$4</f>
        <v>3</v>
      </c>
      <c r="H38" s="132">
        <f t="shared" si="16"/>
        <v>23</v>
      </c>
      <c r="I38" s="132">
        <f t="shared" si="17"/>
        <v>40.81</v>
      </c>
      <c r="J38" s="132">
        <f t="shared" si="20"/>
        <v>11.428666666666668</v>
      </c>
      <c r="K38" s="130" t="s">
        <v>114</v>
      </c>
      <c r="L38" s="130">
        <v>1</v>
      </c>
      <c r="M38" s="132">
        <f t="shared" si="7"/>
        <v>0</v>
      </c>
      <c r="N38" s="132">
        <f t="shared" si="11"/>
        <v>1100</v>
      </c>
      <c r="O38" s="136">
        <f>0.3*$L38</f>
        <v>0.3</v>
      </c>
      <c r="P38" s="132">
        <f t="shared" si="12"/>
        <v>850</v>
      </c>
      <c r="Q38" s="132">
        <f>1.4*J38*$L38</f>
        <v>16.000133333333334</v>
      </c>
      <c r="R38" s="132">
        <f>'Basic Rates'!$D$92</f>
        <v>170.5</v>
      </c>
      <c r="S38" s="132">
        <f>0.11*(J38+0.75)*$L38</f>
        <v>1.3396533333333336</v>
      </c>
      <c r="T38" s="132">
        <f t="shared" si="15"/>
        <v>486.72</v>
      </c>
      <c r="U38" s="133">
        <f t="shared" si="18"/>
        <v>3635.06</v>
      </c>
      <c r="V38" s="169">
        <f t="shared" si="19"/>
        <v>34635.06</v>
      </c>
    </row>
    <row r="39" spans="1:22" s="137" customFormat="1">
      <c r="A39" s="128">
        <f>VLOOKUP(B39,'Basic Rates'!$B$50:$G$133,6,FALSE)</f>
        <v>20</v>
      </c>
      <c r="B39" s="134" t="str">
        <f>'Basic Rates'!B71</f>
        <v>Plywood(12mm)</v>
      </c>
      <c r="C39" s="135" t="str">
        <f>'Basic Rates'!C71</f>
        <v>sqm</v>
      </c>
      <c r="D39" s="132">
        <f>VLOOKUP(B39,'Basic Rates'!$B$50:$G$133,3,FALSE)</f>
        <v>376.73702679138455</v>
      </c>
      <c r="E39" s="129" t="str">
        <f>'Basic Rates'!E71</f>
        <v>BENI</v>
      </c>
      <c r="F39" s="165" t="s">
        <v>605</v>
      </c>
      <c r="G39" s="131">
        <f>VLOOKUP($E39,Distances!$B$5:$C$19,2,FALSE)+$D$4</f>
        <v>3</v>
      </c>
      <c r="H39" s="132">
        <f t="shared" si="16"/>
        <v>23</v>
      </c>
      <c r="I39" s="132">
        <f t="shared" si="17"/>
        <v>40.81</v>
      </c>
      <c r="J39" s="132">
        <f t="shared" si="20"/>
        <v>11.428666666666668</v>
      </c>
      <c r="K39" s="130" t="s">
        <v>114</v>
      </c>
      <c r="L39" s="130">
        <f>12/1000</f>
        <v>1.2E-2</v>
      </c>
      <c r="M39" s="132">
        <f t="shared" si="7"/>
        <v>0</v>
      </c>
      <c r="N39" s="132">
        <f t="shared" si="11"/>
        <v>1100</v>
      </c>
      <c r="O39" s="136">
        <f>0.3*$L39</f>
        <v>3.5999999999999999E-3</v>
      </c>
      <c r="P39" s="132">
        <f t="shared" si="12"/>
        <v>850</v>
      </c>
      <c r="Q39" s="132">
        <f>1.4*J39*$L39</f>
        <v>0.19200160000000002</v>
      </c>
      <c r="R39" s="132">
        <f>'Basic Rates'!$D$92</f>
        <v>170.5</v>
      </c>
      <c r="S39" s="132">
        <f>0.11*(J39+0.75)*$L39</f>
        <v>1.6075840000000004E-2</v>
      </c>
      <c r="T39" s="132">
        <f t="shared" si="15"/>
        <v>486.72</v>
      </c>
      <c r="U39" s="133">
        <f t="shared" si="18"/>
        <v>43.62</v>
      </c>
      <c r="V39" s="169">
        <f t="shared" si="19"/>
        <v>420.36</v>
      </c>
    </row>
    <row r="40" spans="1:22" s="137" customFormat="1">
      <c r="A40" s="128">
        <f>VLOOKUP(B40,'Basic Rates'!$B$50:$G$133,6,FALSE)</f>
        <v>21</v>
      </c>
      <c r="B40" s="134" t="str">
        <f>'Basic Rates'!B72</f>
        <v>Nails</v>
      </c>
      <c r="C40" s="135" t="str">
        <f>'Basic Rates'!C72</f>
        <v>ton</v>
      </c>
      <c r="D40" s="132">
        <f>VLOOKUP(B40,'Basic Rates'!$B$50:$G$133,3,FALSE)</f>
        <v>120000</v>
      </c>
      <c r="E40" s="129" t="str">
        <f>'Basic Rates'!E72</f>
        <v>BENI</v>
      </c>
      <c r="F40" s="165" t="s">
        <v>605</v>
      </c>
      <c r="G40" s="131">
        <f>VLOOKUP($E40,Distances!$B$5:$C$19,2,FALSE)+$D$4</f>
        <v>3</v>
      </c>
      <c r="H40" s="132">
        <f t="shared" si="16"/>
        <v>23</v>
      </c>
      <c r="I40" s="132">
        <f t="shared" si="17"/>
        <v>40.81</v>
      </c>
      <c r="J40" s="132">
        <f t="shared" si="20"/>
        <v>11.428666666666668</v>
      </c>
      <c r="K40" s="130" t="s">
        <v>110</v>
      </c>
      <c r="L40" s="130">
        <v>1</v>
      </c>
      <c r="M40" s="132">
        <f t="shared" si="7"/>
        <v>0</v>
      </c>
      <c r="N40" s="132">
        <f t="shared" si="11"/>
        <v>1100</v>
      </c>
      <c r="O40" s="136">
        <f>0.6*$L40</f>
        <v>0.6</v>
      </c>
      <c r="P40" s="132">
        <f t="shared" si="12"/>
        <v>850</v>
      </c>
      <c r="Q40" s="132">
        <f>1.5*J40*$L40</f>
        <v>17.143000000000001</v>
      </c>
      <c r="R40" s="132">
        <f>'Basic Rates'!$D$92</f>
        <v>170.5</v>
      </c>
      <c r="S40" s="132">
        <f>0.12*(J40+0.75)*$L40</f>
        <v>1.4614400000000001</v>
      </c>
      <c r="T40" s="132">
        <f t="shared" si="15"/>
        <v>486.72</v>
      </c>
      <c r="U40" s="133">
        <f t="shared" si="18"/>
        <v>4144.1899999999996</v>
      </c>
      <c r="V40" s="169">
        <f t="shared" si="19"/>
        <v>124144.19</v>
      </c>
    </row>
    <row r="41" spans="1:22" s="137" customFormat="1">
      <c r="A41" s="128">
        <f>VLOOKUP(B41,'Basic Rates'!$B$50:$G$133,6,FALSE)</f>
        <v>22</v>
      </c>
      <c r="B41" s="134" t="str">
        <f>'Basic Rates'!B73</f>
        <v>Screw</v>
      </c>
      <c r="C41" s="135" t="str">
        <f>'Basic Rates'!C73</f>
        <v>Nos.</v>
      </c>
      <c r="D41" s="132">
        <f>VLOOKUP(B41,'Basic Rates'!$B$50:$G$133,3,FALSE)</f>
        <v>10</v>
      </c>
      <c r="E41" s="129" t="str">
        <f>'Basic Rates'!E73</f>
        <v>KASKI</v>
      </c>
      <c r="F41" s="165" t="s">
        <v>605</v>
      </c>
      <c r="G41" s="131">
        <f>VLOOKUP($E41,Distances!$B$5:$C$19,2,FALSE)+$D$4</f>
        <v>83</v>
      </c>
      <c r="H41" s="132">
        <f t="shared" si="16"/>
        <v>23</v>
      </c>
      <c r="I41" s="132">
        <f t="shared" si="17"/>
        <v>40.81</v>
      </c>
      <c r="J41" s="132">
        <f t="shared" si="20"/>
        <v>16.762</v>
      </c>
      <c r="K41" s="130" t="s">
        <v>121</v>
      </c>
      <c r="L41" s="130">
        <f>0.01/1000</f>
        <v>1.0000000000000001E-5</v>
      </c>
      <c r="M41" s="136">
        <f t="shared" ref="M41:M57" si="21">0*$L41</f>
        <v>0</v>
      </c>
      <c r="N41" s="132">
        <f t="shared" si="11"/>
        <v>1100</v>
      </c>
      <c r="O41" s="136">
        <f>1*$L41</f>
        <v>1.0000000000000001E-5</v>
      </c>
      <c r="P41" s="132">
        <f t="shared" si="12"/>
        <v>850</v>
      </c>
      <c r="Q41" s="136">
        <f>1.5*J41*$L41</f>
        <v>2.5143000000000002E-4</v>
      </c>
      <c r="R41" s="132">
        <f>'Basic Rates'!$D$92</f>
        <v>170.5</v>
      </c>
      <c r="S41" s="132">
        <f>0.12*(J41+0.75)*$L41</f>
        <v>2.1014400000000003E-5</v>
      </c>
      <c r="T41" s="132">
        <f t="shared" si="15"/>
        <v>486.72</v>
      </c>
      <c r="U41" s="133">
        <f t="shared" si="18"/>
        <v>0.06</v>
      </c>
      <c r="V41" s="169">
        <f t="shared" si="19"/>
        <v>10.06</v>
      </c>
    </row>
    <row r="42" spans="1:22" s="137" customFormat="1">
      <c r="A42" s="128">
        <f>VLOOKUP(B42,'Basic Rates'!$B$50:$G$133,6,FALSE)</f>
        <v>23</v>
      </c>
      <c r="B42" s="134" t="str">
        <f>'Basic Rates'!B74</f>
        <v>Brick (Local Chimney Made)</v>
      </c>
      <c r="C42" s="135" t="str">
        <f>'Basic Rates'!C74</f>
        <v>Nos.</v>
      </c>
      <c r="D42" s="132">
        <f>VLOOKUP(B42,'Basic Rates'!$B$50:$G$133,3,FALSE)</f>
        <v>17.5</v>
      </c>
      <c r="E42" s="129" t="str">
        <f>'Basic Rates'!E74</f>
        <v>SITE</v>
      </c>
      <c r="F42" s="165" t="s">
        <v>605</v>
      </c>
      <c r="G42" s="131"/>
      <c r="H42" s="132">
        <f t="shared" si="16"/>
        <v>23</v>
      </c>
      <c r="I42" s="132">
        <f t="shared" si="17"/>
        <v>40.81</v>
      </c>
      <c r="J42" s="132"/>
      <c r="K42" s="130" t="s">
        <v>118</v>
      </c>
      <c r="L42" s="130">
        <f t="shared" ref="L42:L47" si="22">1/1000</f>
        <v>1E-3</v>
      </c>
      <c r="M42" s="136">
        <f t="shared" si="21"/>
        <v>0</v>
      </c>
      <c r="N42" s="132">
        <f t="shared" si="11"/>
        <v>1100</v>
      </c>
      <c r="O42" s="240">
        <f>0.6*$L42</f>
        <v>5.9999999999999995E-4</v>
      </c>
      <c r="P42" s="132">
        <f t="shared" si="12"/>
        <v>850</v>
      </c>
      <c r="Q42" s="136">
        <f>4*J42*$L42</f>
        <v>0</v>
      </c>
      <c r="R42" s="132">
        <f>'Basic Rates'!$D$92</f>
        <v>170.5</v>
      </c>
      <c r="S42" s="132">
        <f>0.31*(J42+0.75)*$L42</f>
        <v>2.3249999999999999E-4</v>
      </c>
      <c r="T42" s="132">
        <f t="shared" si="15"/>
        <v>486.72</v>
      </c>
      <c r="U42" s="133">
        <f>ROUND(IF(OR(D42=0,J42=0),0,M42*N42+O42*P42+Q42*R42+S42*T42),2)</f>
        <v>0</v>
      </c>
      <c r="V42" s="169">
        <f>ROUND(D42+U42,2)</f>
        <v>17.5</v>
      </c>
    </row>
    <row r="43" spans="1:22" s="137" customFormat="1">
      <c r="A43" s="128">
        <f>VLOOKUP(B43,'Basic Rates'!$B$50:$G$133,6,FALSE)</f>
        <v>24</v>
      </c>
      <c r="B43" s="134" t="str">
        <f>'Basic Rates'!B75</f>
        <v>Silica Fumes</v>
      </c>
      <c r="C43" s="135" t="str">
        <f>'Basic Rates'!C75</f>
        <v>kg</v>
      </c>
      <c r="D43" s="132">
        <f>VLOOKUP(B43,'Basic Rates'!$B$50:$G$133,3,FALSE)</f>
        <v>360</v>
      </c>
      <c r="E43" s="129" t="str">
        <f>'Basic Rates'!E75</f>
        <v>KASKI</v>
      </c>
      <c r="F43" s="165" t="s">
        <v>605</v>
      </c>
      <c r="G43" s="131">
        <f>VLOOKUP($E43,Distances!$B$5:$C$19,2,FALSE)+$D$4</f>
        <v>83</v>
      </c>
      <c r="H43" s="132">
        <f t="shared" si="16"/>
        <v>23</v>
      </c>
      <c r="I43" s="132">
        <f t="shared" si="17"/>
        <v>40.81</v>
      </c>
      <c r="J43" s="132">
        <f t="shared" si="20"/>
        <v>16.762</v>
      </c>
      <c r="K43" s="130" t="s">
        <v>116</v>
      </c>
      <c r="L43" s="130">
        <f t="shared" si="22"/>
        <v>1E-3</v>
      </c>
      <c r="M43" s="132">
        <f t="shared" si="21"/>
        <v>0</v>
      </c>
      <c r="N43" s="132">
        <f t="shared" si="11"/>
        <v>1100</v>
      </c>
      <c r="O43" s="136">
        <f>0.4*$L43</f>
        <v>4.0000000000000002E-4</v>
      </c>
      <c r="P43" s="132">
        <f t="shared" si="12"/>
        <v>850</v>
      </c>
      <c r="Q43" s="132">
        <f t="shared" ref="Q43:Q53" si="23">1.5*J43*$L43</f>
        <v>2.5143000000000002E-2</v>
      </c>
      <c r="R43" s="132">
        <f>'Basic Rates'!$D$92</f>
        <v>170.5</v>
      </c>
      <c r="S43" s="132">
        <f t="shared" ref="S43:S56" si="24">0.12*(J43+0.75)*$L43</f>
        <v>2.1014400000000004E-3</v>
      </c>
      <c r="T43" s="132">
        <f t="shared" si="15"/>
        <v>486.72</v>
      </c>
      <c r="U43" s="133">
        <f t="shared" ref="U43:U51" si="25">ROUND(IF(OR(D43=0,J43=0),0,M43*N43+O43*P43+Q43*R43+S43*T43),2)</f>
        <v>5.65</v>
      </c>
      <c r="V43" s="169">
        <f t="shared" ref="V43:V52" si="26">ROUND(D43+U43,2)</f>
        <v>365.65</v>
      </c>
    </row>
    <row r="44" spans="1:22" s="137" customFormat="1">
      <c r="A44" s="128">
        <f>VLOOKUP(B44,'Basic Rates'!$B$50:$G$133,6,FALSE)</f>
        <v>25</v>
      </c>
      <c r="B44" s="134" t="str">
        <f>'Basic Rates'!B76</f>
        <v>Accelerator</v>
      </c>
      <c r="C44" s="135" t="str">
        <f>'Basic Rates'!C76</f>
        <v>kg</v>
      </c>
      <c r="D44" s="132">
        <f>VLOOKUP(B44,'Basic Rates'!$B$50:$G$133,3,FALSE)</f>
        <v>79.2</v>
      </c>
      <c r="E44" s="129" t="str">
        <f>'Basic Rates'!E76</f>
        <v>KATHMANDU</v>
      </c>
      <c r="F44" s="165" t="s">
        <v>605</v>
      </c>
      <c r="G44" s="131">
        <f>VLOOKUP($E44,Distances!$B$5:$C$19,2,FALSE)+$D$4</f>
        <v>283</v>
      </c>
      <c r="H44" s="132">
        <f t="shared" si="16"/>
        <v>23</v>
      </c>
      <c r="I44" s="132">
        <f t="shared" si="17"/>
        <v>40.81</v>
      </c>
      <c r="J44" s="132">
        <f t="shared" si="20"/>
        <v>30.095333333333336</v>
      </c>
      <c r="K44" s="130" t="s">
        <v>116</v>
      </c>
      <c r="L44" s="130">
        <f t="shared" si="22"/>
        <v>1E-3</v>
      </c>
      <c r="M44" s="132">
        <f t="shared" si="21"/>
        <v>0</v>
      </c>
      <c r="N44" s="132">
        <f t="shared" si="11"/>
        <v>1100</v>
      </c>
      <c r="O44" s="136">
        <f>0.4*$L44</f>
        <v>4.0000000000000002E-4</v>
      </c>
      <c r="P44" s="132">
        <f t="shared" si="12"/>
        <v>850</v>
      </c>
      <c r="Q44" s="132">
        <f t="shared" si="23"/>
        <v>4.5143000000000003E-2</v>
      </c>
      <c r="R44" s="132">
        <f>'Basic Rates'!$D$92</f>
        <v>170.5</v>
      </c>
      <c r="S44" s="132">
        <f t="shared" si="24"/>
        <v>3.7014400000000003E-3</v>
      </c>
      <c r="T44" s="132">
        <f t="shared" si="15"/>
        <v>486.72</v>
      </c>
      <c r="U44" s="133">
        <f t="shared" si="25"/>
        <v>9.84</v>
      </c>
      <c r="V44" s="169">
        <f t="shared" si="26"/>
        <v>89.04</v>
      </c>
    </row>
    <row r="45" spans="1:22" s="137" customFormat="1">
      <c r="A45" s="128">
        <f>VLOOKUP(B45,'Basic Rates'!$B$50:$G$133,6,FALSE)</f>
        <v>26</v>
      </c>
      <c r="B45" s="134" t="str">
        <f>'Basic Rates'!B77</f>
        <v>Plasticizers</v>
      </c>
      <c r="C45" s="135" t="str">
        <f>'Basic Rates'!C77</f>
        <v>kg</v>
      </c>
      <c r="D45" s="132">
        <f>VLOOKUP(B45,'Basic Rates'!$B$50:$G$133,3,FALSE)</f>
        <v>129.79</v>
      </c>
      <c r="E45" s="129" t="str">
        <f>'Basic Rates'!E77</f>
        <v>KATHMANDU</v>
      </c>
      <c r="F45" s="165" t="s">
        <v>605</v>
      </c>
      <c r="G45" s="131">
        <f>VLOOKUP($E45,Distances!$B$5:$C$19,2,FALSE)+$D$4</f>
        <v>283</v>
      </c>
      <c r="H45" s="132">
        <f t="shared" si="16"/>
        <v>23</v>
      </c>
      <c r="I45" s="132">
        <f t="shared" si="17"/>
        <v>40.81</v>
      </c>
      <c r="J45" s="132">
        <f>2*(G45/$D$9+H45/$D$10+I45/$D$11)</f>
        <v>30.095333333333336</v>
      </c>
      <c r="K45" s="130" t="s">
        <v>116</v>
      </c>
      <c r="L45" s="130">
        <f t="shared" si="22"/>
        <v>1E-3</v>
      </c>
      <c r="M45" s="132">
        <f t="shared" si="21"/>
        <v>0</v>
      </c>
      <c r="N45" s="132">
        <f t="shared" si="11"/>
        <v>1100</v>
      </c>
      <c r="O45" s="136">
        <f>0.4*$L45</f>
        <v>4.0000000000000002E-4</v>
      </c>
      <c r="P45" s="132">
        <f t="shared" si="12"/>
        <v>850</v>
      </c>
      <c r="Q45" s="132">
        <f t="shared" si="23"/>
        <v>4.5143000000000003E-2</v>
      </c>
      <c r="R45" s="132">
        <f>'Basic Rates'!$D$92</f>
        <v>170.5</v>
      </c>
      <c r="S45" s="132">
        <f>0.12*(J45+0.75)*$L45</f>
        <v>3.7014400000000003E-3</v>
      </c>
      <c r="T45" s="132">
        <f t="shared" si="15"/>
        <v>486.72</v>
      </c>
      <c r="U45" s="133">
        <f t="shared" si="25"/>
        <v>9.84</v>
      </c>
      <c r="V45" s="169">
        <f t="shared" si="26"/>
        <v>139.63</v>
      </c>
    </row>
    <row r="46" spans="1:22" s="137" customFormat="1">
      <c r="A46" s="128">
        <f>VLOOKUP(B46,'Basic Rates'!$B$50:$G$133,6,FALSE)</f>
        <v>27</v>
      </c>
      <c r="B46" s="134" t="str">
        <f>'Basic Rates'!B78</f>
        <v>Metal Pipe</v>
      </c>
      <c r="C46" s="135" t="str">
        <f>'Basic Rates'!C78</f>
        <v>kg</v>
      </c>
      <c r="D46" s="132">
        <f>VLOOKUP(B46,'Basic Rates'!$B$50:$G$133,3,FALSE)</f>
        <v>130</v>
      </c>
      <c r="E46" s="129" t="str">
        <f>'Basic Rates'!E78</f>
        <v>BENI</v>
      </c>
      <c r="F46" s="165" t="s">
        <v>605</v>
      </c>
      <c r="G46" s="131">
        <f>VLOOKUP($E46,Distances!$B$5:$C$19,2,FALSE)+$D$4</f>
        <v>3</v>
      </c>
      <c r="H46" s="132">
        <f t="shared" si="16"/>
        <v>23</v>
      </c>
      <c r="I46" s="132">
        <f t="shared" si="17"/>
        <v>40.81</v>
      </c>
      <c r="J46" s="132">
        <f t="shared" si="20"/>
        <v>11.428666666666668</v>
      </c>
      <c r="K46" s="130" t="s">
        <v>121</v>
      </c>
      <c r="L46" s="130">
        <f t="shared" si="22"/>
        <v>1E-3</v>
      </c>
      <c r="M46" s="136">
        <f t="shared" si="21"/>
        <v>0</v>
      </c>
      <c r="N46" s="132">
        <f t="shared" si="11"/>
        <v>1100</v>
      </c>
      <c r="O46" s="136">
        <f>L46*1</f>
        <v>1E-3</v>
      </c>
      <c r="P46" s="132">
        <f t="shared" si="12"/>
        <v>850</v>
      </c>
      <c r="Q46" s="136">
        <f t="shared" si="23"/>
        <v>1.7143000000000002E-2</v>
      </c>
      <c r="R46" s="132">
        <f>'Basic Rates'!$D$92</f>
        <v>170.5</v>
      </c>
      <c r="S46" s="132">
        <f t="shared" si="24"/>
        <v>1.46144E-3</v>
      </c>
      <c r="T46" s="132">
        <f t="shared" si="15"/>
        <v>486.72</v>
      </c>
      <c r="U46" s="133">
        <f t="shared" si="25"/>
        <v>4.4800000000000004</v>
      </c>
      <c r="V46" s="169">
        <f t="shared" si="26"/>
        <v>134.47999999999999</v>
      </c>
    </row>
    <row r="47" spans="1:22" s="137" customFormat="1">
      <c r="A47" s="128">
        <f>VLOOKUP(B47,'Basic Rates'!$B$50:$G$133,6,FALSE)</f>
        <v>28</v>
      </c>
      <c r="B47" s="134" t="str">
        <f>'Basic Rates'!B79</f>
        <v>Barbed wire (12 Gauge)</v>
      </c>
      <c r="C47" s="135" t="str">
        <f>'Basic Rates'!C79</f>
        <v>kg</v>
      </c>
      <c r="D47" s="132">
        <f>VLOOKUP(B47,'Basic Rates'!$B$50:$G$133,3,FALSE)</f>
        <v>105</v>
      </c>
      <c r="E47" s="129" t="str">
        <f>'Basic Rates'!E79</f>
        <v>BENI</v>
      </c>
      <c r="F47" s="165" t="s">
        <v>605</v>
      </c>
      <c r="G47" s="131">
        <f>VLOOKUP($E47,Distances!$B$5:$C$19,2,FALSE)+$D$4</f>
        <v>3</v>
      </c>
      <c r="H47" s="132">
        <f t="shared" si="16"/>
        <v>23</v>
      </c>
      <c r="I47" s="132">
        <f t="shared" si="17"/>
        <v>40.81</v>
      </c>
      <c r="J47" s="132">
        <f>2*(G47/$D$9+H47/$D$10+I47/$D$11)</f>
        <v>11.428666666666668</v>
      </c>
      <c r="K47" s="130" t="s">
        <v>110</v>
      </c>
      <c r="L47" s="130">
        <f t="shared" si="22"/>
        <v>1E-3</v>
      </c>
      <c r="M47" s="132">
        <f t="shared" si="21"/>
        <v>0</v>
      </c>
      <c r="N47" s="132">
        <f t="shared" si="11"/>
        <v>1100</v>
      </c>
      <c r="O47" s="136">
        <f>0.6*$L47</f>
        <v>5.9999999999999995E-4</v>
      </c>
      <c r="P47" s="132">
        <f t="shared" si="12"/>
        <v>850</v>
      </c>
      <c r="Q47" s="132">
        <f t="shared" si="23"/>
        <v>1.7143000000000002E-2</v>
      </c>
      <c r="R47" s="132">
        <f>'Basic Rates'!$D$92</f>
        <v>170.5</v>
      </c>
      <c r="S47" s="132">
        <f t="shared" si="24"/>
        <v>1.46144E-3</v>
      </c>
      <c r="T47" s="132">
        <f t="shared" si="15"/>
        <v>486.72</v>
      </c>
      <c r="U47" s="133">
        <f t="shared" si="25"/>
        <v>4.1399999999999997</v>
      </c>
      <c r="V47" s="169">
        <f t="shared" si="26"/>
        <v>109.14</v>
      </c>
    </row>
    <row r="48" spans="1:22" s="137" customFormat="1">
      <c r="A48" s="128">
        <f>VLOOKUP(B48,'Basic Rates'!$B$50:$G$133,6,FALSE)</f>
        <v>29</v>
      </c>
      <c r="B48" s="134" t="str">
        <f>'Basic Rates'!B80</f>
        <v>30mm GI Nipple</v>
      </c>
      <c r="C48" s="135" t="str">
        <f>'Basic Rates'!C80</f>
        <v>Nos.</v>
      </c>
      <c r="D48" s="132">
        <f>VLOOKUP(B48,'Basic Rates'!$B$50:$G$133,3,FALSE)</f>
        <v>400</v>
      </c>
      <c r="E48" s="129" t="str">
        <f>'Basic Rates'!E80</f>
        <v>BENI</v>
      </c>
      <c r="F48" s="165" t="s">
        <v>605</v>
      </c>
      <c r="G48" s="131">
        <f>VLOOKUP($E48,Distances!$B$5:$C$19,2,FALSE)+$D$4</f>
        <v>3</v>
      </c>
      <c r="H48" s="132">
        <f t="shared" si="16"/>
        <v>23</v>
      </c>
      <c r="I48" s="132">
        <f t="shared" si="17"/>
        <v>40.81</v>
      </c>
      <c r="J48" s="132">
        <f t="shared" si="20"/>
        <v>11.428666666666668</v>
      </c>
      <c r="K48" s="130" t="s">
        <v>121</v>
      </c>
      <c r="L48" s="130">
        <f>27.8/(1000*100)</f>
        <v>2.7799999999999998E-4</v>
      </c>
      <c r="M48" s="132">
        <f t="shared" si="21"/>
        <v>0</v>
      </c>
      <c r="N48" s="132">
        <f t="shared" si="11"/>
        <v>1100</v>
      </c>
      <c r="O48" s="136">
        <f>1*$L48</f>
        <v>2.7799999999999998E-4</v>
      </c>
      <c r="P48" s="132">
        <f t="shared" si="12"/>
        <v>850</v>
      </c>
      <c r="Q48" s="132">
        <f t="shared" si="23"/>
        <v>4.7657539999999997E-3</v>
      </c>
      <c r="R48" s="132">
        <f>'Basic Rates'!$D$92</f>
        <v>170.5</v>
      </c>
      <c r="S48" s="132">
        <f t="shared" si="24"/>
        <v>4.0628031999999999E-4</v>
      </c>
      <c r="T48" s="132">
        <f t="shared" si="15"/>
        <v>486.72</v>
      </c>
      <c r="U48" s="133">
        <f t="shared" si="25"/>
        <v>1.25</v>
      </c>
      <c r="V48" s="169">
        <f t="shared" si="26"/>
        <v>401.25</v>
      </c>
    </row>
    <row r="49" spans="1:22" s="137" customFormat="1">
      <c r="A49" s="128">
        <f>VLOOKUP(B49,'Basic Rates'!$B$50:$G$133,6,FALSE)</f>
        <v>30</v>
      </c>
      <c r="B49" s="134" t="str">
        <f>'Basic Rates'!B81</f>
        <v>GI pipe 50mm diameter</v>
      </c>
      <c r="C49" s="135" t="str">
        <f>'Basic Rates'!C81</f>
        <v>rm</v>
      </c>
      <c r="D49" s="132">
        <f>VLOOKUP(B49,'Basic Rates'!$B$50:$G$133,3,FALSE)</f>
        <v>970</v>
      </c>
      <c r="E49" s="129" t="str">
        <f>'Basic Rates'!E81</f>
        <v>BENI</v>
      </c>
      <c r="F49" s="165" t="s">
        <v>605</v>
      </c>
      <c r="G49" s="131">
        <f>VLOOKUP($E49,Distances!$B$5:$C$19,2,FALSE)+$D$4</f>
        <v>3</v>
      </c>
      <c r="H49" s="132">
        <f t="shared" si="16"/>
        <v>23</v>
      </c>
      <c r="I49" s="132">
        <f t="shared" si="17"/>
        <v>40.81</v>
      </c>
      <c r="J49" s="132">
        <f t="shared" si="20"/>
        <v>11.428666666666668</v>
      </c>
      <c r="K49" s="130" t="s">
        <v>121</v>
      </c>
      <c r="L49" s="130">
        <f>0.857/1000</f>
        <v>8.5700000000000001E-4</v>
      </c>
      <c r="M49" s="132">
        <f t="shared" si="21"/>
        <v>0</v>
      </c>
      <c r="N49" s="132">
        <f t="shared" si="11"/>
        <v>1100</v>
      </c>
      <c r="O49" s="136">
        <f>L49*1</f>
        <v>8.5700000000000001E-4</v>
      </c>
      <c r="P49" s="132">
        <f t="shared" si="12"/>
        <v>850</v>
      </c>
      <c r="Q49" s="136">
        <f t="shared" si="23"/>
        <v>1.4691551000000001E-2</v>
      </c>
      <c r="R49" s="132">
        <f>'Basic Rates'!$D$92</f>
        <v>170.5</v>
      </c>
      <c r="S49" s="132">
        <f t="shared" si="24"/>
        <v>1.2524540800000002E-3</v>
      </c>
      <c r="T49" s="132">
        <f t="shared" si="15"/>
        <v>486.72</v>
      </c>
      <c r="U49" s="133">
        <f t="shared" si="25"/>
        <v>3.84</v>
      </c>
      <c r="V49" s="169">
        <f t="shared" si="26"/>
        <v>973.84</v>
      </c>
    </row>
    <row r="50" spans="1:22" s="137" customFormat="1">
      <c r="A50" s="128">
        <f>VLOOKUP(B50,'Basic Rates'!$B$50:$G$133,6,FALSE)</f>
        <v>31</v>
      </c>
      <c r="B50" s="134" t="str">
        <f>'Basic Rates'!B82</f>
        <v>HDPE pipe of 50 mm</v>
      </c>
      <c r="C50" s="135" t="str">
        <f>'Basic Rates'!C82</f>
        <v>rm</v>
      </c>
      <c r="D50" s="132">
        <f>VLOOKUP(B50,'Basic Rates'!$B$50:$G$133,3,FALSE)</f>
        <v>275</v>
      </c>
      <c r="E50" s="129" t="str">
        <f>'Basic Rates'!E82</f>
        <v>BENI</v>
      </c>
      <c r="F50" s="165" t="s">
        <v>605</v>
      </c>
      <c r="G50" s="131">
        <f>VLOOKUP($E50,Distances!$B$5:$C$19,2,FALSE)+$D$4</f>
        <v>3</v>
      </c>
      <c r="H50" s="132">
        <f t="shared" si="16"/>
        <v>23</v>
      </c>
      <c r="I50" s="132">
        <f t="shared" si="17"/>
        <v>40.81</v>
      </c>
      <c r="J50" s="132">
        <f t="shared" si="20"/>
        <v>11.428666666666668</v>
      </c>
      <c r="K50" s="130" t="s">
        <v>121</v>
      </c>
      <c r="L50" s="130">
        <f>0.857/1000</f>
        <v>8.5700000000000001E-4</v>
      </c>
      <c r="M50" s="136">
        <f t="shared" si="21"/>
        <v>0</v>
      </c>
      <c r="N50" s="132">
        <f t="shared" si="11"/>
        <v>1100</v>
      </c>
      <c r="O50" s="136">
        <f>L50*1</f>
        <v>8.5700000000000001E-4</v>
      </c>
      <c r="P50" s="132">
        <f t="shared" si="12"/>
        <v>850</v>
      </c>
      <c r="Q50" s="136">
        <f t="shared" si="23"/>
        <v>1.4691551000000001E-2</v>
      </c>
      <c r="R50" s="132">
        <f>'Basic Rates'!$D$92</f>
        <v>170.5</v>
      </c>
      <c r="S50" s="132">
        <f t="shared" si="24"/>
        <v>1.2524540800000002E-3</v>
      </c>
      <c r="T50" s="132">
        <f t="shared" si="15"/>
        <v>486.72</v>
      </c>
      <c r="U50" s="133">
        <f t="shared" si="25"/>
        <v>3.84</v>
      </c>
      <c r="V50" s="169">
        <f t="shared" si="26"/>
        <v>278.83999999999997</v>
      </c>
    </row>
    <row r="51" spans="1:22" s="137" customFormat="1">
      <c r="A51" s="128">
        <f>VLOOKUP(B51,'Basic Rates'!$B$50:$G$133,6,FALSE)</f>
        <v>32</v>
      </c>
      <c r="B51" s="134" t="str">
        <f>'Basic Rates'!B83</f>
        <v>Geotextile</v>
      </c>
      <c r="C51" s="135" t="str">
        <f>'Basic Rates'!C83</f>
        <v>sqm</v>
      </c>
      <c r="D51" s="132">
        <f>VLOOKUP(B51,'Basic Rates'!$B$50:$G$133,3,FALSE)</f>
        <v>155</v>
      </c>
      <c r="E51" s="129" t="str">
        <f>'Basic Rates'!E83</f>
        <v>KASKI</v>
      </c>
      <c r="F51" s="165" t="s">
        <v>605</v>
      </c>
      <c r="G51" s="131">
        <f>VLOOKUP($E51,Distances!$B$5:$C$19,2,FALSE)+$D$4</f>
        <v>83</v>
      </c>
      <c r="H51" s="132">
        <f t="shared" si="16"/>
        <v>23</v>
      </c>
      <c r="I51" s="132">
        <f t="shared" si="17"/>
        <v>40.81</v>
      </c>
      <c r="J51" s="132">
        <f t="shared" si="20"/>
        <v>16.762</v>
      </c>
      <c r="K51" s="130" t="s">
        <v>121</v>
      </c>
      <c r="L51" s="130">
        <f>0.288/1000</f>
        <v>2.8799999999999995E-4</v>
      </c>
      <c r="M51" s="136">
        <f t="shared" si="21"/>
        <v>0</v>
      </c>
      <c r="N51" s="132">
        <f t="shared" si="11"/>
        <v>1100</v>
      </c>
      <c r="O51" s="136">
        <f>1*L51</f>
        <v>2.8799999999999995E-4</v>
      </c>
      <c r="P51" s="132">
        <f t="shared" si="12"/>
        <v>850</v>
      </c>
      <c r="Q51" s="136">
        <f t="shared" si="23"/>
        <v>7.2411839999999986E-3</v>
      </c>
      <c r="R51" s="132">
        <f>'Basic Rates'!$D$92</f>
        <v>170.5</v>
      </c>
      <c r="S51" s="132">
        <f t="shared" si="24"/>
        <v>6.0521471999999991E-4</v>
      </c>
      <c r="T51" s="132">
        <f t="shared" si="15"/>
        <v>486.72</v>
      </c>
      <c r="U51" s="133">
        <f t="shared" si="25"/>
        <v>1.77</v>
      </c>
      <c r="V51" s="169">
        <f t="shared" si="26"/>
        <v>156.77000000000001</v>
      </c>
    </row>
    <row r="52" spans="1:22" s="137" customFormat="1">
      <c r="A52" s="128">
        <f>VLOOKUP(B52,'Basic Rates'!$B$50:$G$133,6,FALSE)</f>
        <v>33</v>
      </c>
      <c r="B52" s="134" t="str">
        <f>'Basic Rates'!B84</f>
        <v>Wiremesh</v>
      </c>
      <c r="C52" s="135" t="str">
        <f>'Basic Rates'!C84</f>
        <v>sqm</v>
      </c>
      <c r="D52" s="132">
        <f>VLOOKUP(B52,'Basic Rates'!$B$50:$G$133,3,FALSE)</f>
        <v>113.57</v>
      </c>
      <c r="E52" s="129" t="str">
        <f>'Basic Rates'!E84</f>
        <v>BENI</v>
      </c>
      <c r="F52" s="165" t="s">
        <v>605</v>
      </c>
      <c r="G52" s="131">
        <f>VLOOKUP($E52,Distances!$B$5:$C$19,2,FALSE)+$D$4</f>
        <v>3</v>
      </c>
      <c r="H52" s="132">
        <f t="shared" si="16"/>
        <v>23</v>
      </c>
      <c r="I52" s="132">
        <f t="shared" si="17"/>
        <v>40.81</v>
      </c>
      <c r="J52" s="132">
        <f t="shared" si="20"/>
        <v>11.428666666666668</v>
      </c>
      <c r="K52" s="130" t="s">
        <v>110</v>
      </c>
      <c r="L52" s="130">
        <f>0.5/1000</f>
        <v>5.0000000000000001E-4</v>
      </c>
      <c r="M52" s="132">
        <f t="shared" si="21"/>
        <v>0</v>
      </c>
      <c r="N52" s="132">
        <f t="shared" si="11"/>
        <v>1100</v>
      </c>
      <c r="O52" s="136">
        <f>0.6*$L52</f>
        <v>2.9999999999999997E-4</v>
      </c>
      <c r="P52" s="132">
        <f t="shared" si="12"/>
        <v>850</v>
      </c>
      <c r="Q52" s="132">
        <f>1.5*J52*$L52</f>
        <v>8.571500000000001E-3</v>
      </c>
      <c r="R52" s="132">
        <f>'Basic Rates'!$D$92</f>
        <v>170.5</v>
      </c>
      <c r="S52" s="132">
        <f t="shared" si="24"/>
        <v>7.3072000000000002E-4</v>
      </c>
      <c r="T52" s="132">
        <f t="shared" si="15"/>
        <v>486.72</v>
      </c>
      <c r="U52" s="133">
        <f t="shared" ref="U52:U58" si="27">ROUND(IF(OR(D52=0,J52=0),0,M52*N52+O52*P52+Q52*R52+S52*T52),2)</f>
        <v>2.0699999999999998</v>
      </c>
      <c r="V52" s="169">
        <f t="shared" si="26"/>
        <v>115.64</v>
      </c>
    </row>
    <row r="53" spans="1:22" s="137" customFormat="1">
      <c r="A53" s="135">
        <f>VLOOKUP(B53,'Basic Rates'!$B$50:$G$133,6,FALSE)</f>
        <v>34</v>
      </c>
      <c r="B53" s="134" t="str">
        <f>'Basic Rates'!B85</f>
        <v>Water stop 6"</v>
      </c>
      <c r="C53" s="135" t="str">
        <f>'Basic Rates'!C85</f>
        <v>m</v>
      </c>
      <c r="D53" s="136">
        <f>VLOOKUP(B53,'Basic Rates'!$B$50:$G$133,3,FALSE)</f>
        <v>353</v>
      </c>
      <c r="E53" s="134" t="str">
        <f>'Basic Rates'!E85</f>
        <v>KASKI</v>
      </c>
      <c r="F53" s="135" t="s">
        <v>605</v>
      </c>
      <c r="G53" s="136">
        <f>VLOOKUP($E53,Distances!$B$5:$C$19,2,FALSE)+$D$4</f>
        <v>83</v>
      </c>
      <c r="H53" s="136">
        <f t="shared" si="16"/>
        <v>23</v>
      </c>
      <c r="I53" s="136">
        <f t="shared" si="17"/>
        <v>40.81</v>
      </c>
      <c r="J53" s="136">
        <f t="shared" si="20"/>
        <v>16.762</v>
      </c>
      <c r="K53" s="135" t="s">
        <v>116</v>
      </c>
      <c r="L53" s="135">
        <f>1.3/1000</f>
        <v>1.2999999999999999E-3</v>
      </c>
      <c r="M53" s="136">
        <f t="shared" si="21"/>
        <v>0</v>
      </c>
      <c r="N53" s="136">
        <f t="shared" si="11"/>
        <v>1100</v>
      </c>
      <c r="O53" s="136">
        <f>0.4*$L53</f>
        <v>5.1999999999999995E-4</v>
      </c>
      <c r="P53" s="136">
        <f t="shared" si="12"/>
        <v>850</v>
      </c>
      <c r="Q53" s="136">
        <f t="shared" si="23"/>
        <v>3.2685899999999997E-2</v>
      </c>
      <c r="R53" s="136">
        <f>'Basic Rates'!$D$92</f>
        <v>170.5</v>
      </c>
      <c r="S53" s="136">
        <f t="shared" si="24"/>
        <v>2.7318720000000002E-3</v>
      </c>
      <c r="T53" s="136">
        <f t="shared" si="15"/>
        <v>486.72</v>
      </c>
      <c r="U53" s="136">
        <f t="shared" si="27"/>
        <v>7.34</v>
      </c>
      <c r="V53" s="168">
        <f t="shared" ref="V53:V58" si="28">ROUND(D53+U53,2)</f>
        <v>360.34</v>
      </c>
    </row>
    <row r="54" spans="1:22" s="137" customFormat="1">
      <c r="A54" s="135">
        <v>31</v>
      </c>
      <c r="B54" s="134" t="str">
        <f>'Basic Rates'!B86</f>
        <v>MS sheet</v>
      </c>
      <c r="C54" s="135" t="str">
        <f>'Basic Rates'!C86</f>
        <v>kg</v>
      </c>
      <c r="D54" s="136">
        <f>VLOOKUP(B54,'Basic Rates'!$B$50:$G$133,3,FALSE)</f>
        <v>89</v>
      </c>
      <c r="E54" s="134" t="str">
        <f>'Basic Rates'!E86</f>
        <v>KAPILVASTU</v>
      </c>
      <c r="F54" s="135" t="s">
        <v>605</v>
      </c>
      <c r="G54" s="136">
        <f>VLOOKUP($E54,Distances!$B$5:$C$19,2,FALSE)+$D$4</f>
        <v>141.4</v>
      </c>
      <c r="H54" s="136">
        <f t="shared" si="16"/>
        <v>23</v>
      </c>
      <c r="I54" s="136">
        <f t="shared" si="17"/>
        <v>40.81</v>
      </c>
      <c r="J54" s="136">
        <f t="shared" si="20"/>
        <v>20.655333333333335</v>
      </c>
      <c r="K54" s="135" t="s">
        <v>110</v>
      </c>
      <c r="L54" s="135">
        <f>1/1000</f>
        <v>1E-3</v>
      </c>
      <c r="M54" s="136">
        <f t="shared" si="21"/>
        <v>0</v>
      </c>
      <c r="N54" s="136">
        <f t="shared" si="11"/>
        <v>1100</v>
      </c>
      <c r="O54" s="136">
        <f>L54*0.6</f>
        <v>5.9999999999999995E-4</v>
      </c>
      <c r="P54" s="136">
        <f t="shared" si="12"/>
        <v>850</v>
      </c>
      <c r="Q54" s="136">
        <f>1.5*J54*$L54</f>
        <v>3.0983000000000004E-2</v>
      </c>
      <c r="R54" s="136">
        <f>'Basic Rates'!$D$92</f>
        <v>170.5</v>
      </c>
      <c r="S54" s="136">
        <f t="shared" si="24"/>
        <v>2.5686400000000005E-3</v>
      </c>
      <c r="T54" s="136">
        <f t="shared" si="15"/>
        <v>486.72</v>
      </c>
      <c r="U54" s="136">
        <f t="shared" si="27"/>
        <v>7.04</v>
      </c>
      <c r="V54" s="168">
        <f t="shared" si="28"/>
        <v>96.04</v>
      </c>
    </row>
    <row r="55" spans="1:22" s="137" customFormat="1">
      <c r="A55" s="135">
        <v>32</v>
      </c>
      <c r="B55" s="134" t="str">
        <f>'Basic Rates'!B88</f>
        <v>MS Pipe</v>
      </c>
      <c r="C55" s="135" t="str">
        <f>'Basic Rates'!C88</f>
        <v>rm</v>
      </c>
      <c r="D55" s="136">
        <f>VLOOKUP(B55,'Basic Rates'!$B$50:$G$133,3,FALSE)</f>
        <v>355.67999999999995</v>
      </c>
      <c r="E55" s="134" t="str">
        <f>'Basic Rates'!E88</f>
        <v>KAPILVASTU</v>
      </c>
      <c r="F55" s="135" t="s">
        <v>605</v>
      </c>
      <c r="G55" s="136">
        <f>VLOOKUP($E55,Distances!$B$5:$C$19,2,FALSE)+$D$4</f>
        <v>141.4</v>
      </c>
      <c r="H55" s="136">
        <f t="shared" si="16"/>
        <v>23</v>
      </c>
      <c r="I55" s="136">
        <f t="shared" si="17"/>
        <v>40.81</v>
      </c>
      <c r="J55" s="136">
        <f t="shared" si="20"/>
        <v>20.655333333333335</v>
      </c>
      <c r="K55" s="135" t="s">
        <v>110</v>
      </c>
      <c r="L55" s="135">
        <f>3.61/1000</f>
        <v>3.6099999999999999E-3</v>
      </c>
      <c r="M55" s="136">
        <f t="shared" si="21"/>
        <v>0</v>
      </c>
      <c r="N55" s="136">
        <f t="shared" si="11"/>
        <v>1100</v>
      </c>
      <c r="O55" s="136">
        <f>L55*0.6</f>
        <v>2.166E-3</v>
      </c>
      <c r="P55" s="136">
        <f t="shared" si="12"/>
        <v>850</v>
      </c>
      <c r="Q55" s="136">
        <f>1.5*J55*$L55</f>
        <v>0.11184863000000002</v>
      </c>
      <c r="R55" s="136">
        <f>'Basic Rates'!$D$92</f>
        <v>170.5</v>
      </c>
      <c r="S55" s="136">
        <f t="shared" si="24"/>
        <v>9.2727904000000014E-3</v>
      </c>
      <c r="T55" s="136">
        <f t="shared" si="15"/>
        <v>486.72</v>
      </c>
      <c r="U55" s="136">
        <f t="shared" si="27"/>
        <v>25.42</v>
      </c>
      <c r="V55" s="168">
        <f t="shared" si="28"/>
        <v>381.1</v>
      </c>
    </row>
    <row r="56" spans="1:22" s="137" customFormat="1">
      <c r="A56" s="135">
        <v>33</v>
      </c>
      <c r="B56" s="134" t="str">
        <f>'Basic Rates'!B89</f>
        <v>Clamps</v>
      </c>
      <c r="C56" s="135" t="str">
        <f>'Basic Rates'!C89</f>
        <v>Nos.</v>
      </c>
      <c r="D56" s="136">
        <f>VLOOKUP(B56,'Basic Rates'!$B$50:$G$133,3,FALSE)</f>
        <v>3244.8</v>
      </c>
      <c r="E56" s="134" t="str">
        <f>'Basic Rates'!E89</f>
        <v>BENI</v>
      </c>
      <c r="F56" s="135" t="s">
        <v>605</v>
      </c>
      <c r="G56" s="136">
        <f>VLOOKUP($E56,Distances!$B$5:$C$19,2,FALSE)+$D$4</f>
        <v>3</v>
      </c>
      <c r="H56" s="136">
        <f t="shared" si="16"/>
        <v>23</v>
      </c>
      <c r="I56" s="136">
        <f t="shared" si="17"/>
        <v>40.81</v>
      </c>
      <c r="J56" s="136">
        <f t="shared" si="20"/>
        <v>11.428666666666668</v>
      </c>
      <c r="K56" s="135" t="s">
        <v>110</v>
      </c>
      <c r="L56" s="135">
        <f>1/1000</f>
        <v>1E-3</v>
      </c>
      <c r="M56" s="136">
        <f t="shared" si="21"/>
        <v>0</v>
      </c>
      <c r="N56" s="136">
        <f t="shared" si="11"/>
        <v>1100</v>
      </c>
      <c r="O56" s="136">
        <f>L56*0.6</f>
        <v>5.9999999999999995E-4</v>
      </c>
      <c r="P56" s="136">
        <f t="shared" si="12"/>
        <v>850</v>
      </c>
      <c r="Q56" s="136">
        <f>1.5*J56*$L56</f>
        <v>1.7143000000000002E-2</v>
      </c>
      <c r="R56" s="136">
        <f>'Basic Rates'!$D$92</f>
        <v>170.5</v>
      </c>
      <c r="S56" s="136">
        <f t="shared" si="24"/>
        <v>1.46144E-3</v>
      </c>
      <c r="T56" s="136">
        <f t="shared" si="15"/>
        <v>486.72</v>
      </c>
      <c r="U56" s="136">
        <f t="shared" si="27"/>
        <v>4.1399999999999997</v>
      </c>
      <c r="V56" s="168">
        <f t="shared" si="28"/>
        <v>3248.94</v>
      </c>
    </row>
    <row r="57" spans="1:22" s="137" customFormat="1">
      <c r="A57" s="135">
        <v>34</v>
      </c>
      <c r="B57" s="134" t="str">
        <f>'Basic Rates'!B87</f>
        <v>Nut Bolts</v>
      </c>
      <c r="C57" s="135" t="str">
        <f>'Basic Rates'!C87</f>
        <v>kg</v>
      </c>
      <c r="D57" s="136">
        <f>VLOOKUP(B57,'Basic Rates'!$B$50:$G$133,3,FALSE)</f>
        <v>270</v>
      </c>
      <c r="E57" s="134" t="str">
        <f>'Basic Rates'!E87</f>
        <v>BENI</v>
      </c>
      <c r="F57" s="135" t="s">
        <v>605</v>
      </c>
      <c r="G57" s="136">
        <f>VLOOKUP($E57,Distances!$B$5:$C$19,2,FALSE)+$D$4</f>
        <v>3</v>
      </c>
      <c r="H57" s="136">
        <f t="shared" si="16"/>
        <v>23</v>
      </c>
      <c r="I57" s="136">
        <f t="shared" si="17"/>
        <v>40.81</v>
      </c>
      <c r="J57" s="136">
        <f t="shared" si="20"/>
        <v>11.428666666666668</v>
      </c>
      <c r="K57" s="135" t="s">
        <v>121</v>
      </c>
      <c r="L57" s="135">
        <f>1/1000</f>
        <v>1E-3</v>
      </c>
      <c r="M57" s="136">
        <f t="shared" si="21"/>
        <v>0</v>
      </c>
      <c r="N57" s="136">
        <f t="shared" si="11"/>
        <v>1100</v>
      </c>
      <c r="O57" s="136">
        <f>L57*1</f>
        <v>1E-3</v>
      </c>
      <c r="P57" s="136">
        <f t="shared" si="12"/>
        <v>850</v>
      </c>
      <c r="Q57" s="136">
        <f>1.5*J57*$L57</f>
        <v>1.7143000000000002E-2</v>
      </c>
      <c r="R57" s="136">
        <f>'Basic Rates'!$D$92</f>
        <v>170.5</v>
      </c>
      <c r="S57" s="136">
        <f>0.12*(J57+0.75)*$L57</f>
        <v>1.46144E-3</v>
      </c>
      <c r="T57" s="136">
        <f t="shared" si="15"/>
        <v>486.72</v>
      </c>
      <c r="U57" s="136">
        <f t="shared" si="27"/>
        <v>4.4800000000000004</v>
      </c>
      <c r="V57" s="168">
        <f t="shared" si="28"/>
        <v>274.48</v>
      </c>
    </row>
    <row r="58" spans="1:22" s="137" customFormat="1">
      <c r="A58" s="135">
        <v>35</v>
      </c>
      <c r="B58" s="134" t="str">
        <f>'Basic Rates'!B90</f>
        <v>Bentonite</v>
      </c>
      <c r="C58" s="135" t="str">
        <f>'Basic Rates'!C90</f>
        <v>kg</v>
      </c>
      <c r="D58" s="136">
        <f>'Basic Rates'!D90</f>
        <v>30</v>
      </c>
      <c r="E58" s="134" t="str">
        <f>'Basic Rates'!E90</f>
        <v>BENI</v>
      </c>
      <c r="F58" s="135" t="s">
        <v>605</v>
      </c>
      <c r="G58" s="136">
        <f>VLOOKUP($E58,Distances!$B$5:$C$19,2,FALSE)+$D$4</f>
        <v>3</v>
      </c>
      <c r="H58" s="136">
        <f t="shared" si="16"/>
        <v>23</v>
      </c>
      <c r="I58" s="136">
        <f t="shared" si="17"/>
        <v>40.81</v>
      </c>
      <c r="J58" s="136">
        <f t="shared" si="20"/>
        <v>11.428666666666668</v>
      </c>
      <c r="K58" s="135" t="s">
        <v>116</v>
      </c>
      <c r="L58" s="135">
        <v>1E-3</v>
      </c>
      <c r="M58" s="136">
        <f>0*$L58</f>
        <v>0</v>
      </c>
      <c r="N58" s="136">
        <f t="shared" si="11"/>
        <v>1100</v>
      </c>
      <c r="O58" s="136">
        <f>0.4*$L58</f>
        <v>4.0000000000000002E-4</v>
      </c>
      <c r="P58" s="136">
        <f t="shared" si="12"/>
        <v>850</v>
      </c>
      <c r="Q58" s="136">
        <f>1.5*J58*$L58</f>
        <v>1.7143000000000002E-2</v>
      </c>
      <c r="R58" s="136">
        <f>'Basic Rates'!$D$92</f>
        <v>170.5</v>
      </c>
      <c r="S58" s="136">
        <f>0.12*(J58+0.75)*$L58</f>
        <v>1.46144E-3</v>
      </c>
      <c r="T58" s="136">
        <f t="shared" si="15"/>
        <v>486.72</v>
      </c>
      <c r="U58" s="136">
        <f t="shared" si="27"/>
        <v>3.97</v>
      </c>
      <c r="V58" s="168">
        <f t="shared" si="28"/>
        <v>33.97</v>
      </c>
    </row>
    <row r="59" spans="1:22" s="137" customFormat="1" ht="15.75" thickBot="1">
      <c r="A59" s="352" t="str">
        <f>'Basic Rates'!A91</f>
        <v>FUEL</v>
      </c>
      <c r="B59" s="353"/>
      <c r="C59" s="354"/>
      <c r="D59" s="355"/>
      <c r="E59" s="353"/>
      <c r="F59" s="353"/>
      <c r="G59" s="355"/>
      <c r="H59" s="355"/>
      <c r="I59" s="355"/>
      <c r="J59" s="355"/>
      <c r="K59" s="354"/>
      <c r="L59" s="354"/>
      <c r="M59" s="355"/>
      <c r="N59" s="355"/>
      <c r="O59" s="355"/>
      <c r="P59" s="355"/>
      <c r="Q59" s="355"/>
      <c r="R59" s="355"/>
      <c r="S59" s="355"/>
      <c r="T59" s="355"/>
      <c r="U59" s="355"/>
      <c r="V59" s="356"/>
    </row>
    <row r="60" spans="1:22" s="137" customFormat="1">
      <c r="A60" s="128">
        <f>VLOOKUP(B60,'Basic Rates'!$B$50:$G$133,6,FALSE)</f>
        <v>40</v>
      </c>
      <c r="B60" s="134" t="str">
        <f>'Basic Rates'!B92</f>
        <v>Diesel</v>
      </c>
      <c r="C60" s="135" t="str">
        <f>'Basic Rates'!C92</f>
        <v>ltr</v>
      </c>
      <c r="D60" s="132">
        <f>VLOOKUP(B60,'Basic Rates'!$B$50:$G$133,3,FALSE)</f>
        <v>170.5</v>
      </c>
      <c r="E60" s="129" t="str">
        <f>'Basic Rates'!E92</f>
        <v>BENI</v>
      </c>
      <c r="F60" s="165" t="s">
        <v>605</v>
      </c>
      <c r="G60" s="131">
        <f>VLOOKUP($E60,Distances!$B$5:$C$19,2,FALSE)+$D$4</f>
        <v>3</v>
      </c>
      <c r="H60" s="132">
        <f>$D$5</f>
        <v>23</v>
      </c>
      <c r="I60" s="132">
        <f>$D$6</f>
        <v>40.81</v>
      </c>
      <c r="J60" s="132">
        <f>2*(G60/$D$9+H60/$D$10+I60/$D$11)</f>
        <v>11.428666666666668</v>
      </c>
      <c r="K60" s="130" t="s">
        <v>120</v>
      </c>
      <c r="L60" s="130">
        <f>1/1000</f>
        <v>1E-3</v>
      </c>
      <c r="M60" s="132">
        <f>0*$L60</f>
        <v>0</v>
      </c>
      <c r="N60" s="132">
        <f>sr</f>
        <v>1100</v>
      </c>
      <c r="O60" s="132">
        <f>1*$L60</f>
        <v>1E-3</v>
      </c>
      <c r="P60" s="132">
        <f>ur</f>
        <v>850</v>
      </c>
      <c r="Q60" s="132">
        <f>2.6*J60*$L60</f>
        <v>2.9714533333333338E-2</v>
      </c>
      <c r="R60" s="132">
        <f>'Basic Rates'!$D$92</f>
        <v>170.5</v>
      </c>
      <c r="S60" s="132">
        <f>0.2*(J60+0.75)*$L60</f>
        <v>2.4357333333333338E-3</v>
      </c>
      <c r="T60" s="132">
        <f>truck</f>
        <v>486.72</v>
      </c>
      <c r="U60" s="133">
        <f>ROUND(IF(OR(D60=0,J60=0),0,M60*N60+O60*P60+Q60*R60+S60*T60),2)</f>
        <v>7.1</v>
      </c>
      <c r="V60" s="169">
        <f>ROUND(D60+U60,2)</f>
        <v>177.6</v>
      </c>
    </row>
    <row r="61" spans="1:22" s="137" customFormat="1">
      <c r="A61" s="128">
        <f>VLOOKUP(B61,'Basic Rates'!$B$50:$G$133,6,FALSE)</f>
        <v>41</v>
      </c>
      <c r="B61" s="134" t="str">
        <f>'Basic Rates'!B93</f>
        <v>Kerosene</v>
      </c>
      <c r="C61" s="135" t="str">
        <f>'Basic Rates'!C93</f>
        <v>ltr</v>
      </c>
      <c r="D61" s="132">
        <f>VLOOKUP(B61,'Basic Rates'!$B$50:$G$133,3,FALSE)</f>
        <v>170.5</v>
      </c>
      <c r="E61" s="129" t="str">
        <f>'Basic Rates'!E93</f>
        <v>BENI</v>
      </c>
      <c r="F61" s="165" t="s">
        <v>605</v>
      </c>
      <c r="G61" s="131">
        <f>VLOOKUP($E61,Distances!$B$5:$C$19,2,FALSE)+$D$4</f>
        <v>3</v>
      </c>
      <c r="H61" s="132">
        <f>$D$5</f>
        <v>23</v>
      </c>
      <c r="I61" s="132">
        <f>$D$6</f>
        <v>40.81</v>
      </c>
      <c r="J61" s="132">
        <f>2*(G61/$D$9+H61/$D$10+I61/$D$11)</f>
        <v>11.428666666666668</v>
      </c>
      <c r="K61" s="130" t="s">
        <v>120</v>
      </c>
      <c r="L61" s="130">
        <f>1/1000</f>
        <v>1E-3</v>
      </c>
      <c r="M61" s="132">
        <f>0*$L61</f>
        <v>0</v>
      </c>
      <c r="N61" s="132">
        <f>sr</f>
        <v>1100</v>
      </c>
      <c r="O61" s="132">
        <f>1*$L61</f>
        <v>1E-3</v>
      </c>
      <c r="P61" s="132">
        <f>ur</f>
        <v>850</v>
      </c>
      <c r="Q61" s="132">
        <f>2.6*J61*$L61</f>
        <v>2.9714533333333338E-2</v>
      </c>
      <c r="R61" s="132">
        <f>'Basic Rates'!$D$92</f>
        <v>170.5</v>
      </c>
      <c r="S61" s="132">
        <f>0.2*(J61+0.75)*$L61</f>
        <v>2.4357333333333338E-3</v>
      </c>
      <c r="T61" s="132">
        <f>truck</f>
        <v>486.72</v>
      </c>
      <c r="U61" s="133">
        <f>ROUND(IF(OR(D61=0,J61=0),0,M61*N61+O61*P61+Q61*R61+S61*T61),2)</f>
        <v>7.1</v>
      </c>
      <c r="V61" s="169">
        <f>ROUND(D61+U61,2)</f>
        <v>177.6</v>
      </c>
    </row>
    <row r="62" spans="1:22" s="137" customFormat="1">
      <c r="A62" s="128">
        <f>VLOOKUP(B62,'Basic Rates'!$B$50:$G$133,6,FALSE)</f>
        <v>42</v>
      </c>
      <c r="B62" s="134" t="str">
        <f>'Basic Rates'!B94</f>
        <v>Petrol</v>
      </c>
      <c r="C62" s="135" t="str">
        <f>'Basic Rates'!C94</f>
        <v>ltr</v>
      </c>
      <c r="D62" s="132">
        <f>VLOOKUP(B62,'Basic Rates'!$B$50:$G$133,3,FALSE)</f>
        <v>181.5</v>
      </c>
      <c r="E62" s="129" t="str">
        <f>'Basic Rates'!E94</f>
        <v>BENI</v>
      </c>
      <c r="F62" s="165" t="s">
        <v>605</v>
      </c>
      <c r="G62" s="131">
        <f>VLOOKUP($E62,Distances!$B$5:$C$19,2,FALSE)+$D$4</f>
        <v>3</v>
      </c>
      <c r="H62" s="132">
        <f>$D$5</f>
        <v>23</v>
      </c>
      <c r="I62" s="132">
        <f>$D$6</f>
        <v>40.81</v>
      </c>
      <c r="J62" s="132">
        <f>2*(G62/$D$9+H62/$D$10+I62/$D$11)</f>
        <v>11.428666666666668</v>
      </c>
      <c r="K62" s="130" t="s">
        <v>120</v>
      </c>
      <c r="L62" s="130">
        <f>1/1000</f>
        <v>1E-3</v>
      </c>
      <c r="M62" s="132">
        <f>0*$L62</f>
        <v>0</v>
      </c>
      <c r="N62" s="132">
        <f>sr</f>
        <v>1100</v>
      </c>
      <c r="O62" s="132">
        <f>1*$L62</f>
        <v>1E-3</v>
      </c>
      <c r="P62" s="132">
        <f>ur</f>
        <v>850</v>
      </c>
      <c r="Q62" s="132">
        <f>2.6*J62*$L62</f>
        <v>2.9714533333333338E-2</v>
      </c>
      <c r="R62" s="132">
        <f>'Basic Rates'!$D$92</f>
        <v>170.5</v>
      </c>
      <c r="S62" s="132">
        <f>0.2*(J62+0.75)*$L62</f>
        <v>2.4357333333333338E-3</v>
      </c>
      <c r="T62" s="132">
        <f>truck</f>
        <v>486.72</v>
      </c>
      <c r="U62" s="133">
        <f>ROUND(IF(OR(D62=0,J62=0),0,M62*N62+O62*P62+Q62*R62+S62*T62),2)</f>
        <v>7.1</v>
      </c>
      <c r="V62" s="169">
        <f>ROUND(D62+U62,2)</f>
        <v>188.6</v>
      </c>
    </row>
    <row r="63" spans="1:22" s="137" customFormat="1">
      <c r="A63" s="128">
        <f>VLOOKUP(B63,'Basic Rates'!$B$50:$G$133,6,FALSE)</f>
        <v>43</v>
      </c>
      <c r="B63" s="134" t="str">
        <f>'Basic Rates'!B95</f>
        <v>Lubricant</v>
      </c>
      <c r="C63" s="135" t="str">
        <f>'Basic Rates'!C95</f>
        <v>ltr</v>
      </c>
      <c r="D63" s="132">
        <f>VLOOKUP(B63,'Basic Rates'!$B$50:$G$133,3,FALSE)</f>
        <v>450</v>
      </c>
      <c r="E63" s="129" t="str">
        <f>'Basic Rates'!E95</f>
        <v>KATHMANDU</v>
      </c>
      <c r="F63" s="165" t="s">
        <v>605</v>
      </c>
      <c r="G63" s="131">
        <f>VLOOKUP($E63,Distances!$B$5:$C$19,2,FALSE)+$D$4</f>
        <v>283</v>
      </c>
      <c r="H63" s="132">
        <f>$D$5</f>
        <v>23</v>
      </c>
      <c r="I63" s="132">
        <f>$D$6</f>
        <v>40.81</v>
      </c>
      <c r="J63" s="132">
        <f>2*(G63/$D$9+H63/$D$10+I63/$D$11)</f>
        <v>30.095333333333336</v>
      </c>
      <c r="K63" s="130" t="s">
        <v>116</v>
      </c>
      <c r="L63" s="130">
        <f>1/1000</f>
        <v>1E-3</v>
      </c>
      <c r="M63" s="132">
        <f>0*$L63</f>
        <v>0</v>
      </c>
      <c r="N63" s="132">
        <f>sr</f>
        <v>1100</v>
      </c>
      <c r="O63" s="136">
        <f>0.4*$L63</f>
        <v>4.0000000000000002E-4</v>
      </c>
      <c r="P63" s="132">
        <f>ur</f>
        <v>850</v>
      </c>
      <c r="Q63" s="132">
        <f>1.5*J63*$L63</f>
        <v>4.5143000000000003E-2</v>
      </c>
      <c r="R63" s="132">
        <f>'Basic Rates'!$D$92</f>
        <v>170.5</v>
      </c>
      <c r="S63" s="132">
        <f>0.12*(J63+0.75)*$L63</f>
        <v>3.7014400000000003E-3</v>
      </c>
      <c r="T63" s="132">
        <f>truck</f>
        <v>486.72</v>
      </c>
      <c r="U63" s="133">
        <f>ROUND(IF(OR(D63=0,J63=0),0,M63*N63+O63*P63+Q63*R63+S63*T63),2)</f>
        <v>9.84</v>
      </c>
      <c r="V63" s="169">
        <f>ROUND(D63+U63,2)</f>
        <v>459.84</v>
      </c>
    </row>
    <row r="64" spans="1:22" s="137" customFormat="1" ht="15.75" thickBot="1">
      <c r="A64" s="128">
        <f>VLOOKUP(B64,'Basic Rates'!$B$50:$G$133,6,FALSE)</f>
        <v>44</v>
      </c>
      <c r="B64" s="134" t="str">
        <f>'Basic Rates'!B96</f>
        <v>Hydraulic oil</v>
      </c>
      <c r="C64" s="135" t="str">
        <f>'Basic Rates'!C96</f>
        <v>ltr</v>
      </c>
      <c r="D64" s="132">
        <f>VLOOKUP(B64,'Basic Rates'!$B$50:$G$133,3,FALSE)</f>
        <v>330</v>
      </c>
      <c r="E64" s="129" t="str">
        <f>'Basic Rates'!E96</f>
        <v>KATHMANDU</v>
      </c>
      <c r="F64" s="165" t="s">
        <v>605</v>
      </c>
      <c r="G64" s="131">
        <f>VLOOKUP($E64,Distances!$B$5:$C$19,2,FALSE)+$D$4</f>
        <v>283</v>
      </c>
      <c r="H64" s="132">
        <f>$D$5</f>
        <v>23</v>
      </c>
      <c r="I64" s="132">
        <f>$D$6</f>
        <v>40.81</v>
      </c>
      <c r="J64" s="132">
        <f>2*(G64/$D$9+H64/$D$10+I64/$D$11)</f>
        <v>30.095333333333336</v>
      </c>
      <c r="K64" s="130" t="s">
        <v>116</v>
      </c>
      <c r="L64" s="130">
        <f>1/1000</f>
        <v>1E-3</v>
      </c>
      <c r="M64" s="132">
        <f>0*$L64</f>
        <v>0</v>
      </c>
      <c r="N64" s="132">
        <f>sr</f>
        <v>1100</v>
      </c>
      <c r="O64" s="136">
        <f>0.4*$L64</f>
        <v>4.0000000000000002E-4</v>
      </c>
      <c r="P64" s="132">
        <f>ur</f>
        <v>850</v>
      </c>
      <c r="Q64" s="132">
        <f>1.5*J64*$L64</f>
        <v>4.5143000000000003E-2</v>
      </c>
      <c r="R64" s="132">
        <f>'Basic Rates'!$D$92</f>
        <v>170.5</v>
      </c>
      <c r="S64" s="132">
        <f>0.12*(J64+0.75)*$L64</f>
        <v>3.7014400000000003E-3</v>
      </c>
      <c r="T64" s="132">
        <f>truck</f>
        <v>486.72</v>
      </c>
      <c r="U64" s="133">
        <f>ROUND(IF(OR(D64=0,J64=0),0,M64*N64+O64*P64+Q64*R64+S64*T64),2)</f>
        <v>9.84</v>
      </c>
      <c r="V64" s="169">
        <f>ROUND(D64+U64,2)</f>
        <v>339.84</v>
      </c>
    </row>
    <row r="65" spans="1:22" s="137" customFormat="1" ht="15.75" thickBot="1">
      <c r="A65" s="163" t="str">
        <f>'Basic Rates'!A97</f>
        <v>MISCELLANEOUS</v>
      </c>
      <c r="B65" s="159"/>
      <c r="C65" s="160"/>
      <c r="D65" s="161"/>
      <c r="E65" s="159"/>
      <c r="F65" s="159"/>
      <c r="G65" s="161"/>
      <c r="H65" s="161"/>
      <c r="I65" s="161"/>
      <c r="J65" s="161"/>
      <c r="K65" s="160"/>
      <c r="L65" s="160"/>
      <c r="M65" s="161"/>
      <c r="N65" s="161"/>
      <c r="O65" s="161"/>
      <c r="P65" s="161"/>
      <c r="Q65" s="161"/>
      <c r="R65" s="161"/>
      <c r="S65" s="161"/>
      <c r="T65" s="161"/>
      <c r="U65" s="161"/>
      <c r="V65" s="162"/>
    </row>
    <row r="66" spans="1:22" s="137" customFormat="1">
      <c r="A66" s="128">
        <f>VLOOKUP(B66,'Basic Rates'!$B$50:$G$133,6,FALSE)</f>
        <v>45</v>
      </c>
      <c r="B66" s="134" t="str">
        <f>'Basic Rates'!B98</f>
        <v>White lime (White Cement)</v>
      </c>
      <c r="C66" s="135" t="str">
        <f>'Basic Rates'!C98</f>
        <v>kg</v>
      </c>
      <c r="D66" s="132">
        <f>VLOOKUP(B66,'Basic Rates'!$B$50:$G$133,3,FALSE)</f>
        <v>41</v>
      </c>
      <c r="E66" s="129" t="str">
        <f>'Basic Rates'!E98</f>
        <v>BENI</v>
      </c>
      <c r="F66" s="165" t="s">
        <v>605</v>
      </c>
      <c r="G66" s="131">
        <f>VLOOKUP($E66,Distances!$B$5:$C$19,2,FALSE)+$D$4</f>
        <v>3</v>
      </c>
      <c r="H66" s="132">
        <f>$D$5</f>
        <v>23</v>
      </c>
      <c r="I66" s="132">
        <f>$D$6</f>
        <v>40.81</v>
      </c>
      <c r="J66" s="132">
        <f t="shared" ref="J66:J80" si="29">2*(G66/$D$9+H66/$D$10+I66/$D$11)</f>
        <v>11.428666666666668</v>
      </c>
      <c r="K66" s="130" t="s">
        <v>116</v>
      </c>
      <c r="L66" s="130">
        <f>1/1000</f>
        <v>1E-3</v>
      </c>
      <c r="M66" s="132">
        <f t="shared" ref="M66:M71" si="30">0*$L66</f>
        <v>0</v>
      </c>
      <c r="N66" s="132">
        <f t="shared" ref="N66:N80" si="31">sr</f>
        <v>1100</v>
      </c>
      <c r="O66" s="136">
        <f>0.4*$L66</f>
        <v>4.0000000000000002E-4</v>
      </c>
      <c r="P66" s="132">
        <f t="shared" ref="P66:P80" si="32">ur</f>
        <v>850</v>
      </c>
      <c r="Q66" s="132">
        <f t="shared" ref="Q66:Q73" si="33">1.5*J66*$L66</f>
        <v>1.7143000000000002E-2</v>
      </c>
      <c r="R66" s="132">
        <f>'Basic Rates'!$D$92</f>
        <v>170.5</v>
      </c>
      <c r="S66" s="132">
        <f t="shared" ref="S66:S73" si="34">0.12*(J66+0.75)*$L66</f>
        <v>1.46144E-3</v>
      </c>
      <c r="T66" s="132">
        <f t="shared" ref="T66:T80" si="35">truck</f>
        <v>486.72</v>
      </c>
      <c r="U66" s="133">
        <f t="shared" ref="U66:U73" si="36">ROUND(IF(OR(D66=0,J66=0),0,M66*N66+O66*P66+Q66*R66+S66*T66),2)</f>
        <v>3.97</v>
      </c>
      <c r="V66" s="169">
        <f t="shared" ref="V66:V73" si="37">ROUND(D66+U66,2)</f>
        <v>44.97</v>
      </c>
    </row>
    <row r="67" spans="1:22" s="137" customFormat="1">
      <c r="A67" s="128">
        <f>VLOOKUP(B67,'Basic Rates'!$B$50:$G$133,6,FALSE)</f>
        <v>46</v>
      </c>
      <c r="B67" s="134" t="str">
        <f>'Basic Rates'!B99</f>
        <v>Snow cem</v>
      </c>
      <c r="C67" s="135" t="str">
        <f>'Basic Rates'!C99</f>
        <v>Lt.</v>
      </c>
      <c r="D67" s="132">
        <f>VLOOKUP(B67,'Basic Rates'!$B$50:$G$133,3,FALSE)</f>
        <v>85</v>
      </c>
      <c r="E67" s="129" t="str">
        <f>'Basic Rates'!E99</f>
        <v>BENI</v>
      </c>
      <c r="F67" s="165" t="s">
        <v>605</v>
      </c>
      <c r="G67" s="131">
        <f>VLOOKUP($E67,Distances!$B$5:$C$19,2,FALSE)+$D$4</f>
        <v>3</v>
      </c>
      <c r="H67" s="132">
        <f t="shared" ref="H67:H80" si="38">$D$5</f>
        <v>23</v>
      </c>
      <c r="I67" s="132">
        <f t="shared" ref="I67:I80" si="39">$D$6</f>
        <v>40.81</v>
      </c>
      <c r="J67" s="132">
        <f t="shared" si="29"/>
        <v>11.428666666666668</v>
      </c>
      <c r="K67" s="130" t="s">
        <v>116</v>
      </c>
      <c r="L67" s="130">
        <f>1/1000</f>
        <v>1E-3</v>
      </c>
      <c r="M67" s="132">
        <f t="shared" si="30"/>
        <v>0</v>
      </c>
      <c r="N67" s="132">
        <f t="shared" si="31"/>
        <v>1100</v>
      </c>
      <c r="O67" s="136">
        <f>0.4*$L67</f>
        <v>4.0000000000000002E-4</v>
      </c>
      <c r="P67" s="132">
        <f t="shared" si="32"/>
        <v>850</v>
      </c>
      <c r="Q67" s="132">
        <f t="shared" si="33"/>
        <v>1.7143000000000002E-2</v>
      </c>
      <c r="R67" s="132">
        <f>'Basic Rates'!$D$92</f>
        <v>170.5</v>
      </c>
      <c r="S67" s="132">
        <f t="shared" si="34"/>
        <v>1.46144E-3</v>
      </c>
      <c r="T67" s="132">
        <f t="shared" si="35"/>
        <v>486.72</v>
      </c>
      <c r="U67" s="133">
        <f t="shared" si="36"/>
        <v>3.97</v>
      </c>
      <c r="V67" s="169">
        <f t="shared" si="37"/>
        <v>88.97</v>
      </c>
    </row>
    <row r="68" spans="1:22" s="137" customFormat="1">
      <c r="A68" s="128">
        <f>VLOOKUP(B68,'Basic Rates'!$B$50:$G$133,6,FALSE)</f>
        <v>47</v>
      </c>
      <c r="B68" s="134" t="str">
        <f>'Basic Rates'!B100</f>
        <v>Enamel paint</v>
      </c>
      <c r="C68" s="135" t="str">
        <f>'Basic Rates'!C100</f>
        <v>Lt.</v>
      </c>
      <c r="D68" s="132">
        <f>VLOOKUP(B68,'Basic Rates'!$B$50:$G$133,3,FALSE)</f>
        <v>390</v>
      </c>
      <c r="E68" s="129" t="str">
        <f>'Basic Rates'!E100</f>
        <v>BENI</v>
      </c>
      <c r="F68" s="165" t="s">
        <v>605</v>
      </c>
      <c r="G68" s="131">
        <f>VLOOKUP($E68,Distances!$B$5:$C$19,2,FALSE)+$D$4</f>
        <v>3</v>
      </c>
      <c r="H68" s="132">
        <f t="shared" si="38"/>
        <v>23</v>
      </c>
      <c r="I68" s="132">
        <f t="shared" si="39"/>
        <v>40.81</v>
      </c>
      <c r="J68" s="132">
        <f t="shared" si="29"/>
        <v>11.428666666666668</v>
      </c>
      <c r="K68" s="130" t="s">
        <v>116</v>
      </c>
      <c r="L68" s="130">
        <f>1/1000</f>
        <v>1E-3</v>
      </c>
      <c r="M68" s="132">
        <f t="shared" si="30"/>
        <v>0</v>
      </c>
      <c r="N68" s="132">
        <f t="shared" si="31"/>
        <v>1100</v>
      </c>
      <c r="O68" s="136">
        <f>0.4*$L68</f>
        <v>4.0000000000000002E-4</v>
      </c>
      <c r="P68" s="132">
        <f t="shared" si="32"/>
        <v>850</v>
      </c>
      <c r="Q68" s="132">
        <f t="shared" si="33"/>
        <v>1.7143000000000002E-2</v>
      </c>
      <c r="R68" s="132">
        <f>'Basic Rates'!$D$92</f>
        <v>170.5</v>
      </c>
      <c r="S68" s="132">
        <f t="shared" si="34"/>
        <v>1.46144E-3</v>
      </c>
      <c r="T68" s="132">
        <f t="shared" si="35"/>
        <v>486.72</v>
      </c>
      <c r="U68" s="133">
        <f t="shared" si="36"/>
        <v>3.97</v>
      </c>
      <c r="V68" s="169">
        <f t="shared" si="37"/>
        <v>393.97</v>
      </c>
    </row>
    <row r="69" spans="1:22" s="137" customFormat="1">
      <c r="A69" s="128">
        <f>VLOOKUP(B69,'Basic Rates'!$B$50:$G$133,6,FALSE)</f>
        <v>48</v>
      </c>
      <c r="B69" s="134" t="str">
        <f>'Basic Rates'!B101</f>
        <v>Primer</v>
      </c>
      <c r="C69" s="135" t="str">
        <f>'Basic Rates'!C101</f>
        <v>Lt.</v>
      </c>
      <c r="D69" s="132">
        <f>VLOOKUP(B69,'Basic Rates'!$B$50:$G$133,3,FALSE)</f>
        <v>310</v>
      </c>
      <c r="E69" s="129" t="str">
        <f>'Basic Rates'!E101</f>
        <v>GULMI</v>
      </c>
      <c r="F69" s="165" t="s">
        <v>605</v>
      </c>
      <c r="G69" s="131">
        <f>VLOOKUP($E69,Distances!$B$5:$C$19,2,FALSE)+$D$4</f>
        <v>74.61</v>
      </c>
      <c r="H69" s="132">
        <f t="shared" si="38"/>
        <v>23</v>
      </c>
      <c r="I69" s="132">
        <f t="shared" si="39"/>
        <v>40.81</v>
      </c>
      <c r="J69" s="132">
        <f t="shared" si="29"/>
        <v>16.202666666666666</v>
      </c>
      <c r="K69" s="130" t="s">
        <v>116</v>
      </c>
      <c r="L69" s="130">
        <f>1/1000</f>
        <v>1E-3</v>
      </c>
      <c r="M69" s="132">
        <f t="shared" si="30"/>
        <v>0</v>
      </c>
      <c r="N69" s="132">
        <f t="shared" si="31"/>
        <v>1100</v>
      </c>
      <c r="O69" s="136">
        <f>0.4*$L69</f>
        <v>4.0000000000000002E-4</v>
      </c>
      <c r="P69" s="132">
        <f t="shared" si="32"/>
        <v>850</v>
      </c>
      <c r="Q69" s="132">
        <f t="shared" si="33"/>
        <v>2.4303999999999999E-2</v>
      </c>
      <c r="R69" s="132">
        <f>'Basic Rates'!$D$92</f>
        <v>170.5</v>
      </c>
      <c r="S69" s="132">
        <f t="shared" si="34"/>
        <v>2.0343199999999996E-3</v>
      </c>
      <c r="T69" s="132">
        <f t="shared" si="35"/>
        <v>486.72</v>
      </c>
      <c r="U69" s="133">
        <f t="shared" si="36"/>
        <v>5.47</v>
      </c>
      <c r="V69" s="169">
        <f t="shared" si="37"/>
        <v>315.47000000000003</v>
      </c>
    </row>
    <row r="70" spans="1:22" s="137" customFormat="1">
      <c r="A70" s="128">
        <f>VLOOKUP(B70,'Basic Rates'!$B$50:$G$133,6,FALSE)</f>
        <v>49</v>
      </c>
      <c r="B70" s="134" t="str">
        <f>'Basic Rates'!B102</f>
        <v>Red oxide</v>
      </c>
      <c r="C70" s="135" t="str">
        <f>'Basic Rates'!C102</f>
        <v>Lt.</v>
      </c>
      <c r="D70" s="132">
        <f>VLOOKUP(B70,'Basic Rates'!$B$50:$G$133,3,FALSE)</f>
        <v>315</v>
      </c>
      <c r="E70" s="129" t="str">
        <f>'Basic Rates'!E102</f>
        <v>BENI</v>
      </c>
      <c r="F70" s="165" t="s">
        <v>605</v>
      </c>
      <c r="G70" s="131">
        <f>VLOOKUP($E70,Distances!$B$5:$C$19,2,FALSE)+$D$4</f>
        <v>3</v>
      </c>
      <c r="H70" s="132">
        <f t="shared" si="38"/>
        <v>23</v>
      </c>
      <c r="I70" s="132">
        <f t="shared" si="39"/>
        <v>40.81</v>
      </c>
      <c r="J70" s="132">
        <f t="shared" si="29"/>
        <v>11.428666666666668</v>
      </c>
      <c r="K70" s="130" t="s">
        <v>116</v>
      </c>
      <c r="L70" s="130">
        <f>1/1000</f>
        <v>1E-3</v>
      </c>
      <c r="M70" s="132">
        <f t="shared" si="30"/>
        <v>0</v>
      </c>
      <c r="N70" s="132">
        <f t="shared" si="31"/>
        <v>1100</v>
      </c>
      <c r="O70" s="136">
        <f>0.4*$L70</f>
        <v>4.0000000000000002E-4</v>
      </c>
      <c r="P70" s="132">
        <f t="shared" si="32"/>
        <v>850</v>
      </c>
      <c r="Q70" s="132">
        <f t="shared" si="33"/>
        <v>1.7143000000000002E-2</v>
      </c>
      <c r="R70" s="132">
        <f>'Basic Rates'!$D$92</f>
        <v>170.5</v>
      </c>
      <c r="S70" s="132">
        <f t="shared" si="34"/>
        <v>1.46144E-3</v>
      </c>
      <c r="T70" s="132">
        <f t="shared" si="35"/>
        <v>486.72</v>
      </c>
      <c r="U70" s="133">
        <f t="shared" si="36"/>
        <v>3.97</v>
      </c>
      <c r="V70" s="169">
        <f t="shared" si="37"/>
        <v>318.97000000000003</v>
      </c>
    </row>
    <row r="71" spans="1:22" s="137" customFormat="1">
      <c r="A71" s="128">
        <f>VLOOKUP(B71,'Basic Rates'!$B$50:$G$133,6,FALSE)</f>
        <v>50</v>
      </c>
      <c r="B71" s="134" t="str">
        <f>'Basic Rates'!B103</f>
        <v>CGI Sheet (24 gauge)</v>
      </c>
      <c r="C71" s="135" t="str">
        <f>'Basic Rates'!C103</f>
        <v>sqm</v>
      </c>
      <c r="D71" s="132">
        <f>VLOOKUP(B71,'Basic Rates'!$B$50:$G$133,3,FALSE)</f>
        <v>864.96</v>
      </c>
      <c r="E71" s="129" t="str">
        <f>'Basic Rates'!E103</f>
        <v>BENI</v>
      </c>
      <c r="F71" s="165" t="s">
        <v>605</v>
      </c>
      <c r="G71" s="131">
        <f>VLOOKUP($E71,Distances!$B$5:$C$19,2,FALSE)+$D$4</f>
        <v>3</v>
      </c>
      <c r="H71" s="132">
        <f t="shared" si="38"/>
        <v>23</v>
      </c>
      <c r="I71" s="132">
        <f t="shared" si="39"/>
        <v>40.81</v>
      </c>
      <c r="J71" s="132">
        <f t="shared" si="29"/>
        <v>11.428666666666668</v>
      </c>
      <c r="K71" s="130" t="s">
        <v>110</v>
      </c>
      <c r="L71" s="130">
        <f>5.7/1000</f>
        <v>5.7000000000000002E-3</v>
      </c>
      <c r="M71" s="132">
        <f t="shared" si="30"/>
        <v>0</v>
      </c>
      <c r="N71" s="132">
        <f t="shared" si="31"/>
        <v>1100</v>
      </c>
      <c r="O71" s="136">
        <f>0.6*$L71</f>
        <v>3.4199999999999999E-3</v>
      </c>
      <c r="P71" s="132">
        <f t="shared" si="32"/>
        <v>850</v>
      </c>
      <c r="Q71" s="132">
        <f t="shared" si="33"/>
        <v>9.7715100000000013E-2</v>
      </c>
      <c r="R71" s="132">
        <f>'Basic Rates'!$D$92</f>
        <v>170.5</v>
      </c>
      <c r="S71" s="132">
        <f t="shared" si="34"/>
        <v>8.3302080000000004E-3</v>
      </c>
      <c r="T71" s="132">
        <f t="shared" si="35"/>
        <v>486.72</v>
      </c>
      <c r="U71" s="133">
        <f t="shared" si="36"/>
        <v>23.62</v>
      </c>
      <c r="V71" s="169">
        <f t="shared" si="37"/>
        <v>888.58</v>
      </c>
    </row>
    <row r="72" spans="1:22" s="137" customFormat="1">
      <c r="A72" s="128">
        <f>VLOOKUP(B72,'Basic Rates'!$B$50:$G$133,6,FALSE)</f>
        <v>51</v>
      </c>
      <c r="B72" s="134" t="str">
        <f>'Basic Rates'!B104</f>
        <v>22x24 SWG Nut bolt</v>
      </c>
      <c r="C72" s="135" t="str">
        <f>'Basic Rates'!C104</f>
        <v>Nos.</v>
      </c>
      <c r="D72" s="132">
        <f>VLOOKUP(B72,'Basic Rates'!$B$50:$G$133,3,FALSE)</f>
        <v>20</v>
      </c>
      <c r="E72" s="129" t="str">
        <f>'Basic Rates'!E104</f>
        <v>BENI</v>
      </c>
      <c r="F72" s="165" t="s">
        <v>605</v>
      </c>
      <c r="G72" s="131">
        <f>VLOOKUP($E72,Distances!$B$5:$C$19,2,FALSE)+$D$4</f>
        <v>3</v>
      </c>
      <c r="H72" s="132">
        <f t="shared" si="38"/>
        <v>23</v>
      </c>
      <c r="I72" s="132">
        <f t="shared" si="39"/>
        <v>40.81</v>
      </c>
      <c r="J72" s="132">
        <f t="shared" si="29"/>
        <v>11.428666666666668</v>
      </c>
      <c r="K72" s="130" t="s">
        <v>121</v>
      </c>
      <c r="L72" s="130">
        <f>0.05/1000</f>
        <v>5.0000000000000002E-5</v>
      </c>
      <c r="M72" s="136">
        <f>0*$L72</f>
        <v>0</v>
      </c>
      <c r="N72" s="132">
        <f t="shared" si="31"/>
        <v>1100</v>
      </c>
      <c r="O72" s="136">
        <f t="shared" ref="O72:O78" si="40">L72*1</f>
        <v>5.0000000000000002E-5</v>
      </c>
      <c r="P72" s="132">
        <f t="shared" si="32"/>
        <v>850</v>
      </c>
      <c r="Q72" s="136">
        <f t="shared" si="33"/>
        <v>8.571500000000001E-4</v>
      </c>
      <c r="R72" s="132">
        <f>'Basic Rates'!$D$92</f>
        <v>170.5</v>
      </c>
      <c r="S72" s="132">
        <f t="shared" si="34"/>
        <v>7.3072000000000008E-5</v>
      </c>
      <c r="T72" s="132">
        <f t="shared" si="35"/>
        <v>486.72</v>
      </c>
      <c r="U72" s="133">
        <f t="shared" si="36"/>
        <v>0.22</v>
      </c>
      <c r="V72" s="169">
        <f t="shared" si="37"/>
        <v>20.22</v>
      </c>
    </row>
    <row r="73" spans="1:22" s="137" customFormat="1">
      <c r="A73" s="128">
        <f>VLOOKUP(B73,'Basic Rates'!$B$50:$G$133,6,FALSE)</f>
        <v>52</v>
      </c>
      <c r="B73" s="134" t="str">
        <f>'Basic Rates'!B105</f>
        <v>8 mm J hooks</v>
      </c>
      <c r="C73" s="135" t="str">
        <f>'Basic Rates'!C105</f>
        <v>Nos.</v>
      </c>
      <c r="D73" s="132">
        <f>VLOOKUP(B73,'Basic Rates'!$B$50:$G$133,3,FALSE)</f>
        <v>25</v>
      </c>
      <c r="E73" s="129" t="str">
        <f>'Basic Rates'!E105</f>
        <v>BENI</v>
      </c>
      <c r="F73" s="165" t="s">
        <v>605</v>
      </c>
      <c r="G73" s="131">
        <f>VLOOKUP($E73,Distances!$B$5:$C$19,2,FALSE)+$D$4</f>
        <v>3</v>
      </c>
      <c r="H73" s="132">
        <f t="shared" si="38"/>
        <v>23</v>
      </c>
      <c r="I73" s="132">
        <f t="shared" si="39"/>
        <v>40.81</v>
      </c>
      <c r="J73" s="132">
        <f t="shared" si="29"/>
        <v>11.428666666666668</v>
      </c>
      <c r="K73" s="130" t="s">
        <v>121</v>
      </c>
      <c r="L73" s="130">
        <f>0.15/1000</f>
        <v>1.4999999999999999E-4</v>
      </c>
      <c r="M73" s="136">
        <f>0*$L73</f>
        <v>0</v>
      </c>
      <c r="N73" s="132">
        <f t="shared" si="31"/>
        <v>1100</v>
      </c>
      <c r="O73" s="136">
        <f t="shared" si="40"/>
        <v>1.4999999999999999E-4</v>
      </c>
      <c r="P73" s="132">
        <f t="shared" si="32"/>
        <v>850</v>
      </c>
      <c r="Q73" s="136">
        <f t="shared" si="33"/>
        <v>2.5714499999999999E-3</v>
      </c>
      <c r="R73" s="132">
        <f>'Basic Rates'!$D$92</f>
        <v>170.5</v>
      </c>
      <c r="S73" s="132">
        <f t="shared" si="34"/>
        <v>2.19216E-4</v>
      </c>
      <c r="T73" s="132">
        <f t="shared" si="35"/>
        <v>486.72</v>
      </c>
      <c r="U73" s="519">
        <f t="shared" si="36"/>
        <v>0.67</v>
      </c>
      <c r="V73" s="169">
        <f t="shared" si="37"/>
        <v>25.67</v>
      </c>
    </row>
    <row r="74" spans="1:22" s="137" customFormat="1">
      <c r="A74" s="128">
        <f>VLOOKUP(B74,'Basic Rates'!$B$50:$G$133,6,FALSE)</f>
        <v>53</v>
      </c>
      <c r="B74" s="134" t="str">
        <f>'Basic Rates'!B106</f>
        <v>Bitumen washer</v>
      </c>
      <c r="C74" s="135" t="str">
        <f>'Basic Rates'!C106</f>
        <v>Nos.</v>
      </c>
      <c r="D74" s="132">
        <f>VLOOKUP(B74,'Basic Rates'!$B$50:$G$133,3,FALSE)</f>
        <v>2</v>
      </c>
      <c r="E74" s="129" t="str">
        <f>'Basic Rates'!E106</f>
        <v>BENI</v>
      </c>
      <c r="F74" s="165" t="s">
        <v>605</v>
      </c>
      <c r="G74" s="131">
        <f>VLOOKUP($E74,Distances!$B$5:$C$19,2,FALSE)+$D$4</f>
        <v>3</v>
      </c>
      <c r="H74" s="132">
        <f t="shared" si="38"/>
        <v>23</v>
      </c>
      <c r="I74" s="132">
        <f t="shared" si="39"/>
        <v>40.81</v>
      </c>
      <c r="J74" s="132">
        <f t="shared" si="29"/>
        <v>11.428666666666668</v>
      </c>
      <c r="K74" s="130" t="s">
        <v>121</v>
      </c>
      <c r="L74" s="130">
        <f>0.05/1000</f>
        <v>5.0000000000000002E-5</v>
      </c>
      <c r="M74" s="136">
        <f t="shared" ref="M74:M80" si="41">0*$L74</f>
        <v>0</v>
      </c>
      <c r="N74" s="132">
        <f t="shared" si="31"/>
        <v>1100</v>
      </c>
      <c r="O74" s="136">
        <f t="shared" si="40"/>
        <v>5.0000000000000002E-5</v>
      </c>
      <c r="P74" s="132">
        <f t="shared" si="32"/>
        <v>850</v>
      </c>
      <c r="Q74" s="136">
        <f t="shared" ref="Q74:Q79" si="42">1.5*J74*$L74</f>
        <v>8.571500000000001E-4</v>
      </c>
      <c r="R74" s="132">
        <f>'Basic Rates'!$D$92</f>
        <v>170.5</v>
      </c>
      <c r="S74" s="132">
        <f t="shared" ref="S74:S79" si="43">0.12*(J74+0.75)*$L74</f>
        <v>7.3072000000000008E-5</v>
      </c>
      <c r="T74" s="132">
        <f t="shared" si="35"/>
        <v>486.72</v>
      </c>
      <c r="U74" s="133">
        <f t="shared" ref="U74:U79" si="44">ROUND(IF(OR(D74=0,J74=0),0,M74*N74+O74*P74+Q74*R74+S74*T74),2)</f>
        <v>0.22</v>
      </c>
      <c r="V74" s="169">
        <f t="shared" ref="V74:V79" si="45">ROUND(D74+U74,2)</f>
        <v>2.2200000000000002</v>
      </c>
    </row>
    <row r="75" spans="1:22" s="137" customFormat="1">
      <c r="A75" s="128">
        <f>VLOOKUP(B75,'Basic Rates'!$B$50:$G$133,6,FALSE)</f>
        <v>54</v>
      </c>
      <c r="B75" s="134" t="str">
        <f>'Basic Rates'!B107</f>
        <v>Hold fast</v>
      </c>
      <c r="C75" s="135" t="str">
        <f>'Basic Rates'!C107</f>
        <v>Nos.</v>
      </c>
      <c r="D75" s="132">
        <f>VLOOKUP(B75,'Basic Rates'!$B$50:$G$133,3,FALSE)</f>
        <v>25</v>
      </c>
      <c r="E75" s="129" t="str">
        <f>'Basic Rates'!E107</f>
        <v>BENI</v>
      </c>
      <c r="F75" s="165" t="s">
        <v>605</v>
      </c>
      <c r="G75" s="131">
        <f>VLOOKUP($E75,Distances!$B$5:$C$19,2,FALSE)+$D$4</f>
        <v>3</v>
      </c>
      <c r="H75" s="132">
        <f t="shared" si="38"/>
        <v>23</v>
      </c>
      <c r="I75" s="132">
        <f t="shared" si="39"/>
        <v>40.81</v>
      </c>
      <c r="J75" s="132">
        <f t="shared" si="29"/>
        <v>11.428666666666668</v>
      </c>
      <c r="K75" s="130" t="s">
        <v>121</v>
      </c>
      <c r="L75" s="130">
        <f>0.2/1000</f>
        <v>2.0000000000000001E-4</v>
      </c>
      <c r="M75" s="136">
        <f t="shared" si="41"/>
        <v>0</v>
      </c>
      <c r="N75" s="132">
        <f t="shared" si="31"/>
        <v>1100</v>
      </c>
      <c r="O75" s="136">
        <f t="shared" si="40"/>
        <v>2.0000000000000001E-4</v>
      </c>
      <c r="P75" s="132">
        <f t="shared" si="32"/>
        <v>850</v>
      </c>
      <c r="Q75" s="136">
        <f t="shared" si="42"/>
        <v>3.4286000000000004E-3</v>
      </c>
      <c r="R75" s="132">
        <f>'Basic Rates'!$D$92</f>
        <v>170.5</v>
      </c>
      <c r="S75" s="132">
        <f t="shared" si="43"/>
        <v>2.9228800000000003E-4</v>
      </c>
      <c r="T75" s="132">
        <f t="shared" si="35"/>
        <v>486.72</v>
      </c>
      <c r="U75" s="133">
        <f t="shared" si="44"/>
        <v>0.9</v>
      </c>
      <c r="V75" s="169">
        <f t="shared" si="45"/>
        <v>25.9</v>
      </c>
    </row>
    <row r="76" spans="1:22" s="137" customFormat="1">
      <c r="A76" s="128">
        <f>VLOOKUP(B76,'Basic Rates'!$B$50:$G$133,6,FALSE)</f>
        <v>56</v>
      </c>
      <c r="B76" s="134" t="str">
        <f>'Basic Rates'!B109</f>
        <v>75 mm hinges</v>
      </c>
      <c r="C76" s="135" t="str">
        <f>'Basic Rates'!C109</f>
        <v>Nos.</v>
      </c>
      <c r="D76" s="132">
        <f>VLOOKUP(B76,'Basic Rates'!$B$50:$G$133,3,FALSE)</f>
        <v>23</v>
      </c>
      <c r="E76" s="129" t="str">
        <f>'Basic Rates'!E109</f>
        <v>BENI</v>
      </c>
      <c r="F76" s="165" t="s">
        <v>605</v>
      </c>
      <c r="G76" s="131">
        <f>VLOOKUP($E76,Distances!$B$5:$C$19,2,FALSE)+$D$4</f>
        <v>3</v>
      </c>
      <c r="H76" s="132">
        <f t="shared" si="38"/>
        <v>23</v>
      </c>
      <c r="I76" s="132">
        <f t="shared" si="39"/>
        <v>40.81</v>
      </c>
      <c r="J76" s="132">
        <f t="shared" si="29"/>
        <v>11.428666666666668</v>
      </c>
      <c r="K76" s="130" t="s">
        <v>121</v>
      </c>
      <c r="L76" s="130">
        <f>0.1/1000</f>
        <v>1E-4</v>
      </c>
      <c r="M76" s="136">
        <f t="shared" si="41"/>
        <v>0</v>
      </c>
      <c r="N76" s="132">
        <f t="shared" si="31"/>
        <v>1100</v>
      </c>
      <c r="O76" s="136">
        <f t="shared" si="40"/>
        <v>1E-4</v>
      </c>
      <c r="P76" s="132">
        <f t="shared" si="32"/>
        <v>850</v>
      </c>
      <c r="Q76" s="136">
        <f t="shared" si="42"/>
        <v>1.7143000000000002E-3</v>
      </c>
      <c r="R76" s="132">
        <f>'Basic Rates'!$D$92</f>
        <v>170.5</v>
      </c>
      <c r="S76" s="132">
        <f t="shared" si="43"/>
        <v>1.4614400000000002E-4</v>
      </c>
      <c r="T76" s="132">
        <f t="shared" si="35"/>
        <v>486.72</v>
      </c>
      <c r="U76" s="133">
        <f t="shared" si="44"/>
        <v>0.45</v>
      </c>
      <c r="V76" s="169">
        <f t="shared" si="45"/>
        <v>23.45</v>
      </c>
    </row>
    <row r="77" spans="1:22" s="137" customFormat="1">
      <c r="A77" s="128">
        <f>VLOOKUP(B77,'Basic Rates'!$B$50:$G$133,6,FALSE)</f>
        <v>57</v>
      </c>
      <c r="B77" s="134" t="str">
        <f>'Basic Rates'!B110</f>
        <v>Locking Sets</v>
      </c>
      <c r="C77" s="135" t="str">
        <f>'Basic Rates'!C110</f>
        <v>Nos.</v>
      </c>
      <c r="D77" s="132">
        <f>VLOOKUP(B77,'Basic Rates'!$B$50:$G$133,3,FALSE)</f>
        <v>175</v>
      </c>
      <c r="E77" s="129" t="str">
        <f>'Basic Rates'!E110</f>
        <v>BENI</v>
      </c>
      <c r="F77" s="165" t="s">
        <v>605</v>
      </c>
      <c r="G77" s="131">
        <f>VLOOKUP($E77,Distances!$B$5:$C$19,2,FALSE)+$D$4</f>
        <v>3</v>
      </c>
      <c r="H77" s="132">
        <f t="shared" si="38"/>
        <v>23</v>
      </c>
      <c r="I77" s="132">
        <f t="shared" si="39"/>
        <v>40.81</v>
      </c>
      <c r="J77" s="132">
        <f t="shared" si="29"/>
        <v>11.428666666666668</v>
      </c>
      <c r="K77" s="130" t="s">
        <v>121</v>
      </c>
      <c r="L77" s="130">
        <f>0.5/1000</f>
        <v>5.0000000000000001E-4</v>
      </c>
      <c r="M77" s="136">
        <f t="shared" si="41"/>
        <v>0</v>
      </c>
      <c r="N77" s="132">
        <f t="shared" si="31"/>
        <v>1100</v>
      </c>
      <c r="O77" s="136">
        <f t="shared" si="40"/>
        <v>5.0000000000000001E-4</v>
      </c>
      <c r="P77" s="132">
        <f t="shared" si="32"/>
        <v>850</v>
      </c>
      <c r="Q77" s="136">
        <f t="shared" si="42"/>
        <v>8.571500000000001E-3</v>
      </c>
      <c r="R77" s="132">
        <f>'Basic Rates'!$D$92</f>
        <v>170.5</v>
      </c>
      <c r="S77" s="132">
        <f t="shared" si="43"/>
        <v>7.3072000000000002E-4</v>
      </c>
      <c r="T77" s="132">
        <f t="shared" si="35"/>
        <v>486.72</v>
      </c>
      <c r="U77" s="133">
        <f t="shared" si="44"/>
        <v>2.2400000000000002</v>
      </c>
      <c r="V77" s="169">
        <f t="shared" si="45"/>
        <v>177.24</v>
      </c>
    </row>
    <row r="78" spans="1:22" s="137" customFormat="1">
      <c r="A78" s="128">
        <f>VLOOKUP(B78,'Basic Rates'!$B$50:$G$133,6,FALSE)</f>
        <v>58</v>
      </c>
      <c r="B78" s="134" t="str">
        <f>'Basic Rates'!B111</f>
        <v>Handle (Small Sized)</v>
      </c>
      <c r="C78" s="135" t="str">
        <f>'Basic Rates'!C111</f>
        <v>Nos.</v>
      </c>
      <c r="D78" s="132">
        <f>VLOOKUP(B78,'Basic Rates'!$B$50:$G$133,3,FALSE)</f>
        <v>30</v>
      </c>
      <c r="E78" s="129" t="str">
        <f>'Basic Rates'!E111</f>
        <v>BENI</v>
      </c>
      <c r="F78" s="165" t="s">
        <v>605</v>
      </c>
      <c r="G78" s="131">
        <f>VLOOKUP($E78,Distances!$B$5:$C$19,2,FALSE)+$D$4</f>
        <v>3</v>
      </c>
      <c r="H78" s="132">
        <f t="shared" si="38"/>
        <v>23</v>
      </c>
      <c r="I78" s="132">
        <f t="shared" si="39"/>
        <v>40.81</v>
      </c>
      <c r="J78" s="136">
        <f t="shared" si="29"/>
        <v>11.428666666666668</v>
      </c>
      <c r="K78" s="135" t="s">
        <v>121</v>
      </c>
      <c r="L78" s="135">
        <f>0.15/1000</f>
        <v>1.4999999999999999E-4</v>
      </c>
      <c r="M78" s="136">
        <f t="shared" si="41"/>
        <v>0</v>
      </c>
      <c r="N78" s="132">
        <f t="shared" si="31"/>
        <v>1100</v>
      </c>
      <c r="O78" s="136">
        <f t="shared" si="40"/>
        <v>1.4999999999999999E-4</v>
      </c>
      <c r="P78" s="132">
        <f t="shared" si="32"/>
        <v>850</v>
      </c>
      <c r="Q78" s="136">
        <f t="shared" si="42"/>
        <v>2.5714499999999999E-3</v>
      </c>
      <c r="R78" s="132">
        <f>'Basic Rates'!$D$92</f>
        <v>170.5</v>
      </c>
      <c r="S78" s="132">
        <f t="shared" si="43"/>
        <v>2.19216E-4</v>
      </c>
      <c r="T78" s="132">
        <f t="shared" si="35"/>
        <v>486.72</v>
      </c>
      <c r="U78" s="133">
        <f t="shared" si="44"/>
        <v>0.67</v>
      </c>
      <c r="V78" s="169">
        <f t="shared" si="45"/>
        <v>30.67</v>
      </c>
    </row>
    <row r="79" spans="1:22" s="137" customFormat="1">
      <c r="A79" s="128">
        <f>VLOOKUP(B79,'Basic Rates'!$B$50:$G$133,6,FALSE)</f>
        <v>59</v>
      </c>
      <c r="B79" s="134" t="str">
        <f>'Basic Rates'!B112</f>
        <v>Glass (3mm thick)</v>
      </c>
      <c r="C79" s="135" t="str">
        <f>'Basic Rates'!C112</f>
        <v>sqm</v>
      </c>
      <c r="D79" s="132">
        <f>VLOOKUP(B79,'Basic Rates'!$B$50:$G$133,3,FALSE)</f>
        <v>731.94622348040434</v>
      </c>
      <c r="E79" s="129" t="str">
        <f>'Basic Rates'!E112</f>
        <v>BENI</v>
      </c>
      <c r="F79" s="165" t="s">
        <v>605</v>
      </c>
      <c r="G79" s="131">
        <f>VLOOKUP($E79,Distances!$B$5:$C$19,2,FALSE)+$D$4</f>
        <v>3</v>
      </c>
      <c r="H79" s="132">
        <f t="shared" si="38"/>
        <v>23</v>
      </c>
      <c r="I79" s="132">
        <f t="shared" si="39"/>
        <v>40.81</v>
      </c>
      <c r="J79" s="136">
        <f t="shared" si="29"/>
        <v>11.428666666666668</v>
      </c>
      <c r="K79" s="130" t="s">
        <v>116</v>
      </c>
      <c r="L79" s="130">
        <f>7.74/1000</f>
        <v>7.7400000000000004E-3</v>
      </c>
      <c r="M79" s="132">
        <f t="shared" si="41"/>
        <v>0</v>
      </c>
      <c r="N79" s="132">
        <f t="shared" si="31"/>
        <v>1100</v>
      </c>
      <c r="O79" s="136">
        <f>0.4*$L79</f>
        <v>3.0960000000000002E-3</v>
      </c>
      <c r="P79" s="132">
        <f t="shared" si="32"/>
        <v>850</v>
      </c>
      <c r="Q79" s="132">
        <f t="shared" si="42"/>
        <v>0.13268682000000001</v>
      </c>
      <c r="R79" s="132">
        <f>'Basic Rates'!$D$92</f>
        <v>170.5</v>
      </c>
      <c r="S79" s="132">
        <f t="shared" si="43"/>
        <v>1.13115456E-2</v>
      </c>
      <c r="T79" s="132">
        <f t="shared" si="35"/>
        <v>486.72</v>
      </c>
      <c r="U79" s="133">
        <f t="shared" si="44"/>
        <v>30.76</v>
      </c>
      <c r="V79" s="169">
        <f t="shared" si="45"/>
        <v>762.71</v>
      </c>
    </row>
    <row r="80" spans="1:22" s="137" customFormat="1" ht="15.75" thickBot="1">
      <c r="A80" s="128">
        <f>VLOOKUP(B80,'Basic Rates'!$B$50:$G$133,6,FALSE)</f>
        <v>60</v>
      </c>
      <c r="B80" s="134" t="str">
        <f>'Basic Rates'!B113</f>
        <v xml:space="preserve">Gum </v>
      </c>
      <c r="C80" s="135" t="str">
        <f>'Basic Rates'!C113</f>
        <v>kg</v>
      </c>
      <c r="D80" s="132">
        <f>VLOOKUP(B80,'Basic Rates'!$B$50:$G$133,3,FALSE)</f>
        <v>300</v>
      </c>
      <c r="E80" s="129" t="str">
        <f>'Basic Rates'!E113</f>
        <v>BENI</v>
      </c>
      <c r="F80" s="165" t="s">
        <v>605</v>
      </c>
      <c r="G80" s="131">
        <f>VLOOKUP($E80,Distances!$B$5:$C$19,2,FALSE)+$D$4</f>
        <v>3</v>
      </c>
      <c r="H80" s="132">
        <f t="shared" si="38"/>
        <v>23</v>
      </c>
      <c r="I80" s="132">
        <f t="shared" si="39"/>
        <v>40.81</v>
      </c>
      <c r="J80" s="136">
        <f t="shared" si="29"/>
        <v>11.428666666666668</v>
      </c>
      <c r="K80" s="130" t="s">
        <v>116</v>
      </c>
      <c r="L80" s="130">
        <f>1/1000</f>
        <v>1E-3</v>
      </c>
      <c r="M80" s="132">
        <f t="shared" si="41"/>
        <v>0</v>
      </c>
      <c r="N80" s="132">
        <f t="shared" si="31"/>
        <v>1100</v>
      </c>
      <c r="O80" s="136">
        <f>0.4*$L80</f>
        <v>4.0000000000000002E-4</v>
      </c>
      <c r="P80" s="132">
        <f t="shared" si="32"/>
        <v>850</v>
      </c>
      <c r="Q80" s="132">
        <f>1.5*J80*$L80</f>
        <v>1.7143000000000002E-2</v>
      </c>
      <c r="R80" s="132">
        <f>'Basic Rates'!$D$92</f>
        <v>170.5</v>
      </c>
      <c r="S80" s="132">
        <f>0.12*(J80+0.75)*$L80</f>
        <v>1.46144E-3</v>
      </c>
      <c r="T80" s="132">
        <f t="shared" si="35"/>
        <v>486.72</v>
      </c>
      <c r="U80" s="133">
        <f>ROUND(IF(OR(D80=0,J80=0),0,M80*N80+O80*P80+Q80*R80+S80*T80),2)</f>
        <v>3.97</v>
      </c>
      <c r="V80" s="169">
        <f>ROUND(D80+U80,2)</f>
        <v>303.97000000000003</v>
      </c>
    </row>
    <row r="81" spans="1:24" s="137" customFormat="1" ht="15.75" thickBot="1">
      <c r="A81" s="163" t="str">
        <f>'Basic Rates'!A114</f>
        <v>SUBSURFACE</v>
      </c>
      <c r="B81" s="159"/>
      <c r="C81" s="160"/>
      <c r="D81" s="161"/>
      <c r="E81" s="159"/>
      <c r="F81" s="159"/>
      <c r="G81" s="161"/>
      <c r="H81" s="161"/>
      <c r="I81" s="161"/>
      <c r="J81" s="161"/>
      <c r="K81" s="160"/>
      <c r="L81" s="160"/>
      <c r="M81" s="161"/>
      <c r="N81" s="161"/>
      <c r="O81" s="161"/>
      <c r="P81" s="161"/>
      <c r="Q81" s="161"/>
      <c r="R81" s="161"/>
      <c r="S81" s="161"/>
      <c r="T81" s="161"/>
      <c r="U81" s="161"/>
      <c r="V81" s="162"/>
    </row>
    <row r="82" spans="1:24" s="137" customFormat="1">
      <c r="A82" s="128">
        <f>VLOOKUP(B82,'Basic Rates'!$B$50:$G$133,6,FALSE)</f>
        <v>61</v>
      </c>
      <c r="B82" s="134" t="str">
        <f>'Basic Rates'!B115</f>
        <v>Gelatine</v>
      </c>
      <c r="C82" s="135" t="str">
        <f>'Basic Rates'!C115</f>
        <v>kg</v>
      </c>
      <c r="D82" s="132">
        <f>VLOOKUP(B82,'Basic Rates'!$B$50:$G$133,3,FALSE)</f>
        <v>155</v>
      </c>
      <c r="E82" s="134" t="str">
        <f>'Basic Rates'!E115</f>
        <v>BENI</v>
      </c>
      <c r="F82" s="165" t="s">
        <v>605</v>
      </c>
      <c r="G82" s="131">
        <f>VLOOKUP($E82,Distances!$B$5:$C$19,2,FALSE)+$D$4</f>
        <v>3</v>
      </c>
      <c r="H82" s="132">
        <f>$D$5</f>
        <v>23</v>
      </c>
      <c r="I82" s="132">
        <f>$D$6</f>
        <v>40.81</v>
      </c>
      <c r="J82" s="136">
        <f>2*(G82/$D$9+H82/$D$10+I82/$D$11)</f>
        <v>11.428666666666668</v>
      </c>
      <c r="K82" s="130" t="s">
        <v>110</v>
      </c>
      <c r="L82" s="130">
        <f>1/1000</f>
        <v>1E-3</v>
      </c>
      <c r="M82" s="132">
        <f>0*$L82</f>
        <v>0</v>
      </c>
      <c r="N82" s="132">
        <f t="shared" ref="N82:N100" si="46">sr</f>
        <v>1100</v>
      </c>
      <c r="O82" s="136">
        <f>0.6*$L82</f>
        <v>5.9999999999999995E-4</v>
      </c>
      <c r="P82" s="132">
        <f t="shared" ref="P82:P100" si="47">ur</f>
        <v>850</v>
      </c>
      <c r="Q82" s="132">
        <f t="shared" ref="Q82:Q93" si="48">1.5*J82*$L82</f>
        <v>1.7143000000000002E-2</v>
      </c>
      <c r="R82" s="132">
        <f>'Basic Rates'!$D$92</f>
        <v>170.5</v>
      </c>
      <c r="S82" s="132">
        <f t="shared" ref="S82:S93" si="49">0.12*(J82+0.75)*$L82</f>
        <v>1.46144E-3</v>
      </c>
      <c r="T82" s="132">
        <f t="shared" ref="T82:T100" si="50">truck</f>
        <v>486.72</v>
      </c>
      <c r="U82" s="133">
        <f>ROUND(IF(OR(D82=0,J82=0),0,M82*N82+O82*P82+Q82*R82+S82*T82),2)</f>
        <v>4.1399999999999997</v>
      </c>
      <c r="V82" s="169">
        <f>ROUND(D82+U82,2)+249.02</f>
        <v>408.15999999999997</v>
      </c>
    </row>
    <row r="83" spans="1:24" s="137" customFormat="1">
      <c r="A83" s="128">
        <f>VLOOKUP(B83,'Basic Rates'!$B$50:$G$133,6,FALSE)</f>
        <v>62</v>
      </c>
      <c r="B83" s="134" t="str">
        <f>'Basic Rates'!B116</f>
        <v>Detonator</v>
      </c>
      <c r="C83" s="135" t="str">
        <f>'Basic Rates'!C116</f>
        <v>Nos.</v>
      </c>
      <c r="D83" s="132">
        <f>VLOOKUP(B83,'Basic Rates'!$B$50:$G$133,3,FALSE)</f>
        <v>4</v>
      </c>
      <c r="E83" s="134" t="str">
        <f>'Basic Rates'!E116</f>
        <v>BENI</v>
      </c>
      <c r="F83" s="165" t="s">
        <v>605</v>
      </c>
      <c r="G83" s="131">
        <f>VLOOKUP($E83,Distances!$B$5:$C$19,2,FALSE)+$D$4</f>
        <v>3</v>
      </c>
      <c r="H83" s="132">
        <f t="shared" ref="H83:H100" si="51">$D$5</f>
        <v>23</v>
      </c>
      <c r="I83" s="132">
        <f t="shared" ref="I83:I100" si="52">$D$6</f>
        <v>40.81</v>
      </c>
      <c r="J83" s="136">
        <f t="shared" ref="J83:J100" si="53">2*(G83/$D$9+H83/$D$10+I83/$D$11)</f>
        <v>11.428666666666668</v>
      </c>
      <c r="K83" s="130" t="s">
        <v>116</v>
      </c>
      <c r="L83" s="130">
        <f>2/1000</f>
        <v>2E-3</v>
      </c>
      <c r="M83" s="132">
        <f>0*$L83</f>
        <v>0</v>
      </c>
      <c r="N83" s="132">
        <f t="shared" si="46"/>
        <v>1100</v>
      </c>
      <c r="O83" s="136">
        <f>0.4*$L83</f>
        <v>8.0000000000000004E-4</v>
      </c>
      <c r="P83" s="132">
        <f t="shared" si="47"/>
        <v>850</v>
      </c>
      <c r="Q83" s="132">
        <f t="shared" si="48"/>
        <v>3.4286000000000004E-2</v>
      </c>
      <c r="R83" s="132">
        <f>'Basic Rates'!$D$92</f>
        <v>170.5</v>
      </c>
      <c r="S83" s="132">
        <f t="shared" si="49"/>
        <v>2.9228800000000001E-3</v>
      </c>
      <c r="T83" s="132">
        <f t="shared" si="50"/>
        <v>486.72</v>
      </c>
      <c r="U83" s="133">
        <f>ROUND(IF(OR(D83=0,J83=0),0,M83*N83+O83*P83+Q83*R83+S83*T83),2)</f>
        <v>7.95</v>
      </c>
      <c r="V83" s="169">
        <f>ROUND(D83+U83,2)</f>
        <v>11.95</v>
      </c>
    </row>
    <row r="84" spans="1:24" s="137" customFormat="1">
      <c r="A84" s="128">
        <f>VLOOKUP(B84,'Basic Rates'!$B$50:$G$133,6,FALSE)</f>
        <v>63</v>
      </c>
      <c r="B84" s="134" t="str">
        <f>'Basic Rates'!B117</f>
        <v>Detonating Cord</v>
      </c>
      <c r="C84" s="135" t="str">
        <f>'Basic Rates'!C117</f>
        <v>m</v>
      </c>
      <c r="D84" s="132">
        <f>VLOOKUP(B84,'Basic Rates'!$B$50:$G$133,3,FALSE)</f>
        <v>7</v>
      </c>
      <c r="E84" s="134" t="str">
        <f>'Basic Rates'!E117</f>
        <v>BENI</v>
      </c>
      <c r="F84" s="165" t="s">
        <v>605</v>
      </c>
      <c r="G84" s="131">
        <f>VLOOKUP($E84,Distances!$B$5:$C$19,2,FALSE)+$D$4</f>
        <v>3</v>
      </c>
      <c r="H84" s="132">
        <f t="shared" si="51"/>
        <v>23</v>
      </c>
      <c r="I84" s="132">
        <f t="shared" si="52"/>
        <v>40.81</v>
      </c>
      <c r="J84" s="136">
        <f t="shared" si="53"/>
        <v>11.428666666666668</v>
      </c>
      <c r="K84" s="130" t="s">
        <v>116</v>
      </c>
      <c r="L84" s="130">
        <f>0.1/1000</f>
        <v>1E-4</v>
      </c>
      <c r="M84" s="132">
        <f>0*$L84</f>
        <v>0</v>
      </c>
      <c r="N84" s="132">
        <f t="shared" si="46"/>
        <v>1100</v>
      </c>
      <c r="O84" s="136">
        <f>0.4*$L84</f>
        <v>4.0000000000000003E-5</v>
      </c>
      <c r="P84" s="132">
        <f t="shared" si="47"/>
        <v>850</v>
      </c>
      <c r="Q84" s="132">
        <f t="shared" si="48"/>
        <v>1.7143000000000002E-3</v>
      </c>
      <c r="R84" s="132">
        <f>'Basic Rates'!$D$92</f>
        <v>170.5</v>
      </c>
      <c r="S84" s="132">
        <f t="shared" si="49"/>
        <v>1.4614400000000002E-4</v>
      </c>
      <c r="T84" s="132">
        <f t="shared" si="50"/>
        <v>486.72</v>
      </c>
      <c r="U84" s="133">
        <f>ROUND(IF(OR(D84=0,J84=0),0,M84*N84+O84*P84+Q84*R84+S84*T84),2)</f>
        <v>0.4</v>
      </c>
      <c r="V84" s="169">
        <f>ROUND(D84+U84,2)</f>
        <v>7.4</v>
      </c>
    </row>
    <row r="85" spans="1:24" s="137" customFormat="1">
      <c r="A85" s="128">
        <f>VLOOKUP(B85,'Basic Rates'!$B$50:$G$133,6,FALSE)</f>
        <v>64</v>
      </c>
      <c r="B85" s="134" t="str">
        <f>'Basic Rates'!B118</f>
        <v>Damite</v>
      </c>
      <c r="C85" s="135" t="str">
        <f>'Basic Rates'!C118</f>
        <v>kg</v>
      </c>
      <c r="D85" s="132">
        <f>VLOOKUP(B85,'Basic Rates'!$B$50:$G$133,3,FALSE)</f>
        <v>185.85</v>
      </c>
      <c r="E85" s="134" t="str">
        <f>'Basic Rates'!E118</f>
        <v>KATHMANDU</v>
      </c>
      <c r="F85" s="165" t="s">
        <v>605</v>
      </c>
      <c r="G85" s="131">
        <f>VLOOKUP($E85,Distances!$B$5:$C$19,2,FALSE)+$D$4</f>
        <v>283</v>
      </c>
      <c r="H85" s="132">
        <f t="shared" si="51"/>
        <v>23</v>
      </c>
      <c r="I85" s="132">
        <f t="shared" si="52"/>
        <v>40.81</v>
      </c>
      <c r="J85" s="136">
        <f t="shared" si="53"/>
        <v>30.095333333333336</v>
      </c>
      <c r="K85" s="130" t="s">
        <v>110</v>
      </c>
      <c r="L85" s="130">
        <f>1/1000</f>
        <v>1E-3</v>
      </c>
      <c r="M85" s="132">
        <f t="shared" ref="M85:M90" si="54">0*$L85</f>
        <v>0</v>
      </c>
      <c r="N85" s="132">
        <f t="shared" si="46"/>
        <v>1100</v>
      </c>
      <c r="O85" s="136">
        <f>0.6*$L85</f>
        <v>5.9999999999999995E-4</v>
      </c>
      <c r="P85" s="132">
        <f t="shared" si="47"/>
        <v>850</v>
      </c>
      <c r="Q85" s="132">
        <f t="shared" si="48"/>
        <v>4.5143000000000003E-2</v>
      </c>
      <c r="R85" s="132">
        <f>'Basic Rates'!$D$92</f>
        <v>170.5</v>
      </c>
      <c r="S85" s="132">
        <f t="shared" si="49"/>
        <v>3.7014400000000003E-3</v>
      </c>
      <c r="T85" s="132">
        <f t="shared" si="50"/>
        <v>486.72</v>
      </c>
      <c r="U85" s="133">
        <f>ROUND(IF(OR(D85=0,J85=0),0,M85*N85+O85*P85+Q85*R85+S85*T85),2)</f>
        <v>10.01</v>
      </c>
      <c r="V85" s="169">
        <f>ROUND(D85+U85,2)</f>
        <v>195.86</v>
      </c>
    </row>
    <row r="86" spans="1:24" s="137" customFormat="1">
      <c r="A86" s="128">
        <f>VLOOKUP(B86,'Basic Rates'!$B$50:$G$133,6,FALSE)</f>
        <v>65</v>
      </c>
      <c r="B86" s="134" t="str">
        <f>'Basic Rates'!B119</f>
        <v>Drill rod</v>
      </c>
      <c r="C86" s="135" t="str">
        <f>'Basic Rates'!C119</f>
        <v>Nos.</v>
      </c>
      <c r="D86" s="132">
        <f>VLOOKUP(B86,'Basic Rates'!$B$50:$G$133,3,FALSE)</f>
        <v>6592.35</v>
      </c>
      <c r="E86" s="134" t="str">
        <f>'Basic Rates'!E119</f>
        <v>KATHMANDU</v>
      </c>
      <c r="F86" s="165" t="s">
        <v>605</v>
      </c>
      <c r="G86" s="131">
        <f>VLOOKUP($E86,Distances!$B$5:$C$19,2,FALSE)+$D$4</f>
        <v>283</v>
      </c>
      <c r="H86" s="132">
        <f t="shared" si="51"/>
        <v>23</v>
      </c>
      <c r="I86" s="132">
        <f t="shared" si="52"/>
        <v>40.81</v>
      </c>
      <c r="J86" s="136">
        <f t="shared" si="53"/>
        <v>30.095333333333336</v>
      </c>
      <c r="K86" s="130" t="s">
        <v>110</v>
      </c>
      <c r="L86" s="130">
        <f>14.1/1000</f>
        <v>1.41E-2</v>
      </c>
      <c r="M86" s="132">
        <f t="shared" si="54"/>
        <v>0</v>
      </c>
      <c r="N86" s="132">
        <f t="shared" si="46"/>
        <v>1100</v>
      </c>
      <c r="O86" s="136">
        <f>0.6*$L86</f>
        <v>8.4599999999999988E-3</v>
      </c>
      <c r="P86" s="132">
        <f t="shared" si="47"/>
        <v>850</v>
      </c>
      <c r="Q86" s="132">
        <f t="shared" si="48"/>
        <v>0.63651630000000003</v>
      </c>
      <c r="R86" s="132">
        <f>'Basic Rates'!$D$92</f>
        <v>170.5</v>
      </c>
      <c r="S86" s="132">
        <f t="shared" si="49"/>
        <v>5.2190304E-2</v>
      </c>
      <c r="T86" s="132">
        <f t="shared" si="50"/>
        <v>486.72</v>
      </c>
      <c r="U86" s="133">
        <f>ROUND(IF(OR(D86=0,J86=0),0,M86*N86+O86*P86+Q86*R86+S86*T86),2)</f>
        <v>141.12</v>
      </c>
      <c r="V86" s="169">
        <f>ROUND(D86+U86,2)</f>
        <v>6733.47</v>
      </c>
    </row>
    <row r="87" spans="1:24" s="137" customFormat="1">
      <c r="A87" s="128">
        <f>VLOOKUP(B87,'Basic Rates'!$B$50:$G$133,6,FALSE)</f>
        <v>66</v>
      </c>
      <c r="B87" s="134" t="str">
        <f>'Basic Rates'!B120</f>
        <v xml:space="preserve">Drill bits (20 mm ) </v>
      </c>
      <c r="C87" s="135" t="str">
        <f>'Basic Rates'!C120</f>
        <v>Nos.</v>
      </c>
      <c r="D87" s="132">
        <f>VLOOKUP(B87,'Basic Rates'!$B$50:$G$133,3,FALSE)</f>
        <v>3691</v>
      </c>
      <c r="E87" s="134" t="str">
        <f>'Basic Rates'!E120</f>
        <v>KASKI</v>
      </c>
      <c r="F87" s="165" t="s">
        <v>605</v>
      </c>
      <c r="G87" s="131">
        <f>VLOOKUP($E87,Distances!$B$5:$C$19,2,FALSE)+$D$4</f>
        <v>83</v>
      </c>
      <c r="H87" s="132">
        <f t="shared" si="51"/>
        <v>23</v>
      </c>
      <c r="I87" s="132">
        <f t="shared" si="52"/>
        <v>40.81</v>
      </c>
      <c r="J87" s="136">
        <f t="shared" si="53"/>
        <v>16.762</v>
      </c>
      <c r="K87" s="130" t="s">
        <v>110</v>
      </c>
      <c r="L87" s="130">
        <f>(PI()*(32/1000)^2/4*7.85*0.5)</f>
        <v>3.1566722983270238E-3</v>
      </c>
      <c r="M87" s="132">
        <f t="shared" si="54"/>
        <v>0</v>
      </c>
      <c r="N87" s="132">
        <f t="shared" si="46"/>
        <v>1100</v>
      </c>
      <c r="O87" s="136">
        <f>0.6*$L87</f>
        <v>1.8940033789962142E-3</v>
      </c>
      <c r="P87" s="132">
        <f t="shared" si="47"/>
        <v>850</v>
      </c>
      <c r="Q87" s="132">
        <f t="shared" si="48"/>
        <v>7.9368211596836366E-2</v>
      </c>
      <c r="R87" s="132">
        <f>'Basic Rates'!$D$92</f>
        <v>170.5</v>
      </c>
      <c r="S87" s="132">
        <f t="shared" si="49"/>
        <v>6.6335574345963415E-3</v>
      </c>
      <c r="T87" s="132">
        <f t="shared" si="50"/>
        <v>486.72</v>
      </c>
      <c r="U87" s="133">
        <f t="shared" ref="U87:U100" si="55">ROUND(IF(OR(D87=0,J87=0),0,M87*N87+O87*P87+Q87*R87+S87*T87),2)</f>
        <v>18.37</v>
      </c>
      <c r="V87" s="169">
        <f t="shared" ref="V87:V100" si="56">ROUND(D87+U87,2)</f>
        <v>3709.37</v>
      </c>
    </row>
    <row r="88" spans="1:24" s="137" customFormat="1">
      <c r="A88" s="128">
        <f>VLOOKUP(B88,'Basic Rates'!$B$50:$G$133,6,FALSE)</f>
        <v>67</v>
      </c>
      <c r="B88" s="134" t="str">
        <f>'Basic Rates'!B121</f>
        <v>Drill bits (25 mm )</v>
      </c>
      <c r="C88" s="135" t="str">
        <f>'Basic Rates'!C121</f>
        <v>Nos.</v>
      </c>
      <c r="D88" s="132">
        <f>VLOOKUP(B88,'Basic Rates'!$B$50:$G$133,3,FALSE)</f>
        <v>3850</v>
      </c>
      <c r="E88" s="134" t="str">
        <f>'Basic Rates'!E121</f>
        <v>KASKI</v>
      </c>
      <c r="F88" s="165" t="s">
        <v>605</v>
      </c>
      <c r="G88" s="131">
        <f>VLOOKUP($E88,Distances!$B$5:$C$19,2,FALSE)+$D$4</f>
        <v>83</v>
      </c>
      <c r="H88" s="132">
        <f t="shared" si="51"/>
        <v>23</v>
      </c>
      <c r="I88" s="132">
        <f t="shared" si="52"/>
        <v>40.81</v>
      </c>
      <c r="J88" s="136">
        <f t="shared" si="53"/>
        <v>16.762</v>
      </c>
      <c r="K88" s="130" t="s">
        <v>110</v>
      </c>
      <c r="L88" s="130">
        <f>(PI()*(38/1000)^2/4*7.85*0.5)</f>
        <v>4.4514011706877172E-3</v>
      </c>
      <c r="M88" s="132">
        <f t="shared" si="54"/>
        <v>0</v>
      </c>
      <c r="N88" s="132">
        <f t="shared" si="46"/>
        <v>1100</v>
      </c>
      <c r="O88" s="136">
        <f>0.6*$L88</f>
        <v>2.6708407024126301E-3</v>
      </c>
      <c r="P88" s="132">
        <f t="shared" si="47"/>
        <v>850</v>
      </c>
      <c r="Q88" s="132">
        <f t="shared" si="48"/>
        <v>0.11192157963460128</v>
      </c>
      <c r="R88" s="132">
        <f>'Basic Rates'!$D$92</f>
        <v>170.5</v>
      </c>
      <c r="S88" s="132">
        <f t="shared" si="49"/>
        <v>9.3543524761299981E-3</v>
      </c>
      <c r="T88" s="132">
        <f t="shared" si="50"/>
        <v>486.72</v>
      </c>
      <c r="U88" s="133">
        <f t="shared" ref="U88:U93" si="57">ROUND(IF(OR(D88=0,J88=0),0,M88*N88+O88*P88+Q88*R88+S88*T88),2)</f>
        <v>25.91</v>
      </c>
      <c r="V88" s="169">
        <f t="shared" ref="V88:V93" si="58">ROUND(D88+U88,2)</f>
        <v>3875.91</v>
      </c>
    </row>
    <row r="89" spans="1:24" s="137" customFormat="1">
      <c r="A89" s="128">
        <f>VLOOKUP(B89,'Basic Rates'!$B$50:$G$133,6,FALSE)</f>
        <v>68</v>
      </c>
      <c r="B89" s="134" t="str">
        <f>'Basic Rates'!B122</f>
        <v>Welding rod</v>
      </c>
      <c r="C89" s="135" t="str">
        <f>'Basic Rates'!C122</f>
        <v>pkt</v>
      </c>
      <c r="D89" s="132">
        <f>VLOOKUP(B89,'Basic Rates'!$B$50:$G$133,3,FALSE)</f>
        <v>686.82</v>
      </c>
      <c r="E89" s="134" t="str">
        <f>'Basic Rates'!E122</f>
        <v>KATHMANDU</v>
      </c>
      <c r="F89" s="165" t="s">
        <v>605</v>
      </c>
      <c r="G89" s="131">
        <f>VLOOKUP($E89,Distances!$B$5:$C$19,2,FALSE)+$D$4</f>
        <v>283</v>
      </c>
      <c r="H89" s="132">
        <f t="shared" si="51"/>
        <v>23</v>
      </c>
      <c r="I89" s="132">
        <f t="shared" si="52"/>
        <v>40.81</v>
      </c>
      <c r="J89" s="136">
        <f t="shared" si="53"/>
        <v>30.095333333333336</v>
      </c>
      <c r="K89" s="130" t="s">
        <v>110</v>
      </c>
      <c r="L89" s="130">
        <f>0.6/1000</f>
        <v>5.9999999999999995E-4</v>
      </c>
      <c r="M89" s="132">
        <f t="shared" si="54"/>
        <v>0</v>
      </c>
      <c r="N89" s="132">
        <f t="shared" si="46"/>
        <v>1100</v>
      </c>
      <c r="O89" s="136">
        <f>0.6*$L89</f>
        <v>3.5999999999999997E-4</v>
      </c>
      <c r="P89" s="132">
        <f t="shared" si="47"/>
        <v>850</v>
      </c>
      <c r="Q89" s="132">
        <f t="shared" si="48"/>
        <v>2.7085799999999997E-2</v>
      </c>
      <c r="R89" s="132">
        <f>'Basic Rates'!$D$92</f>
        <v>170.5</v>
      </c>
      <c r="S89" s="132">
        <f t="shared" si="49"/>
        <v>2.2208639999999999E-3</v>
      </c>
      <c r="T89" s="132">
        <f t="shared" si="50"/>
        <v>486.72</v>
      </c>
      <c r="U89" s="133">
        <f t="shared" si="57"/>
        <v>6.01</v>
      </c>
      <c r="V89" s="169">
        <f t="shared" si="58"/>
        <v>692.83</v>
      </c>
      <c r="X89" s="139"/>
    </row>
    <row r="90" spans="1:24" s="137" customFormat="1">
      <c r="A90" s="128">
        <f>VLOOKUP(B90,'Basic Rates'!$B$50:$G$133,6,FALSE)</f>
        <v>69</v>
      </c>
      <c r="B90" s="134" t="str">
        <f>'Basic Rates'!B123</f>
        <v>Ventilation Duct</v>
      </c>
      <c r="C90" s="135" t="str">
        <f>'Basic Rates'!C123</f>
        <v>m</v>
      </c>
      <c r="D90" s="132">
        <f>VLOOKUP(B90,'Basic Rates'!$B$50:$G$133,3,FALSE)</f>
        <v>1990.14</v>
      </c>
      <c r="E90" s="134" t="str">
        <f>'Basic Rates'!E123</f>
        <v>KATHMANDU</v>
      </c>
      <c r="F90" s="165" t="s">
        <v>605</v>
      </c>
      <c r="G90" s="131">
        <f>VLOOKUP($E90,Distances!$B$5:$C$19,2,FALSE)+$D$4</f>
        <v>283</v>
      </c>
      <c r="H90" s="132">
        <f t="shared" si="51"/>
        <v>23</v>
      </c>
      <c r="I90" s="132">
        <f t="shared" si="52"/>
        <v>40.81</v>
      </c>
      <c r="J90" s="136">
        <f t="shared" si="53"/>
        <v>30.095333333333336</v>
      </c>
      <c r="K90" s="130" t="s">
        <v>121</v>
      </c>
      <c r="L90" s="130">
        <f>1.75/1000</f>
        <v>1.75E-3</v>
      </c>
      <c r="M90" s="136">
        <f t="shared" si="54"/>
        <v>0</v>
      </c>
      <c r="N90" s="132">
        <f t="shared" si="46"/>
        <v>1100</v>
      </c>
      <c r="O90" s="136">
        <f>1*$L90</f>
        <v>1.75E-3</v>
      </c>
      <c r="P90" s="132">
        <f t="shared" si="47"/>
        <v>850</v>
      </c>
      <c r="Q90" s="136">
        <f t="shared" si="48"/>
        <v>7.9000250000000008E-2</v>
      </c>
      <c r="R90" s="132">
        <f>'Basic Rates'!$D$92</f>
        <v>170.5</v>
      </c>
      <c r="S90" s="132">
        <f t="shared" si="49"/>
        <v>6.4775200000000005E-3</v>
      </c>
      <c r="T90" s="132">
        <f t="shared" si="50"/>
        <v>486.72</v>
      </c>
      <c r="U90" s="133">
        <f t="shared" si="57"/>
        <v>18.11</v>
      </c>
      <c r="V90" s="169">
        <f t="shared" si="58"/>
        <v>2008.25</v>
      </c>
      <c r="X90" s="139"/>
    </row>
    <row r="91" spans="1:24" s="137" customFormat="1">
      <c r="A91" s="128">
        <f>VLOOKUP(B91,'Basic Rates'!$B$50:$G$133,6,FALSE)</f>
        <v>70</v>
      </c>
      <c r="B91" s="134" t="str">
        <f>'Basic Rates'!B124</f>
        <v>Anchor pin</v>
      </c>
      <c r="C91" s="135" t="str">
        <f>'Basic Rates'!C124</f>
        <v>kg</v>
      </c>
      <c r="D91" s="132">
        <f>VLOOKUP(B91,'Basic Rates'!$B$50:$G$133,3,FALSE)</f>
        <v>124.38</v>
      </c>
      <c r="E91" s="134" t="str">
        <f>'Basic Rates'!E124</f>
        <v>KATHMANDU</v>
      </c>
      <c r="F91" s="165" t="s">
        <v>605</v>
      </c>
      <c r="G91" s="131">
        <f>VLOOKUP($E91,Distances!$B$5:$C$19,2,FALSE)+$D$4</f>
        <v>283</v>
      </c>
      <c r="H91" s="132">
        <f t="shared" si="51"/>
        <v>23</v>
      </c>
      <c r="I91" s="132">
        <f t="shared" si="52"/>
        <v>40.81</v>
      </c>
      <c r="J91" s="136">
        <f t="shared" si="53"/>
        <v>30.095333333333336</v>
      </c>
      <c r="K91" s="135" t="s">
        <v>110</v>
      </c>
      <c r="L91" s="135">
        <f>1/1000</f>
        <v>1E-3</v>
      </c>
      <c r="M91" s="132">
        <f>0*$L91</f>
        <v>0</v>
      </c>
      <c r="N91" s="132">
        <f t="shared" si="46"/>
        <v>1100</v>
      </c>
      <c r="O91" s="136">
        <f>0.6*$L91</f>
        <v>5.9999999999999995E-4</v>
      </c>
      <c r="P91" s="132">
        <f t="shared" si="47"/>
        <v>850</v>
      </c>
      <c r="Q91" s="132">
        <f t="shared" si="48"/>
        <v>4.5143000000000003E-2</v>
      </c>
      <c r="R91" s="132">
        <f>'Basic Rates'!$D$92</f>
        <v>170.5</v>
      </c>
      <c r="S91" s="132">
        <f t="shared" si="49"/>
        <v>3.7014400000000003E-3</v>
      </c>
      <c r="T91" s="132">
        <f t="shared" si="50"/>
        <v>486.72</v>
      </c>
      <c r="U91" s="133">
        <f t="shared" si="57"/>
        <v>10.01</v>
      </c>
      <c r="V91" s="169">
        <f t="shared" si="58"/>
        <v>134.38999999999999</v>
      </c>
      <c r="X91" s="139"/>
    </row>
    <row r="92" spans="1:24" s="137" customFormat="1">
      <c r="A92" s="128">
        <f>VLOOKUP(B92,'Basic Rates'!$B$50:$G$133,6,FALSE)</f>
        <v>71</v>
      </c>
      <c r="B92" s="134" t="str">
        <f>'Basic Rates'!B125</f>
        <v>Cement capsule</v>
      </c>
      <c r="C92" s="135" t="str">
        <f>'Basic Rates'!C125</f>
        <v>Nos.</v>
      </c>
      <c r="D92" s="132">
        <f>VLOOKUP(B92,'Basic Rates'!$B$50:$G$133,3,FALSE)</f>
        <v>75.709999999999994</v>
      </c>
      <c r="E92" s="134" t="str">
        <f>'Basic Rates'!E125</f>
        <v>KATHMANDU</v>
      </c>
      <c r="F92" s="165" t="s">
        <v>605</v>
      </c>
      <c r="G92" s="131">
        <f>VLOOKUP($E92,Distances!$B$5:$C$19,2,FALSE)+$D$4</f>
        <v>283</v>
      </c>
      <c r="H92" s="132">
        <f t="shared" si="51"/>
        <v>23</v>
      </c>
      <c r="I92" s="132">
        <f t="shared" si="52"/>
        <v>40.81</v>
      </c>
      <c r="J92" s="136">
        <f t="shared" si="53"/>
        <v>30.095333333333336</v>
      </c>
      <c r="K92" s="130" t="s">
        <v>116</v>
      </c>
      <c r="L92" s="130">
        <f>0.45/1000</f>
        <v>4.4999999999999999E-4</v>
      </c>
      <c r="M92" s="132">
        <f>0*$L92</f>
        <v>0</v>
      </c>
      <c r="N92" s="132">
        <f t="shared" si="46"/>
        <v>1100</v>
      </c>
      <c r="O92" s="136">
        <f>0.4*$L92</f>
        <v>1.8000000000000001E-4</v>
      </c>
      <c r="P92" s="132">
        <f t="shared" si="47"/>
        <v>850</v>
      </c>
      <c r="Q92" s="132">
        <f t="shared" si="48"/>
        <v>2.0314349999999998E-2</v>
      </c>
      <c r="R92" s="132">
        <f>'Basic Rates'!$D$92</f>
        <v>170.5</v>
      </c>
      <c r="S92" s="132">
        <f t="shared" si="49"/>
        <v>1.665648E-3</v>
      </c>
      <c r="T92" s="132">
        <f t="shared" si="50"/>
        <v>486.72</v>
      </c>
      <c r="U92" s="133">
        <f t="shared" si="57"/>
        <v>4.43</v>
      </c>
      <c r="V92" s="169">
        <f t="shared" si="58"/>
        <v>80.14</v>
      </c>
      <c r="X92" s="139"/>
    </row>
    <row r="93" spans="1:24" s="137" customFormat="1">
      <c r="A93" s="128">
        <f>VLOOKUP(B93,'Basic Rates'!$B$50:$G$133,6,FALSE)</f>
        <v>72</v>
      </c>
      <c r="B93" s="134" t="str">
        <f>'Basic Rates'!B126</f>
        <v>Packers</v>
      </c>
      <c r="C93" s="135" t="str">
        <f>'Basic Rates'!C126</f>
        <v>Nos.</v>
      </c>
      <c r="D93" s="132">
        <f>VLOOKUP(B93,'Basic Rates'!$B$50:$G$133,3,FALSE)</f>
        <v>313.66000000000003</v>
      </c>
      <c r="E93" s="134" t="str">
        <f>'Basic Rates'!E126</f>
        <v>KATHMANDU</v>
      </c>
      <c r="F93" s="165" t="s">
        <v>605</v>
      </c>
      <c r="G93" s="131">
        <f>VLOOKUP($E93,Distances!$B$5:$C$19,2,FALSE)+$D$4</f>
        <v>283</v>
      </c>
      <c r="H93" s="132">
        <f t="shared" si="51"/>
        <v>23</v>
      </c>
      <c r="I93" s="132">
        <f t="shared" si="52"/>
        <v>40.81</v>
      </c>
      <c r="J93" s="136">
        <f t="shared" si="53"/>
        <v>30.095333333333336</v>
      </c>
      <c r="K93" s="130" t="s">
        <v>116</v>
      </c>
      <c r="L93" s="130">
        <f>2.3/1000</f>
        <v>2.3E-3</v>
      </c>
      <c r="M93" s="132">
        <f>0*$L93</f>
        <v>0</v>
      </c>
      <c r="N93" s="132">
        <f t="shared" si="46"/>
        <v>1100</v>
      </c>
      <c r="O93" s="136">
        <f>0.4*$L93</f>
        <v>9.2000000000000003E-4</v>
      </c>
      <c r="P93" s="132">
        <f t="shared" si="47"/>
        <v>850</v>
      </c>
      <c r="Q93" s="132">
        <f t="shared" si="48"/>
        <v>0.1038289</v>
      </c>
      <c r="R93" s="132">
        <f>'Basic Rates'!$D$92</f>
        <v>170.5</v>
      </c>
      <c r="S93" s="132">
        <f t="shared" si="49"/>
        <v>8.5133120000000003E-3</v>
      </c>
      <c r="T93" s="132">
        <f t="shared" si="50"/>
        <v>486.72</v>
      </c>
      <c r="U93" s="133">
        <f t="shared" si="57"/>
        <v>22.63</v>
      </c>
      <c r="V93" s="169">
        <f t="shared" si="58"/>
        <v>336.29</v>
      </c>
      <c r="X93" s="139"/>
    </row>
    <row r="94" spans="1:24" s="137" customFormat="1" ht="15.75" thickBot="1">
      <c r="A94" s="128">
        <f>VLOOKUP(B94,'Basic Rates'!$B$50:$G$133,6,FALSE)</f>
        <v>73</v>
      </c>
      <c r="B94" s="134" t="str">
        <f>'Basic Rates'!B127</f>
        <v>Bearing Plate</v>
      </c>
      <c r="C94" s="135" t="str">
        <f>'Basic Rates'!C127</f>
        <v>Nos.</v>
      </c>
      <c r="D94" s="132">
        <f>VLOOKUP(B94,'Basic Rates'!$B$50:$G$133,3,FALSE)</f>
        <v>1408</v>
      </c>
      <c r="E94" s="134" t="str">
        <f>'Basic Rates'!E127</f>
        <v>KASKI</v>
      </c>
      <c r="F94" s="165" t="s">
        <v>605</v>
      </c>
      <c r="G94" s="131">
        <f>VLOOKUP($E94,Distances!$B$5:$C$19,2,FALSE)+$D$4</f>
        <v>83</v>
      </c>
      <c r="H94" s="132">
        <f t="shared" si="51"/>
        <v>23</v>
      </c>
      <c r="I94" s="132">
        <f t="shared" si="52"/>
        <v>40.81</v>
      </c>
      <c r="J94" s="136">
        <f t="shared" si="53"/>
        <v>16.762</v>
      </c>
      <c r="K94" s="130" t="s">
        <v>110</v>
      </c>
      <c r="L94" s="130">
        <f>4.5/1000</f>
        <v>4.4999999999999997E-3</v>
      </c>
      <c r="M94" s="132">
        <f t="shared" ref="M94:M100" si="59">0*$L94</f>
        <v>0</v>
      </c>
      <c r="N94" s="132">
        <f t="shared" si="46"/>
        <v>1100</v>
      </c>
      <c r="O94" s="136">
        <f t="shared" ref="O94:O100" si="60">0.6*$L94</f>
        <v>2.6999999999999997E-3</v>
      </c>
      <c r="P94" s="132">
        <f t="shared" si="47"/>
        <v>850</v>
      </c>
      <c r="Q94" s="132">
        <f t="shared" ref="Q94:Q100" si="61">1.5*J94*$L94</f>
        <v>0.11314349999999999</v>
      </c>
      <c r="R94" s="132">
        <f>'Basic Rates'!$D$92</f>
        <v>170.5</v>
      </c>
      <c r="S94" s="132">
        <f t="shared" ref="S94:S100" si="62">0.12*(J94+0.75)*$L94</f>
        <v>9.4564799999999997E-3</v>
      </c>
      <c r="T94" s="132">
        <f t="shared" si="50"/>
        <v>486.72</v>
      </c>
      <c r="U94" s="133">
        <f t="shared" si="55"/>
        <v>26.19</v>
      </c>
      <c r="V94" s="169">
        <f t="shared" si="56"/>
        <v>1434.19</v>
      </c>
      <c r="X94" s="139"/>
    </row>
    <row r="95" spans="1:24" s="137" customFormat="1" hidden="1">
      <c r="A95" s="128">
        <f>VLOOKUP(B95,'Basic Rates'!$B$50:$G$133,6,FALSE)</f>
        <v>74</v>
      </c>
      <c r="B95" s="134" t="str">
        <f>'Basic Rates'!B128</f>
        <v>Rock bolts (Φ20 mm)</v>
      </c>
      <c r="C95" s="135" t="str">
        <f>'Basic Rates'!C128</f>
        <v>m</v>
      </c>
      <c r="D95" s="132">
        <f>VLOOKUP(B95,'Basic Rates'!$B$50:$G$133,3,FALSE)</f>
        <v>307.03570401696442</v>
      </c>
      <c r="E95" s="134" t="str">
        <f>'Basic Rates'!E128</f>
        <v>BENI</v>
      </c>
      <c r="F95" s="165" t="s">
        <v>605</v>
      </c>
      <c r="G95" s="131">
        <f>VLOOKUP($E95,Distances!$B$5:$C$15,2,FALSE)+$D$4</f>
        <v>3</v>
      </c>
      <c r="H95" s="132">
        <f t="shared" si="51"/>
        <v>23</v>
      </c>
      <c r="I95" s="132">
        <f t="shared" si="52"/>
        <v>40.81</v>
      </c>
      <c r="J95" s="136">
        <f t="shared" si="53"/>
        <v>11.428666666666668</v>
      </c>
      <c r="K95" s="130" t="s">
        <v>110</v>
      </c>
      <c r="L95" s="130">
        <f>(PI()*(20/1000)^2/4*7.85)</f>
        <v>2.4661502330679875E-3</v>
      </c>
      <c r="M95" s="132">
        <f t="shared" si="59"/>
        <v>0</v>
      </c>
      <c r="N95" s="132">
        <f t="shared" si="46"/>
        <v>1100</v>
      </c>
      <c r="O95" s="136">
        <f t="shared" si="60"/>
        <v>1.4796901398407925E-3</v>
      </c>
      <c r="P95" s="132">
        <f t="shared" si="47"/>
        <v>850</v>
      </c>
      <c r="Q95" s="132">
        <f t="shared" si="61"/>
        <v>4.2277213445484511E-2</v>
      </c>
      <c r="R95" s="132">
        <f>'Basic Rates'!$D$92</f>
        <v>170.5</v>
      </c>
      <c r="S95" s="132">
        <f t="shared" si="62"/>
        <v>3.60413059661488E-3</v>
      </c>
      <c r="T95" s="132">
        <f t="shared" si="50"/>
        <v>486.72</v>
      </c>
      <c r="U95" s="133">
        <f t="shared" si="55"/>
        <v>10.220000000000001</v>
      </c>
      <c r="V95" s="169">
        <f t="shared" si="56"/>
        <v>317.26</v>
      </c>
      <c r="X95" s="139"/>
    </row>
    <row r="96" spans="1:24" s="137" customFormat="1" hidden="1">
      <c r="A96" s="128">
        <f>VLOOKUP(B96,'Basic Rates'!$B$50:$G$133,6,FALSE)</f>
        <v>75</v>
      </c>
      <c r="B96" s="134" t="str">
        <f>'Basic Rates'!B129</f>
        <v>Rock bolts (Φ25 mm)</v>
      </c>
      <c r="C96" s="135" t="str">
        <f>'Basic Rates'!C129</f>
        <v>m</v>
      </c>
      <c r="D96" s="132">
        <f>VLOOKUP(B96,'Basic Rates'!$B$50:$G$133,3,FALSE)</f>
        <v>337.59</v>
      </c>
      <c r="E96" s="134" t="str">
        <f>'Basic Rates'!E129</f>
        <v>BENI</v>
      </c>
      <c r="F96" s="165" t="s">
        <v>605</v>
      </c>
      <c r="G96" s="131">
        <f>VLOOKUP($E96,Distances!$B$5:$C$15,2,FALSE)+$D$4</f>
        <v>3</v>
      </c>
      <c r="H96" s="132">
        <f t="shared" si="51"/>
        <v>23</v>
      </c>
      <c r="I96" s="132">
        <f t="shared" si="52"/>
        <v>40.81</v>
      </c>
      <c r="J96" s="136">
        <f t="shared" si="53"/>
        <v>11.428666666666668</v>
      </c>
      <c r="K96" s="130" t="s">
        <v>110</v>
      </c>
      <c r="L96" s="130">
        <f>(PI()*(25/1000)^2/4*7.85)</f>
        <v>3.8533597391687308E-3</v>
      </c>
      <c r="M96" s="132">
        <f t="shared" si="59"/>
        <v>0</v>
      </c>
      <c r="N96" s="132">
        <f t="shared" si="46"/>
        <v>1100</v>
      </c>
      <c r="O96" s="136">
        <f t="shared" si="60"/>
        <v>2.3120158435012382E-3</v>
      </c>
      <c r="P96" s="132">
        <f t="shared" si="47"/>
        <v>850</v>
      </c>
      <c r="Q96" s="132">
        <f t="shared" si="61"/>
        <v>6.605814600856956E-2</v>
      </c>
      <c r="R96" s="132">
        <f>'Basic Rates'!$D$92</f>
        <v>170.5</v>
      </c>
      <c r="S96" s="132">
        <f t="shared" si="62"/>
        <v>5.6314540572107502E-3</v>
      </c>
      <c r="T96" s="132">
        <f t="shared" si="50"/>
        <v>486.72</v>
      </c>
      <c r="U96" s="133">
        <f t="shared" si="55"/>
        <v>15.97</v>
      </c>
      <c r="V96" s="169">
        <f t="shared" si="56"/>
        <v>353.56</v>
      </c>
      <c r="X96" s="139"/>
    </row>
    <row r="97" spans="1:24" s="137" customFormat="1" hidden="1">
      <c r="A97" s="128">
        <f>VLOOKUP(B97,'Basic Rates'!$B$50:$G$133,6,FALSE)</f>
        <v>76</v>
      </c>
      <c r="B97" s="134" t="str">
        <f>'Basic Rates'!B130</f>
        <v>Rock bolts (Φ32 mm)</v>
      </c>
      <c r="C97" s="135" t="str">
        <f>'Basic Rates'!C130</f>
        <v>m</v>
      </c>
      <c r="D97" s="132">
        <f>VLOOKUP(B97,'Basic Rates'!$B$50:$G$133,3,FALSE)</f>
        <v>786.01140228342888</v>
      </c>
      <c r="E97" s="134" t="str">
        <f>'Basic Rates'!E130</f>
        <v>BENI</v>
      </c>
      <c r="F97" s="165" t="s">
        <v>605</v>
      </c>
      <c r="G97" s="131">
        <f>VLOOKUP($E97,Distances!$B$5:$C$15,2,FALSE)+$D$4</f>
        <v>3</v>
      </c>
      <c r="H97" s="132">
        <f t="shared" si="51"/>
        <v>23</v>
      </c>
      <c r="I97" s="132">
        <f t="shared" si="52"/>
        <v>40.81</v>
      </c>
      <c r="J97" s="136">
        <f>2*(G97/$D$9+H97/$D$10+I97/$D$11)</f>
        <v>11.428666666666668</v>
      </c>
      <c r="K97" s="130" t="s">
        <v>110</v>
      </c>
      <c r="L97" s="130">
        <f>(PI()*(32/1000)^2/4*7.85)</f>
        <v>6.3133445966540476E-3</v>
      </c>
      <c r="M97" s="132">
        <f t="shared" si="59"/>
        <v>0</v>
      </c>
      <c r="N97" s="132">
        <f t="shared" si="46"/>
        <v>1100</v>
      </c>
      <c r="O97" s="136">
        <f t="shared" si="60"/>
        <v>3.7880067579924284E-3</v>
      </c>
      <c r="P97" s="132">
        <f t="shared" si="47"/>
        <v>850</v>
      </c>
      <c r="Q97" s="132">
        <f t="shared" si="61"/>
        <v>0.10822966642044034</v>
      </c>
      <c r="R97" s="132">
        <f>'Basic Rates'!$D$92</f>
        <v>170.5</v>
      </c>
      <c r="S97" s="132">
        <f t="shared" si="62"/>
        <v>9.2265743273340917E-3</v>
      </c>
      <c r="T97" s="132">
        <f t="shared" si="50"/>
        <v>486.72</v>
      </c>
      <c r="U97" s="133">
        <f t="shared" si="55"/>
        <v>26.16</v>
      </c>
      <c r="V97" s="169">
        <f t="shared" si="56"/>
        <v>812.17</v>
      </c>
      <c r="X97" s="139"/>
    </row>
    <row r="98" spans="1:24" s="137" customFormat="1" ht="2.25" hidden="1" customHeight="1">
      <c r="A98" s="128">
        <f>VLOOKUP(B98,'Basic Rates'!$B$50:$G$133,6,FALSE)</f>
        <v>77</v>
      </c>
      <c r="B98" s="134" t="str">
        <f>'Basic Rates'!B131</f>
        <v>Rock bolts (Φ20 mm) - Expansion Type</v>
      </c>
      <c r="C98" s="135" t="str">
        <f>'Basic Rates'!C131</f>
        <v>m</v>
      </c>
      <c r="D98" s="132">
        <f>VLOOKUP(B98,'Basic Rates'!$B$50:$G$133,3,FALSE)</f>
        <v>0</v>
      </c>
      <c r="E98" s="134" t="str">
        <f>'Basic Rates'!E131</f>
        <v>KATHMANDU</v>
      </c>
      <c r="F98" s="165" t="s">
        <v>605</v>
      </c>
      <c r="G98" s="131">
        <f>VLOOKUP($E98,Distances!$B$5:$C$15,2,FALSE)+$D$4</f>
        <v>283</v>
      </c>
      <c r="H98" s="132">
        <f t="shared" si="51"/>
        <v>23</v>
      </c>
      <c r="I98" s="132">
        <f t="shared" si="52"/>
        <v>40.81</v>
      </c>
      <c r="J98" s="136">
        <f t="shared" si="53"/>
        <v>30.095333333333336</v>
      </c>
      <c r="K98" s="130" t="s">
        <v>110</v>
      </c>
      <c r="L98" s="130">
        <f>(PI()*(20/1000)^2/4*7.85)</f>
        <v>2.4661502330679875E-3</v>
      </c>
      <c r="M98" s="132">
        <f t="shared" si="59"/>
        <v>0</v>
      </c>
      <c r="N98" s="132">
        <f t="shared" si="46"/>
        <v>1100</v>
      </c>
      <c r="O98" s="136">
        <f t="shared" si="60"/>
        <v>1.4796901398407925E-3</v>
      </c>
      <c r="P98" s="132">
        <f t="shared" si="47"/>
        <v>850</v>
      </c>
      <c r="Q98" s="132">
        <f t="shared" si="61"/>
        <v>0.11132941997138816</v>
      </c>
      <c r="R98" s="132">
        <f>'Basic Rates'!$D$92</f>
        <v>170.5</v>
      </c>
      <c r="S98" s="132">
        <f t="shared" si="62"/>
        <v>9.1283071186871716E-3</v>
      </c>
      <c r="T98" s="132">
        <f t="shared" si="50"/>
        <v>486.72</v>
      </c>
      <c r="U98" s="133">
        <f t="shared" si="55"/>
        <v>0</v>
      </c>
      <c r="V98" s="169">
        <f t="shared" si="56"/>
        <v>0</v>
      </c>
      <c r="X98" s="139"/>
    </row>
    <row r="99" spans="1:24" s="137" customFormat="1" hidden="1">
      <c r="A99" s="128">
        <f>VLOOKUP(B99,'Basic Rates'!$B$50:$G$133,6,FALSE)</f>
        <v>78</v>
      </c>
      <c r="B99" s="134" t="str">
        <f>'Basic Rates'!B132</f>
        <v>Rock bolts (Φ25 mm) - Expansion Type</v>
      </c>
      <c r="C99" s="135" t="str">
        <f>'Basic Rates'!C132</f>
        <v>m</v>
      </c>
      <c r="D99" s="132">
        <f>VLOOKUP(B99,'Basic Rates'!$B$50:$G$133,3,FALSE)</f>
        <v>0</v>
      </c>
      <c r="E99" s="134" t="str">
        <f>'Basic Rates'!E132</f>
        <v>KATHMANDU</v>
      </c>
      <c r="F99" s="165" t="s">
        <v>605</v>
      </c>
      <c r="G99" s="131">
        <f>VLOOKUP($E99,Distances!$B$5:$C$15,2,FALSE)+$D$4</f>
        <v>283</v>
      </c>
      <c r="H99" s="132">
        <f t="shared" si="51"/>
        <v>23</v>
      </c>
      <c r="I99" s="132">
        <f t="shared" si="52"/>
        <v>40.81</v>
      </c>
      <c r="J99" s="136">
        <f>2*(G99/$D$9+H99/$D$10+I99/$D$11)</f>
        <v>30.095333333333336</v>
      </c>
      <c r="K99" s="130" t="s">
        <v>110</v>
      </c>
      <c r="L99" s="130">
        <f>(PI()*(25/1000)^2/4*7.85)</f>
        <v>3.8533597391687308E-3</v>
      </c>
      <c r="M99" s="132">
        <f t="shared" si="59"/>
        <v>0</v>
      </c>
      <c r="N99" s="132">
        <f t="shared" si="46"/>
        <v>1100</v>
      </c>
      <c r="O99" s="136">
        <f t="shared" si="60"/>
        <v>2.3120158435012382E-3</v>
      </c>
      <c r="P99" s="132">
        <f t="shared" si="47"/>
        <v>850</v>
      </c>
      <c r="Q99" s="132">
        <f t="shared" si="61"/>
        <v>0.17395221870529401</v>
      </c>
      <c r="R99" s="132">
        <f>'Basic Rates'!$D$92</f>
        <v>170.5</v>
      </c>
      <c r="S99" s="132">
        <f t="shared" si="62"/>
        <v>1.4262979872948708E-2</v>
      </c>
      <c r="T99" s="132">
        <f t="shared" si="50"/>
        <v>486.72</v>
      </c>
      <c r="U99" s="133">
        <f t="shared" si="55"/>
        <v>0</v>
      </c>
      <c r="V99" s="169">
        <f t="shared" si="56"/>
        <v>0</v>
      </c>
      <c r="X99" s="139"/>
    </row>
    <row r="100" spans="1:24" s="137" customFormat="1" ht="15.75" hidden="1" thickBot="1">
      <c r="A100" s="128">
        <f>VLOOKUP(B100,'Basic Rates'!$B$50:$G$133,6,FALSE)</f>
        <v>79</v>
      </c>
      <c r="B100" s="134" t="str">
        <f>'Basic Rates'!B133</f>
        <v>Rock bolts (Φ32 mm) - Expansion Type</v>
      </c>
      <c r="C100" s="135" t="str">
        <f>'Basic Rates'!C133</f>
        <v>m</v>
      </c>
      <c r="D100" s="132">
        <f>VLOOKUP(B100,'Basic Rates'!$B$50:$G$133,3,FALSE)</f>
        <v>0</v>
      </c>
      <c r="E100" s="134" t="str">
        <f>'Basic Rates'!E133</f>
        <v>KATHMANDU</v>
      </c>
      <c r="F100" s="165" t="s">
        <v>605</v>
      </c>
      <c r="G100" s="131">
        <f>VLOOKUP($E100,Distances!$B$5:$C$15,2,FALSE)+$D$4</f>
        <v>283</v>
      </c>
      <c r="H100" s="132">
        <f t="shared" si="51"/>
        <v>23</v>
      </c>
      <c r="I100" s="132">
        <f t="shared" si="52"/>
        <v>40.81</v>
      </c>
      <c r="J100" s="136">
        <f t="shared" si="53"/>
        <v>30.095333333333336</v>
      </c>
      <c r="K100" s="130" t="s">
        <v>110</v>
      </c>
      <c r="L100" s="130">
        <f>(PI()*(32/1000)^2/4*7.85)</f>
        <v>6.3133445966540476E-3</v>
      </c>
      <c r="M100" s="132">
        <f t="shared" si="59"/>
        <v>0</v>
      </c>
      <c r="N100" s="132">
        <f t="shared" si="46"/>
        <v>1100</v>
      </c>
      <c r="O100" s="136">
        <f t="shared" si="60"/>
        <v>3.7880067579924284E-3</v>
      </c>
      <c r="P100" s="132">
        <f t="shared" si="47"/>
        <v>850</v>
      </c>
      <c r="Q100" s="132">
        <f t="shared" si="61"/>
        <v>0.2850033151267537</v>
      </c>
      <c r="R100" s="132">
        <f>'Basic Rates'!$D$92</f>
        <v>170.5</v>
      </c>
      <c r="S100" s="132">
        <f t="shared" si="62"/>
        <v>2.336846622383916E-2</v>
      </c>
      <c r="T100" s="132">
        <f t="shared" si="50"/>
        <v>486.72</v>
      </c>
      <c r="U100" s="133">
        <f t="shared" si="55"/>
        <v>0</v>
      </c>
      <c r="V100" s="169">
        <f t="shared" si="56"/>
        <v>0</v>
      </c>
      <c r="X100" s="139"/>
    </row>
    <row r="101" spans="1:24" s="137" customFormat="1">
      <c r="A101" s="166"/>
      <c r="B101" s="166"/>
      <c r="C101" s="167"/>
      <c r="D101" s="166"/>
      <c r="E101" s="166"/>
      <c r="F101" s="166"/>
      <c r="G101" s="166"/>
      <c r="H101" s="166"/>
      <c r="I101" s="166"/>
      <c r="J101" s="166"/>
      <c r="K101" s="167"/>
      <c r="L101" s="167"/>
      <c r="M101" s="166"/>
      <c r="N101" s="166"/>
      <c r="O101" s="166"/>
      <c r="P101" s="166"/>
      <c r="Q101" s="166"/>
      <c r="R101" s="166"/>
      <c r="S101" s="166"/>
      <c r="T101" s="166"/>
      <c r="U101" s="166"/>
      <c r="V101" s="166"/>
    </row>
    <row r="102" spans="1:24" s="137" customFormat="1">
      <c r="C102" s="138"/>
      <c r="K102" s="138"/>
      <c r="L102" s="138"/>
    </row>
    <row r="103" spans="1:24" s="137" customFormat="1">
      <c r="C103" s="138"/>
      <c r="K103" s="138"/>
      <c r="L103" s="138"/>
    </row>
    <row r="104" spans="1:24" s="137" customFormat="1">
      <c r="B104" s="213"/>
      <c r="C104" s="138"/>
      <c r="K104" s="138"/>
      <c r="L104" s="138"/>
    </row>
    <row r="105" spans="1:24">
      <c r="B105" s="237"/>
    </row>
  </sheetData>
  <mergeCells count="14">
    <mergeCell ref="G15:J15"/>
    <mergeCell ref="A15:A17"/>
    <mergeCell ref="B15:B17"/>
    <mergeCell ref="C15:C17"/>
    <mergeCell ref="D15:D17"/>
    <mergeCell ref="E15:F16"/>
    <mergeCell ref="V15:V17"/>
    <mergeCell ref="L15:L17"/>
    <mergeCell ref="K15:K17"/>
    <mergeCell ref="M15:N15"/>
    <mergeCell ref="O15:P15"/>
    <mergeCell ref="Q15:R15"/>
    <mergeCell ref="S15:T15"/>
    <mergeCell ref="U15:U17"/>
  </mergeCells>
  <pageMargins left="0.7" right="0.7" top="0.75" bottom="0.75" header="0.3" footer="0.3"/>
  <pageSetup paperSize="8" scale="75" orientation="landscape"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Distances!$B$5:$B$19</xm:f>
          </x14:formula1>
          <xm:sqref>E19:E94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238"/>
  <sheetViews>
    <sheetView workbookViewId="0">
      <selection sqref="A1:A2"/>
    </sheetView>
  </sheetViews>
  <sheetFormatPr defaultColWidth="9.140625" defaultRowHeight="15.75"/>
  <cols>
    <col min="1" max="1" width="10.7109375" style="1" customWidth="1"/>
    <col min="2" max="2" width="33" style="1" customWidth="1"/>
    <col min="3" max="3" width="5.28515625" style="71" customWidth="1"/>
    <col min="4" max="4" width="9.140625" style="1"/>
    <col min="5" max="5" width="5.28515625" style="1" customWidth="1"/>
    <col min="6" max="7" width="9.140625" style="1"/>
    <col min="8" max="8" width="10.7109375" style="1" customWidth="1"/>
    <col min="9" max="9" width="18.42578125" style="1" customWidth="1"/>
    <col min="10" max="10" width="5.28515625" style="1" customWidth="1"/>
    <col min="11" max="12" width="9.140625" style="1"/>
    <col min="13" max="13" width="10.7109375" style="1" customWidth="1"/>
    <col min="14" max="14" width="10"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row>
    <row r="3" spans="1:18" ht="15.75" customHeight="1">
      <c r="A3" s="33" t="s">
        <v>23</v>
      </c>
      <c r="B3" s="73" t="s">
        <v>558</v>
      </c>
      <c r="C3" s="65"/>
      <c r="D3" s="31"/>
      <c r="E3" s="31"/>
      <c r="F3" s="31"/>
      <c r="G3" s="31"/>
      <c r="H3" s="31"/>
      <c r="I3" s="31"/>
      <c r="J3" s="31"/>
      <c r="K3" s="31"/>
      <c r="L3" s="31"/>
      <c r="M3" s="31"/>
      <c r="N3" s="31"/>
      <c r="O3" s="31"/>
      <c r="P3" s="31"/>
      <c r="Q3" s="31"/>
      <c r="R3" s="32"/>
    </row>
    <row r="4" spans="1:18" ht="15.75" customHeight="1">
      <c r="A4" s="34">
        <v>1</v>
      </c>
      <c r="B4" s="701" t="s">
        <v>135</v>
      </c>
      <c r="C4" s="66" t="s">
        <v>127</v>
      </c>
      <c r="D4" s="4"/>
      <c r="E4" s="6"/>
      <c r="F4" s="29"/>
      <c r="G4" s="26"/>
      <c r="H4" s="26"/>
      <c r="I4" s="6"/>
      <c r="J4" s="6"/>
      <c r="K4" s="29"/>
      <c r="L4" s="26"/>
      <c r="M4" s="26"/>
      <c r="N4" s="6"/>
      <c r="O4" s="6"/>
      <c r="P4" s="29"/>
      <c r="Q4" s="26"/>
      <c r="R4" s="26"/>
    </row>
    <row r="5" spans="1:18">
      <c r="A5" s="2"/>
      <c r="B5" s="702"/>
      <c r="C5" s="66"/>
      <c r="D5" s="4" t="s">
        <v>97</v>
      </c>
      <c r="E5" s="6" t="s">
        <v>81</v>
      </c>
      <c r="F5" s="29">
        <v>0.03</v>
      </c>
      <c r="G5" s="26">
        <f>ur</f>
        <v>850</v>
      </c>
      <c r="H5" s="26">
        <f>F5*G5</f>
        <v>25.5</v>
      </c>
      <c r="I5" s="7"/>
      <c r="J5" s="8"/>
      <c r="K5" s="29"/>
      <c r="L5" s="28"/>
      <c r="M5" s="28"/>
      <c r="N5" s="8" t="s">
        <v>128</v>
      </c>
      <c r="O5" s="6"/>
      <c r="P5" s="29"/>
      <c r="Q5" s="28"/>
      <c r="R5" s="28">
        <f>3%*H12</f>
        <v>0.76500000000000001</v>
      </c>
    </row>
    <row r="6" spans="1:18">
      <c r="A6" s="2"/>
      <c r="B6" s="702"/>
      <c r="C6" s="66"/>
      <c r="D6" s="4"/>
      <c r="E6" s="6"/>
      <c r="F6" s="29"/>
      <c r="G6" s="26"/>
      <c r="H6" s="26"/>
      <c r="I6" s="7"/>
      <c r="J6" s="8"/>
      <c r="K6" s="29"/>
      <c r="L6" s="28"/>
      <c r="M6" s="28"/>
      <c r="N6" s="8"/>
      <c r="O6" s="6"/>
      <c r="P6" s="29"/>
      <c r="Q6" s="28"/>
      <c r="R6" s="28"/>
    </row>
    <row r="7" spans="1:18">
      <c r="A7" s="2"/>
      <c r="B7" s="702"/>
      <c r="C7" s="66"/>
      <c r="D7" s="4"/>
      <c r="E7" s="6"/>
      <c r="F7" s="29"/>
      <c r="G7" s="26"/>
      <c r="H7" s="26"/>
      <c r="I7" s="7"/>
      <c r="J7" s="8"/>
      <c r="K7" s="29"/>
      <c r="L7" s="28"/>
      <c r="M7" s="28"/>
      <c r="N7" s="8"/>
      <c r="O7" s="6"/>
      <c r="P7" s="29"/>
      <c r="Q7" s="28"/>
      <c r="R7" s="28"/>
    </row>
    <row r="8" spans="1:18">
      <c r="A8" s="2"/>
      <c r="B8" s="702"/>
      <c r="C8" s="66"/>
      <c r="D8" s="4"/>
      <c r="E8" s="6"/>
      <c r="F8" s="29"/>
      <c r="G8" s="26"/>
      <c r="H8" s="26"/>
      <c r="I8" s="7"/>
      <c r="J8" s="8"/>
      <c r="K8" s="29"/>
      <c r="L8" s="28"/>
      <c r="M8" s="28"/>
      <c r="N8" s="8"/>
      <c r="O8" s="6"/>
      <c r="P8" s="29"/>
      <c r="Q8" s="28"/>
      <c r="R8" s="28"/>
    </row>
    <row r="9" spans="1:18">
      <c r="A9" s="2"/>
      <c r="B9" s="702"/>
      <c r="C9" s="66"/>
      <c r="D9" s="4"/>
      <c r="E9" s="6"/>
      <c r="F9" s="29"/>
      <c r="G9" s="26"/>
      <c r="H9" s="26"/>
      <c r="I9" s="7"/>
      <c r="J9" s="8"/>
      <c r="K9" s="29"/>
      <c r="L9" s="28"/>
      <c r="M9" s="28"/>
      <c r="N9" s="8"/>
      <c r="O9" s="6"/>
      <c r="P9" s="29"/>
      <c r="Q9" s="28"/>
      <c r="R9" s="28"/>
    </row>
    <row r="10" spans="1:18">
      <c r="A10" s="2"/>
      <c r="B10" s="702"/>
      <c r="C10" s="66"/>
      <c r="D10" s="4"/>
      <c r="E10" s="6"/>
      <c r="F10" s="29"/>
      <c r="G10" s="26"/>
      <c r="H10" s="26"/>
      <c r="I10" s="7"/>
      <c r="J10" s="8"/>
      <c r="K10" s="29"/>
      <c r="L10" s="28"/>
      <c r="M10" s="28"/>
      <c r="N10" s="8"/>
      <c r="O10" s="6"/>
      <c r="P10" s="29"/>
      <c r="Q10" s="28"/>
      <c r="R10" s="28"/>
    </row>
    <row r="11" spans="1:18">
      <c r="A11" s="2"/>
      <c r="B11" s="5"/>
      <c r="C11" s="66"/>
      <c r="D11" s="4"/>
      <c r="E11" s="9"/>
      <c r="F11" s="30"/>
      <c r="G11" s="27"/>
      <c r="H11" s="27"/>
      <c r="I11" s="9"/>
      <c r="J11" s="10"/>
      <c r="K11" s="30"/>
      <c r="L11" s="28"/>
      <c r="M11" s="28"/>
      <c r="N11" s="8"/>
      <c r="O11" s="6"/>
      <c r="P11" s="30"/>
      <c r="Q11" s="28"/>
      <c r="R11" s="28"/>
    </row>
    <row r="12" spans="1:18">
      <c r="A12" s="2"/>
      <c r="B12" s="11"/>
      <c r="C12" s="66"/>
      <c r="D12" s="12"/>
      <c r="E12" s="59"/>
      <c r="F12" s="13"/>
      <c r="G12" s="13" t="s">
        <v>20</v>
      </c>
      <c r="H12" s="25">
        <f>SUM(H4:H11)</f>
        <v>25.5</v>
      </c>
      <c r="I12" s="703"/>
      <c r="J12" s="703"/>
      <c r="K12" s="14"/>
      <c r="L12" s="13" t="s">
        <v>21</v>
      </c>
      <c r="M12" s="25">
        <f>SUM(M4:M11)</f>
        <v>0</v>
      </c>
      <c r="N12" s="3"/>
      <c r="O12" s="14"/>
      <c r="P12" s="14"/>
      <c r="Q12" s="13" t="s">
        <v>22</v>
      </c>
      <c r="R12" s="25">
        <f>SUM(R4:R11)</f>
        <v>0.76500000000000001</v>
      </c>
    </row>
    <row r="13" spans="1:18">
      <c r="A13" s="2"/>
      <c r="B13" s="16" t="s">
        <v>13</v>
      </c>
      <c r="C13" s="67"/>
      <c r="D13" s="14"/>
      <c r="E13" s="14"/>
      <c r="F13" s="14"/>
      <c r="G13" s="13"/>
      <c r="H13" s="35">
        <f>M12+R12+H12</f>
        <v>26.265000000000001</v>
      </c>
      <c r="I13" s="17"/>
      <c r="J13" s="14"/>
      <c r="K13" s="14"/>
      <c r="L13" s="13"/>
      <c r="M13" s="15"/>
      <c r="N13" s="14"/>
      <c r="O13" s="14"/>
      <c r="P13" s="14"/>
      <c r="Q13" s="14"/>
      <c r="R13" s="17"/>
    </row>
    <row r="14" spans="1:18">
      <c r="A14" s="2"/>
      <c r="B14" s="11" t="s">
        <v>25</v>
      </c>
      <c r="C14" s="68"/>
      <c r="D14" s="4"/>
      <c r="E14" s="4"/>
      <c r="F14" s="4"/>
      <c r="G14" s="18"/>
      <c r="H14" s="36">
        <v>0</v>
      </c>
      <c r="I14" s="20"/>
      <c r="J14" s="4" t="s">
        <v>26</v>
      </c>
      <c r="K14" s="4"/>
      <c r="L14" s="18"/>
      <c r="M14" s="19"/>
      <c r="N14" s="4"/>
      <c r="O14" s="4"/>
      <c r="P14" s="4"/>
      <c r="Q14" s="4"/>
      <c r="R14" s="20"/>
    </row>
    <row r="15" spans="1:18">
      <c r="A15" s="23"/>
      <c r="B15" s="11" t="s">
        <v>14</v>
      </c>
      <c r="C15" s="68"/>
      <c r="D15" s="4"/>
      <c r="E15" s="4"/>
      <c r="F15" s="4"/>
      <c r="G15" s="18"/>
      <c r="H15" s="36">
        <f>SUM(H13:H14)</f>
        <v>26.265000000000001</v>
      </c>
      <c r="I15" s="20"/>
      <c r="J15" s="704"/>
      <c r="K15" s="705"/>
      <c r="L15" s="705"/>
      <c r="M15" s="705"/>
      <c r="N15" s="705"/>
      <c r="O15" s="705"/>
      <c r="P15" s="705"/>
      <c r="Q15" s="705"/>
      <c r="R15" s="706"/>
    </row>
    <row r="16" spans="1:18">
      <c r="A16" s="23"/>
      <c r="B16" s="11" t="s">
        <v>24</v>
      </c>
      <c r="C16" s="68"/>
      <c r="D16" s="4"/>
      <c r="E16" s="4"/>
      <c r="F16" s="4"/>
      <c r="G16" s="18"/>
      <c r="H16" s="36">
        <f>H15*15%</f>
        <v>3.9397500000000001</v>
      </c>
      <c r="I16" s="20"/>
      <c r="J16" s="707"/>
      <c r="K16" s="708"/>
      <c r="L16" s="708"/>
      <c r="M16" s="708"/>
      <c r="N16" s="708"/>
      <c r="O16" s="708"/>
      <c r="P16" s="708"/>
      <c r="Q16" s="708"/>
      <c r="R16" s="709"/>
    </row>
    <row r="17" spans="1:18">
      <c r="A17" s="23"/>
      <c r="B17" s="11" t="s">
        <v>15</v>
      </c>
      <c r="C17" s="68"/>
      <c r="D17" s="4"/>
      <c r="E17" s="4"/>
      <c r="F17" s="4"/>
      <c r="G17" s="21" t="s">
        <v>16</v>
      </c>
      <c r="H17" s="37">
        <f>H16+H15</f>
        <v>30.204750000000001</v>
      </c>
      <c r="I17" s="38" t="str">
        <f>CONCATENATE("per ",C4)</f>
        <v>per sqm</v>
      </c>
      <c r="J17" s="707"/>
      <c r="K17" s="708"/>
      <c r="L17" s="708"/>
      <c r="M17" s="708"/>
      <c r="N17" s="708"/>
      <c r="O17" s="708"/>
      <c r="P17" s="708"/>
      <c r="Q17" s="708"/>
      <c r="R17" s="709"/>
    </row>
    <row r="18" spans="1:18">
      <c r="A18" s="23"/>
      <c r="B18" s="11" t="s">
        <v>18</v>
      </c>
      <c r="C18" s="125" t="s">
        <v>19</v>
      </c>
      <c r="D18" s="4"/>
      <c r="E18" s="4"/>
      <c r="F18" s="4"/>
      <c r="G18" s="21" t="s">
        <v>16</v>
      </c>
      <c r="H18" s="37">
        <f>CEILING(H17,0.5)</f>
        <v>30.5</v>
      </c>
      <c r="I18" s="38" t="str">
        <f>CONCATENATE("per ",C4)</f>
        <v>per sqm</v>
      </c>
      <c r="J18" s="707"/>
      <c r="K18" s="708"/>
      <c r="L18" s="708"/>
      <c r="M18" s="708"/>
      <c r="N18" s="708"/>
      <c r="O18" s="708"/>
      <c r="P18" s="708"/>
      <c r="Q18" s="708"/>
      <c r="R18" s="709"/>
    </row>
    <row r="19" spans="1:18">
      <c r="A19" s="23"/>
      <c r="B19" s="11"/>
      <c r="C19" s="68"/>
      <c r="D19" s="4"/>
      <c r="E19" s="4"/>
      <c r="F19" s="4"/>
      <c r="G19" s="24" t="s">
        <v>17</v>
      </c>
      <c r="H19" s="37">
        <f>H18/exr</f>
        <v>0.23461538461538461</v>
      </c>
      <c r="I19" s="38" t="str">
        <f>CONCATENATE("per ",C4)</f>
        <v>per sqm</v>
      </c>
      <c r="J19" s="710"/>
      <c r="K19" s="711"/>
      <c r="L19" s="711"/>
      <c r="M19" s="711"/>
      <c r="N19" s="711"/>
      <c r="O19" s="711"/>
      <c r="P19" s="711"/>
      <c r="Q19" s="711"/>
      <c r="R19" s="712"/>
    </row>
    <row r="20" spans="1:18">
      <c r="A20" s="39"/>
      <c r="B20" s="40"/>
      <c r="C20" s="69"/>
      <c r="D20" s="41"/>
      <c r="E20" s="41"/>
      <c r="F20" s="41"/>
      <c r="G20" s="149" t="s">
        <v>460</v>
      </c>
      <c r="H20" s="150">
        <f>CEILING(0,0.0025)</f>
        <v>0</v>
      </c>
      <c r="I20" s="42"/>
      <c r="J20" s="43"/>
      <c r="K20" s="43"/>
      <c r="L20" s="43"/>
      <c r="M20" s="43"/>
      <c r="N20" s="43"/>
      <c r="O20" s="43"/>
      <c r="P20" s="43"/>
      <c r="Q20" s="43"/>
      <c r="R20" s="44"/>
    </row>
    <row r="21" spans="1:18">
      <c r="A21" s="22"/>
      <c r="B21" s="22"/>
      <c r="C21" s="70"/>
      <c r="D21" s="22"/>
      <c r="E21" s="22"/>
      <c r="F21" s="22"/>
      <c r="G21" s="22"/>
      <c r="H21" s="22"/>
      <c r="I21" s="22"/>
      <c r="J21" s="22"/>
      <c r="K21" s="22"/>
      <c r="L21" s="22"/>
      <c r="M21" s="22"/>
      <c r="N21" s="22"/>
      <c r="O21" s="22"/>
      <c r="P21" s="22"/>
      <c r="Q21" s="22"/>
      <c r="R21" s="22"/>
    </row>
    <row r="22" spans="1:18">
      <c r="A22" s="693" t="s">
        <v>0</v>
      </c>
      <c r="B22" s="695" t="s">
        <v>1</v>
      </c>
      <c r="C22" s="695" t="s">
        <v>2</v>
      </c>
      <c r="D22" s="697" t="s">
        <v>3</v>
      </c>
      <c r="E22" s="698"/>
      <c r="F22" s="698"/>
      <c r="G22" s="698"/>
      <c r="H22" s="698"/>
      <c r="I22" s="699" t="s">
        <v>4</v>
      </c>
      <c r="J22" s="700"/>
      <c r="K22" s="700"/>
      <c r="L22" s="700"/>
      <c r="M22" s="700"/>
      <c r="N22" s="698" t="s">
        <v>5</v>
      </c>
      <c r="O22" s="698"/>
      <c r="P22" s="698"/>
      <c r="Q22" s="698"/>
      <c r="R22" s="698"/>
    </row>
    <row r="23" spans="1:18">
      <c r="A23" s="694"/>
      <c r="B23" s="696"/>
      <c r="C23" s="696"/>
      <c r="D23" s="45" t="s">
        <v>6</v>
      </c>
      <c r="E23" s="46" t="s">
        <v>2</v>
      </c>
      <c r="F23" s="46" t="s">
        <v>7</v>
      </c>
      <c r="G23" s="46" t="s">
        <v>8</v>
      </c>
      <c r="H23" s="46" t="s">
        <v>9</v>
      </c>
      <c r="I23" s="46" t="s">
        <v>10</v>
      </c>
      <c r="J23" s="46" t="s">
        <v>2</v>
      </c>
      <c r="K23" s="46" t="s">
        <v>7</v>
      </c>
      <c r="L23" s="46" t="s">
        <v>8</v>
      </c>
      <c r="M23" s="47" t="s">
        <v>9</v>
      </c>
      <c r="N23" s="46" t="s">
        <v>10</v>
      </c>
      <c r="O23" s="46" t="s">
        <v>2</v>
      </c>
      <c r="P23" s="46" t="s">
        <v>7</v>
      </c>
      <c r="Q23" s="46" t="s">
        <v>8</v>
      </c>
      <c r="R23" s="46" t="s">
        <v>9</v>
      </c>
    </row>
    <row r="24" spans="1:18">
      <c r="A24" s="33" t="s">
        <v>23</v>
      </c>
      <c r="B24" s="73" t="s">
        <v>559</v>
      </c>
      <c r="C24" s="65"/>
      <c r="D24" s="31"/>
      <c r="E24" s="31"/>
      <c r="F24" s="31"/>
      <c r="G24" s="31"/>
      <c r="H24" s="31"/>
      <c r="I24" s="31"/>
      <c r="J24" s="31"/>
      <c r="K24" s="31"/>
      <c r="L24" s="31"/>
      <c r="M24" s="31"/>
      <c r="N24" s="31"/>
      <c r="O24" s="31"/>
      <c r="P24" s="31"/>
      <c r="Q24" s="31"/>
      <c r="R24" s="32"/>
    </row>
    <row r="25" spans="1:18">
      <c r="A25" s="34">
        <f>A4+1</f>
        <v>2</v>
      </c>
      <c r="B25" s="701" t="s">
        <v>136</v>
      </c>
      <c r="C25" s="66" t="s">
        <v>127</v>
      </c>
      <c r="D25" s="4"/>
      <c r="E25" s="6"/>
      <c r="F25" s="29"/>
      <c r="G25" s="26"/>
      <c r="H25" s="26"/>
      <c r="I25" s="6"/>
      <c r="J25" s="6"/>
      <c r="K25" s="29"/>
      <c r="L25" s="26"/>
      <c r="M25" s="26"/>
      <c r="N25" s="6"/>
      <c r="O25" s="6"/>
      <c r="P25" s="29"/>
      <c r="Q25" s="26"/>
      <c r="R25" s="26"/>
    </row>
    <row r="26" spans="1:18">
      <c r="A26" s="2"/>
      <c r="B26" s="702"/>
      <c r="C26" s="66"/>
      <c r="D26" s="4" t="s">
        <v>97</v>
      </c>
      <c r="E26" s="6" t="s">
        <v>81</v>
      </c>
      <c r="F26" s="29">
        <v>0.04</v>
      </c>
      <c r="G26" s="26">
        <f>ur</f>
        <v>850</v>
      </c>
      <c r="H26" s="26">
        <f>F26*G26</f>
        <v>34</v>
      </c>
      <c r="I26" s="7"/>
      <c r="J26" s="8"/>
      <c r="K26" s="29"/>
      <c r="L26" s="28"/>
      <c r="M26" s="28"/>
      <c r="N26" s="8" t="s">
        <v>128</v>
      </c>
      <c r="O26" s="6"/>
      <c r="P26" s="29"/>
      <c r="Q26" s="28"/>
      <c r="R26" s="28">
        <f>3%*H33</f>
        <v>1.02</v>
      </c>
    </row>
    <row r="27" spans="1:18">
      <c r="A27" s="2"/>
      <c r="B27" s="702"/>
      <c r="C27" s="66"/>
      <c r="D27" s="4"/>
      <c r="E27" s="6"/>
      <c r="F27" s="29"/>
      <c r="G27" s="26"/>
      <c r="H27" s="26"/>
      <c r="I27" s="7"/>
      <c r="J27" s="8"/>
      <c r="K27" s="29"/>
      <c r="L27" s="28"/>
      <c r="M27" s="28"/>
      <c r="N27" s="8"/>
      <c r="O27" s="6"/>
      <c r="P27" s="29"/>
      <c r="Q27" s="28"/>
      <c r="R27" s="28"/>
    </row>
    <row r="28" spans="1:18">
      <c r="A28" s="2"/>
      <c r="B28" s="702"/>
      <c r="C28" s="66"/>
      <c r="D28" s="4"/>
      <c r="E28" s="6"/>
      <c r="F28" s="29"/>
      <c r="G28" s="26"/>
      <c r="H28" s="26"/>
      <c r="I28" s="7"/>
      <c r="J28" s="8"/>
      <c r="K28" s="29"/>
      <c r="L28" s="28"/>
      <c r="M28" s="28"/>
      <c r="N28" s="8"/>
      <c r="O28" s="6"/>
      <c r="P28" s="29"/>
      <c r="Q28" s="28"/>
      <c r="R28" s="28"/>
    </row>
    <row r="29" spans="1:18">
      <c r="A29" s="2"/>
      <c r="B29" s="702"/>
      <c r="C29" s="66"/>
      <c r="D29" s="4"/>
      <c r="E29" s="6"/>
      <c r="F29" s="29"/>
      <c r="G29" s="26"/>
      <c r="H29" s="26"/>
      <c r="I29" s="7"/>
      <c r="J29" s="8"/>
      <c r="K29" s="29"/>
      <c r="L29" s="28"/>
      <c r="M29" s="28"/>
      <c r="N29" s="8"/>
      <c r="O29" s="6"/>
      <c r="P29" s="29"/>
      <c r="Q29" s="28"/>
      <c r="R29" s="28"/>
    </row>
    <row r="30" spans="1:18">
      <c r="A30" s="2"/>
      <c r="B30" s="702"/>
      <c r="C30" s="66"/>
      <c r="D30" s="4"/>
      <c r="E30" s="6"/>
      <c r="F30" s="29"/>
      <c r="G30" s="26"/>
      <c r="H30" s="26"/>
      <c r="I30" s="7"/>
      <c r="J30" s="8"/>
      <c r="K30" s="29"/>
      <c r="L30" s="28"/>
      <c r="M30" s="28"/>
      <c r="N30" s="8"/>
      <c r="O30" s="6"/>
      <c r="P30" s="29"/>
      <c r="Q30" s="28"/>
      <c r="R30" s="28"/>
    </row>
    <row r="31" spans="1:18">
      <c r="A31" s="2"/>
      <c r="B31" s="702"/>
      <c r="C31" s="66"/>
      <c r="D31" s="4"/>
      <c r="E31" s="6"/>
      <c r="F31" s="29"/>
      <c r="G31" s="26"/>
      <c r="H31" s="26"/>
      <c r="I31" s="7"/>
      <c r="J31" s="8"/>
      <c r="K31" s="29"/>
      <c r="L31" s="28"/>
      <c r="M31" s="28"/>
      <c r="N31" s="8"/>
      <c r="O31" s="6"/>
      <c r="P31" s="29"/>
      <c r="Q31" s="28"/>
      <c r="R31" s="28"/>
    </row>
    <row r="32" spans="1:18">
      <c r="A32" s="2"/>
      <c r="B32" s="5"/>
      <c r="C32" s="66"/>
      <c r="D32" s="4"/>
      <c r="E32" s="9"/>
      <c r="F32" s="30"/>
      <c r="G32" s="27"/>
      <c r="H32" s="27"/>
      <c r="I32" s="9"/>
      <c r="J32" s="10"/>
      <c r="K32" s="30"/>
      <c r="L32" s="28"/>
      <c r="M32" s="28"/>
      <c r="N32" s="8"/>
      <c r="O32" s="6"/>
      <c r="P32" s="30"/>
      <c r="Q32" s="28"/>
      <c r="R32" s="28"/>
    </row>
    <row r="33" spans="1:18">
      <c r="A33" s="2"/>
      <c r="B33" s="11"/>
      <c r="C33" s="66"/>
      <c r="D33" s="12"/>
      <c r="E33" s="59"/>
      <c r="F33" s="13"/>
      <c r="G33" s="13" t="s">
        <v>20</v>
      </c>
      <c r="H33" s="25">
        <f>SUM(H25:H32)</f>
        <v>34</v>
      </c>
      <c r="I33" s="703"/>
      <c r="J33" s="703"/>
      <c r="K33" s="14"/>
      <c r="L33" s="13" t="s">
        <v>21</v>
      </c>
      <c r="M33" s="25">
        <f>SUM(M25:M32)</f>
        <v>0</v>
      </c>
      <c r="N33" s="3"/>
      <c r="O33" s="14"/>
      <c r="P33" s="14"/>
      <c r="Q33" s="13" t="s">
        <v>22</v>
      </c>
      <c r="R33" s="25">
        <f>SUM(R25:R32)</f>
        <v>1.02</v>
      </c>
    </row>
    <row r="34" spans="1:18">
      <c r="A34" s="2"/>
      <c r="B34" s="16" t="s">
        <v>13</v>
      </c>
      <c r="C34" s="67"/>
      <c r="D34" s="14"/>
      <c r="E34" s="14"/>
      <c r="F34" s="14"/>
      <c r="G34" s="13"/>
      <c r="H34" s="35">
        <f>M33+R33+H33</f>
        <v>35.020000000000003</v>
      </c>
      <c r="I34" s="17"/>
      <c r="J34" s="14"/>
      <c r="K34" s="14"/>
      <c r="L34" s="13"/>
      <c r="M34" s="15"/>
      <c r="N34" s="14"/>
      <c r="O34" s="14"/>
      <c r="P34" s="14"/>
      <c r="Q34" s="14"/>
      <c r="R34" s="17"/>
    </row>
    <row r="35" spans="1:18">
      <c r="A35" s="2"/>
      <c r="B35" s="11" t="s">
        <v>25</v>
      </c>
      <c r="C35" s="68"/>
      <c r="D35" s="4"/>
      <c r="E35" s="4"/>
      <c r="F35" s="4"/>
      <c r="G35" s="18"/>
      <c r="H35" s="36">
        <v>0</v>
      </c>
      <c r="I35" s="20"/>
      <c r="J35" s="4" t="s">
        <v>26</v>
      </c>
      <c r="K35" s="4"/>
      <c r="L35" s="18"/>
      <c r="M35" s="19"/>
      <c r="N35" s="4"/>
      <c r="O35" s="4"/>
      <c r="P35" s="4"/>
      <c r="Q35" s="4"/>
      <c r="R35" s="20"/>
    </row>
    <row r="36" spans="1:18">
      <c r="A36" s="23"/>
      <c r="B36" s="11" t="s">
        <v>14</v>
      </c>
      <c r="C36" s="68"/>
      <c r="D36" s="4"/>
      <c r="E36" s="4"/>
      <c r="F36" s="4"/>
      <c r="G36" s="18"/>
      <c r="H36" s="36">
        <f>SUM(H34:H35)</f>
        <v>35.020000000000003</v>
      </c>
      <c r="I36" s="20"/>
      <c r="J36" s="704"/>
      <c r="K36" s="705"/>
      <c r="L36" s="705"/>
      <c r="M36" s="705"/>
      <c r="N36" s="705"/>
      <c r="O36" s="705"/>
      <c r="P36" s="705"/>
      <c r="Q36" s="705"/>
      <c r="R36" s="706"/>
    </row>
    <row r="37" spans="1:18">
      <c r="A37" s="23"/>
      <c r="B37" s="11" t="s">
        <v>24</v>
      </c>
      <c r="C37" s="68"/>
      <c r="D37" s="4"/>
      <c r="E37" s="4"/>
      <c r="F37" s="4"/>
      <c r="G37" s="18"/>
      <c r="H37" s="36">
        <f>H36*15%</f>
        <v>5.2530000000000001</v>
      </c>
      <c r="I37" s="20"/>
      <c r="J37" s="707"/>
      <c r="K37" s="708"/>
      <c r="L37" s="708"/>
      <c r="M37" s="708"/>
      <c r="N37" s="708"/>
      <c r="O37" s="708"/>
      <c r="P37" s="708"/>
      <c r="Q37" s="708"/>
      <c r="R37" s="709"/>
    </row>
    <row r="38" spans="1:18">
      <c r="A38" s="23"/>
      <c r="B38" s="11" t="s">
        <v>15</v>
      </c>
      <c r="C38" s="68"/>
      <c r="D38" s="4"/>
      <c r="E38" s="4"/>
      <c r="F38" s="4"/>
      <c r="G38" s="21" t="s">
        <v>16</v>
      </c>
      <c r="H38" s="37">
        <f>H37+H36</f>
        <v>40.273000000000003</v>
      </c>
      <c r="I38" s="38" t="str">
        <f>CONCATENATE("per ",C25)</f>
        <v>per sqm</v>
      </c>
      <c r="J38" s="707"/>
      <c r="K38" s="708"/>
      <c r="L38" s="708"/>
      <c r="M38" s="708"/>
      <c r="N38" s="708"/>
      <c r="O38" s="708"/>
      <c r="P38" s="708"/>
      <c r="Q38" s="708"/>
      <c r="R38" s="709"/>
    </row>
    <row r="39" spans="1:18">
      <c r="A39" s="23"/>
      <c r="B39" s="11" t="s">
        <v>18</v>
      </c>
      <c r="C39" s="125" t="s">
        <v>19</v>
      </c>
      <c r="D39" s="4"/>
      <c r="E39" s="4"/>
      <c r="F39" s="4"/>
      <c r="G39" s="21" t="s">
        <v>16</v>
      </c>
      <c r="H39" s="37">
        <f>CEILING(H38,0.5)</f>
        <v>40.5</v>
      </c>
      <c r="I39" s="38" t="str">
        <f>CONCATENATE("per ",C25)</f>
        <v>per sqm</v>
      </c>
      <c r="J39" s="707"/>
      <c r="K39" s="708"/>
      <c r="L39" s="708"/>
      <c r="M39" s="708"/>
      <c r="N39" s="708"/>
      <c r="O39" s="708"/>
      <c r="P39" s="708"/>
      <c r="Q39" s="708"/>
      <c r="R39" s="709"/>
    </row>
    <row r="40" spans="1:18">
      <c r="A40" s="23"/>
      <c r="B40" s="11"/>
      <c r="C40" s="68"/>
      <c r="D40" s="4"/>
      <c r="E40" s="4"/>
      <c r="F40" s="4"/>
      <c r="G40" s="24" t="s">
        <v>17</v>
      </c>
      <c r="H40" s="37">
        <f>H39/exr</f>
        <v>0.31153846153846154</v>
      </c>
      <c r="I40" s="38" t="str">
        <f>CONCATENATE("per ",C25)</f>
        <v>per sqm</v>
      </c>
      <c r="J40" s="710"/>
      <c r="K40" s="711"/>
      <c r="L40" s="711"/>
      <c r="M40" s="711"/>
      <c r="N40" s="711"/>
      <c r="O40" s="711"/>
      <c r="P40" s="711"/>
      <c r="Q40" s="711"/>
      <c r="R40" s="712"/>
    </row>
    <row r="41" spans="1:18">
      <c r="A41" s="39"/>
      <c r="B41" s="40"/>
      <c r="C41" s="69"/>
      <c r="D41" s="41"/>
      <c r="E41" s="41"/>
      <c r="F41" s="41"/>
      <c r="G41" s="149" t="s">
        <v>460</v>
      </c>
      <c r="H41" s="150">
        <f>CEILING(0,0.0025)</f>
        <v>0</v>
      </c>
      <c r="I41" s="42"/>
      <c r="J41" s="43"/>
      <c r="K41" s="43"/>
      <c r="L41" s="43"/>
      <c r="M41" s="43"/>
      <c r="N41" s="43"/>
      <c r="O41" s="43"/>
      <c r="P41" s="43"/>
      <c r="Q41" s="43"/>
      <c r="R41" s="44"/>
    </row>
    <row r="43" spans="1:18">
      <c r="A43" s="693" t="s">
        <v>0</v>
      </c>
      <c r="B43" s="695" t="s">
        <v>1</v>
      </c>
      <c r="C43" s="695" t="s">
        <v>2</v>
      </c>
      <c r="D43" s="697" t="s">
        <v>3</v>
      </c>
      <c r="E43" s="698"/>
      <c r="F43" s="698"/>
      <c r="G43" s="698"/>
      <c r="H43" s="698"/>
      <c r="I43" s="699" t="s">
        <v>4</v>
      </c>
      <c r="J43" s="700"/>
      <c r="K43" s="700"/>
      <c r="L43" s="700"/>
      <c r="M43" s="700"/>
      <c r="N43" s="698" t="s">
        <v>5</v>
      </c>
      <c r="O43" s="698"/>
      <c r="P43" s="698"/>
      <c r="Q43" s="698"/>
      <c r="R43" s="698"/>
    </row>
    <row r="44" spans="1:18">
      <c r="A44" s="694"/>
      <c r="B44" s="696"/>
      <c r="C44" s="696"/>
      <c r="D44" s="45" t="s">
        <v>6</v>
      </c>
      <c r="E44" s="46" t="s">
        <v>2</v>
      </c>
      <c r="F44" s="46" t="s">
        <v>7</v>
      </c>
      <c r="G44" s="46" t="s">
        <v>8</v>
      </c>
      <c r="H44" s="46" t="s">
        <v>9</v>
      </c>
      <c r="I44" s="46" t="s">
        <v>10</v>
      </c>
      <c r="J44" s="46" t="s">
        <v>2</v>
      </c>
      <c r="K44" s="46" t="s">
        <v>7</v>
      </c>
      <c r="L44" s="46" t="s">
        <v>8</v>
      </c>
      <c r="M44" s="47" t="s">
        <v>9</v>
      </c>
      <c r="N44" s="46" t="s">
        <v>10</v>
      </c>
      <c r="O44" s="46" t="s">
        <v>2</v>
      </c>
      <c r="P44" s="46" t="s">
        <v>7</v>
      </c>
      <c r="Q44" s="46" t="s">
        <v>8</v>
      </c>
      <c r="R44" s="46" t="s">
        <v>9</v>
      </c>
    </row>
    <row r="45" spans="1:18">
      <c r="A45" s="33" t="s">
        <v>23</v>
      </c>
      <c r="B45" s="73">
        <v>2.02</v>
      </c>
      <c r="C45" s="65"/>
      <c r="D45" s="31"/>
      <c r="E45" s="31"/>
      <c r="F45" s="31"/>
      <c r="G45" s="31"/>
      <c r="H45" s="31"/>
      <c r="I45" s="31"/>
      <c r="J45" s="31"/>
      <c r="K45" s="31"/>
      <c r="L45" s="31"/>
      <c r="M45" s="31"/>
      <c r="N45" s="31"/>
      <c r="O45" s="31"/>
      <c r="P45" s="31"/>
      <c r="Q45" s="31"/>
      <c r="R45" s="32"/>
    </row>
    <row r="46" spans="1:18">
      <c r="A46" s="34">
        <f>A25+1</f>
        <v>3</v>
      </c>
      <c r="B46" s="713" t="s">
        <v>131</v>
      </c>
      <c r="C46" s="66" t="s">
        <v>127</v>
      </c>
      <c r="D46" s="4"/>
      <c r="E46" s="6"/>
      <c r="F46" s="29"/>
      <c r="G46" s="26"/>
      <c r="H46" s="26"/>
      <c r="I46" s="6"/>
      <c r="J46" s="6"/>
      <c r="K46" s="29"/>
      <c r="L46" s="26"/>
      <c r="M46" s="26"/>
      <c r="N46" s="6"/>
      <c r="O46" s="6"/>
      <c r="P46" s="29"/>
      <c r="Q46" s="26"/>
      <c r="R46" s="26"/>
    </row>
    <row r="47" spans="1:18">
      <c r="A47" s="2"/>
      <c r="B47" s="714"/>
      <c r="C47" s="66"/>
      <c r="D47" s="4" t="s">
        <v>97</v>
      </c>
      <c r="E47" s="6" t="s">
        <v>81</v>
      </c>
      <c r="F47" s="29">
        <v>2.3E-2</v>
      </c>
      <c r="G47" s="26">
        <f>ur</f>
        <v>850</v>
      </c>
      <c r="H47" s="26">
        <f>F47*G47</f>
        <v>19.55</v>
      </c>
      <c r="I47" s="7"/>
      <c r="J47" s="8"/>
      <c r="K47" s="29"/>
      <c r="L47" s="28"/>
      <c r="M47" s="28"/>
      <c r="N47" s="8" t="s">
        <v>128</v>
      </c>
      <c r="O47" s="6"/>
      <c r="P47" s="29"/>
      <c r="Q47" s="28"/>
      <c r="R47" s="28">
        <f>3%*H51</f>
        <v>0.58650000000000002</v>
      </c>
    </row>
    <row r="48" spans="1:18">
      <c r="A48" s="2"/>
      <c r="B48" s="714"/>
      <c r="C48" s="66"/>
      <c r="D48" s="4"/>
      <c r="E48" s="6"/>
      <c r="F48" s="29"/>
      <c r="G48" s="26"/>
      <c r="H48" s="26"/>
      <c r="I48" s="7"/>
      <c r="J48" s="8"/>
      <c r="K48" s="29"/>
      <c r="L48" s="28"/>
      <c r="M48" s="28"/>
      <c r="N48" s="8"/>
      <c r="O48" s="6"/>
      <c r="P48" s="29"/>
      <c r="Q48" s="28"/>
      <c r="R48" s="28"/>
    </row>
    <row r="49" spans="1:18">
      <c r="A49" s="2"/>
      <c r="B49" s="714"/>
      <c r="C49" s="66"/>
      <c r="D49" s="4"/>
      <c r="E49" s="6"/>
      <c r="F49" s="29"/>
      <c r="G49" s="26"/>
      <c r="H49" s="26"/>
      <c r="I49" s="7"/>
      <c r="J49" s="8"/>
      <c r="K49" s="29"/>
      <c r="L49" s="28"/>
      <c r="M49" s="28"/>
      <c r="N49" s="8"/>
      <c r="O49" s="6"/>
      <c r="P49" s="29"/>
      <c r="Q49" s="28"/>
      <c r="R49" s="28"/>
    </row>
    <row r="50" spans="1:18">
      <c r="A50" s="2"/>
      <c r="B50" s="5"/>
      <c r="C50" s="66"/>
      <c r="D50" s="4"/>
      <c r="E50" s="9"/>
      <c r="F50" s="30"/>
      <c r="G50" s="27"/>
      <c r="H50" s="27"/>
      <c r="I50" s="9"/>
      <c r="J50" s="10"/>
      <c r="K50" s="30"/>
      <c r="L50" s="28"/>
      <c r="M50" s="28"/>
      <c r="N50" s="8"/>
      <c r="O50" s="6"/>
      <c r="P50" s="30"/>
      <c r="Q50" s="28"/>
      <c r="R50" s="28"/>
    </row>
    <row r="51" spans="1:18">
      <c r="A51" s="2"/>
      <c r="B51" s="11"/>
      <c r="C51" s="66"/>
      <c r="D51" s="12"/>
      <c r="E51" s="59"/>
      <c r="F51" s="13"/>
      <c r="G51" s="13" t="s">
        <v>20</v>
      </c>
      <c r="H51" s="25">
        <f>SUM(H46:H50)</f>
        <v>19.55</v>
      </c>
      <c r="I51" s="703"/>
      <c r="J51" s="703"/>
      <c r="K51" s="14"/>
      <c r="L51" s="13" t="s">
        <v>21</v>
      </c>
      <c r="M51" s="25">
        <f>SUM(M46:M50)</f>
        <v>0</v>
      </c>
      <c r="N51" s="3"/>
      <c r="O51" s="14"/>
      <c r="P51" s="14"/>
      <c r="Q51" s="13" t="s">
        <v>22</v>
      </c>
      <c r="R51" s="25">
        <f>SUM(R46:R50)</f>
        <v>0.58650000000000002</v>
      </c>
    </row>
    <row r="52" spans="1:18">
      <c r="A52" s="2"/>
      <c r="B52" s="16" t="s">
        <v>13</v>
      </c>
      <c r="C52" s="67"/>
      <c r="D52" s="14"/>
      <c r="E52" s="14"/>
      <c r="F52" s="14"/>
      <c r="G52" s="13"/>
      <c r="H52" s="35">
        <f>M51+R51+H51</f>
        <v>20.136500000000002</v>
      </c>
      <c r="I52" s="17"/>
      <c r="J52" s="14"/>
      <c r="K52" s="14"/>
      <c r="L52" s="13"/>
      <c r="M52" s="15"/>
      <c r="N52" s="14"/>
      <c r="O52" s="14"/>
      <c r="P52" s="14"/>
      <c r="Q52" s="14"/>
      <c r="R52" s="17"/>
    </row>
    <row r="53" spans="1:18">
      <c r="A53" s="2"/>
      <c r="B53" s="11" t="s">
        <v>25</v>
      </c>
      <c r="C53" s="68"/>
      <c r="D53" s="4"/>
      <c r="E53" s="4"/>
      <c r="F53" s="4"/>
      <c r="G53" s="18"/>
      <c r="H53" s="36">
        <v>0</v>
      </c>
      <c r="I53" s="20"/>
      <c r="J53" s="4" t="s">
        <v>26</v>
      </c>
      <c r="K53" s="4"/>
      <c r="L53" s="18"/>
      <c r="M53" s="19"/>
      <c r="N53" s="4"/>
      <c r="O53" s="4"/>
      <c r="P53" s="4"/>
      <c r="Q53" s="4"/>
      <c r="R53" s="20"/>
    </row>
    <row r="54" spans="1:18">
      <c r="A54" s="23"/>
      <c r="B54" s="11" t="s">
        <v>14</v>
      </c>
      <c r="C54" s="68"/>
      <c r="D54" s="4"/>
      <c r="E54" s="4"/>
      <c r="F54" s="4"/>
      <c r="G54" s="18"/>
      <c r="H54" s="36">
        <f>SUM(H52:H53)</f>
        <v>20.136500000000002</v>
      </c>
      <c r="I54" s="20"/>
      <c r="J54" s="704"/>
      <c r="K54" s="705"/>
      <c r="L54" s="705"/>
      <c r="M54" s="705"/>
      <c r="N54" s="705"/>
      <c r="O54" s="705"/>
      <c r="P54" s="705"/>
      <c r="Q54" s="705"/>
      <c r="R54" s="706"/>
    </row>
    <row r="55" spans="1:18">
      <c r="A55" s="23"/>
      <c r="B55" s="11" t="s">
        <v>24</v>
      </c>
      <c r="C55" s="68"/>
      <c r="D55" s="4"/>
      <c r="E55" s="4"/>
      <c r="F55" s="4"/>
      <c r="G55" s="18"/>
      <c r="H55" s="36">
        <f>H54*15%</f>
        <v>3.0204750000000002</v>
      </c>
      <c r="I55" s="20"/>
      <c r="J55" s="707"/>
      <c r="K55" s="708"/>
      <c r="L55" s="708"/>
      <c r="M55" s="708"/>
      <c r="N55" s="708"/>
      <c r="O55" s="708"/>
      <c r="P55" s="708"/>
      <c r="Q55" s="708"/>
      <c r="R55" s="709"/>
    </row>
    <row r="56" spans="1:18">
      <c r="A56" s="23"/>
      <c r="B56" s="11" t="s">
        <v>15</v>
      </c>
      <c r="C56" s="68"/>
      <c r="D56" s="4"/>
      <c r="E56" s="4"/>
      <c r="F56" s="4"/>
      <c r="G56" s="21" t="s">
        <v>16</v>
      </c>
      <c r="H56" s="37">
        <f>H55+H54</f>
        <v>23.156975000000003</v>
      </c>
      <c r="I56" s="38" t="str">
        <f>CONCATENATE("per ",C46)</f>
        <v>per sqm</v>
      </c>
      <c r="J56" s="707"/>
      <c r="K56" s="708"/>
      <c r="L56" s="708"/>
      <c r="M56" s="708"/>
      <c r="N56" s="708"/>
      <c r="O56" s="708"/>
      <c r="P56" s="708"/>
      <c r="Q56" s="708"/>
      <c r="R56" s="709"/>
    </row>
    <row r="57" spans="1:18">
      <c r="A57" s="23"/>
      <c r="B57" s="11" t="s">
        <v>18</v>
      </c>
      <c r="C57" s="125" t="s">
        <v>19</v>
      </c>
      <c r="D57" s="4"/>
      <c r="E57" s="4"/>
      <c r="F57" s="4"/>
      <c r="G57" s="21" t="s">
        <v>16</v>
      </c>
      <c r="H57" s="37">
        <f>CEILING(H56,0.5)</f>
        <v>23.5</v>
      </c>
      <c r="I57" s="38" t="str">
        <f>CONCATENATE("per ",C46)</f>
        <v>per sqm</v>
      </c>
      <c r="J57" s="707"/>
      <c r="K57" s="708"/>
      <c r="L57" s="708"/>
      <c r="M57" s="708"/>
      <c r="N57" s="708"/>
      <c r="O57" s="708"/>
      <c r="P57" s="708"/>
      <c r="Q57" s="708"/>
      <c r="R57" s="709"/>
    </row>
    <row r="58" spans="1:18">
      <c r="A58" s="23"/>
      <c r="B58" s="11"/>
      <c r="C58" s="68"/>
      <c r="D58" s="4"/>
      <c r="E58" s="4"/>
      <c r="F58" s="4"/>
      <c r="G58" s="24" t="s">
        <v>17</v>
      </c>
      <c r="H58" s="37"/>
      <c r="I58" s="38" t="str">
        <f>CONCATENATE("per ",C46)</f>
        <v>per sqm</v>
      </c>
      <c r="J58" s="710"/>
      <c r="K58" s="711"/>
      <c r="L58" s="711"/>
      <c r="M58" s="711"/>
      <c r="N58" s="711"/>
      <c r="O58" s="711"/>
      <c r="P58" s="711"/>
      <c r="Q58" s="711"/>
      <c r="R58" s="712"/>
    </row>
    <row r="59" spans="1:18">
      <c r="A59" s="39"/>
      <c r="B59" s="40"/>
      <c r="C59" s="69"/>
      <c r="D59" s="41"/>
      <c r="E59" s="41"/>
      <c r="F59" s="41"/>
      <c r="G59" s="149" t="s">
        <v>460</v>
      </c>
      <c r="H59" s="150">
        <f>CEILING(0,0.0025)</f>
        <v>0</v>
      </c>
      <c r="I59" s="42"/>
      <c r="J59" s="43"/>
      <c r="K59" s="43"/>
      <c r="L59" s="43"/>
      <c r="M59" s="43"/>
      <c r="N59" s="43"/>
      <c r="O59" s="43"/>
      <c r="P59" s="43"/>
      <c r="Q59" s="43"/>
      <c r="R59" s="44"/>
    </row>
    <row r="61" spans="1:18">
      <c r="A61" s="693" t="s">
        <v>0</v>
      </c>
      <c r="B61" s="695" t="s">
        <v>1</v>
      </c>
      <c r="C61" s="695" t="s">
        <v>2</v>
      </c>
      <c r="D61" s="697" t="s">
        <v>3</v>
      </c>
      <c r="E61" s="698"/>
      <c r="F61" s="698"/>
      <c r="G61" s="698"/>
      <c r="H61" s="698"/>
      <c r="I61" s="699" t="s">
        <v>4</v>
      </c>
      <c r="J61" s="700"/>
      <c r="K61" s="700"/>
      <c r="L61" s="700"/>
      <c r="M61" s="700"/>
      <c r="N61" s="698" t="s">
        <v>5</v>
      </c>
      <c r="O61" s="698"/>
      <c r="P61" s="698"/>
      <c r="Q61" s="698"/>
      <c r="R61" s="698"/>
    </row>
    <row r="62" spans="1:18">
      <c r="A62" s="694"/>
      <c r="B62" s="696"/>
      <c r="C62" s="696"/>
      <c r="D62" s="45" t="s">
        <v>6</v>
      </c>
      <c r="E62" s="46" t="s">
        <v>2</v>
      </c>
      <c r="F62" s="46" t="s">
        <v>7</v>
      </c>
      <c r="G62" s="46" t="s">
        <v>8</v>
      </c>
      <c r="H62" s="46" t="s">
        <v>9</v>
      </c>
      <c r="I62" s="46" t="s">
        <v>10</v>
      </c>
      <c r="J62" s="46" t="s">
        <v>2</v>
      </c>
      <c r="K62" s="46" t="s">
        <v>7</v>
      </c>
      <c r="L62" s="46" t="s">
        <v>8</v>
      </c>
      <c r="M62" s="47" t="s">
        <v>9</v>
      </c>
      <c r="N62" s="46" t="s">
        <v>10</v>
      </c>
      <c r="O62" s="46" t="s">
        <v>2</v>
      </c>
      <c r="P62" s="46" t="s">
        <v>7</v>
      </c>
      <c r="Q62" s="46" t="s">
        <v>8</v>
      </c>
      <c r="R62" s="46" t="s">
        <v>9</v>
      </c>
    </row>
    <row r="63" spans="1:18">
      <c r="A63" s="33" t="s">
        <v>23</v>
      </c>
      <c r="B63" s="73" t="s">
        <v>132</v>
      </c>
      <c r="C63" s="65"/>
      <c r="D63" s="31"/>
      <c r="E63" s="31"/>
      <c r="F63" s="31"/>
      <c r="G63" s="31"/>
      <c r="H63" s="31"/>
      <c r="I63" s="31"/>
      <c r="J63" s="31"/>
      <c r="K63" s="31"/>
      <c r="L63" s="31"/>
      <c r="M63" s="31"/>
      <c r="N63" s="31"/>
      <c r="O63" s="31"/>
      <c r="P63" s="31"/>
      <c r="Q63" s="31"/>
      <c r="R63" s="32"/>
    </row>
    <row r="64" spans="1:18">
      <c r="A64" s="34">
        <f>A46+1</f>
        <v>4</v>
      </c>
      <c r="B64" s="713" t="s">
        <v>133</v>
      </c>
      <c r="C64" s="66" t="s">
        <v>11</v>
      </c>
      <c r="D64" s="4"/>
      <c r="E64" s="6"/>
      <c r="F64" s="29"/>
      <c r="G64" s="26"/>
      <c r="H64" s="26"/>
      <c r="I64" s="6"/>
      <c r="J64" s="6"/>
      <c r="K64" s="29"/>
      <c r="L64" s="26"/>
      <c r="M64" s="26"/>
      <c r="N64" s="6"/>
      <c r="O64" s="6"/>
      <c r="P64" s="29"/>
      <c r="Q64" s="26"/>
      <c r="R64" s="26"/>
    </row>
    <row r="65" spans="1:18">
      <c r="A65" s="2"/>
      <c r="B65" s="714"/>
      <c r="C65" s="66"/>
      <c r="D65" s="4" t="s">
        <v>97</v>
      </c>
      <c r="E65" s="6" t="s">
        <v>81</v>
      </c>
      <c r="F65" s="29">
        <v>2.8</v>
      </c>
      <c r="G65" s="26">
        <f>ur</f>
        <v>850</v>
      </c>
      <c r="H65" s="26">
        <f>F65*G65</f>
        <v>2380</v>
      </c>
      <c r="I65" s="7"/>
      <c r="J65" s="8"/>
      <c r="K65" s="29"/>
      <c r="L65" s="28"/>
      <c r="M65" s="28"/>
      <c r="N65" s="8" t="s">
        <v>128</v>
      </c>
      <c r="O65" s="6"/>
      <c r="P65" s="29"/>
      <c r="Q65" s="28"/>
      <c r="R65" s="28">
        <f>3%*H69</f>
        <v>71.399999999999991</v>
      </c>
    </row>
    <row r="66" spans="1:18">
      <c r="A66" s="2"/>
      <c r="B66" s="714"/>
      <c r="C66" s="66"/>
      <c r="D66" s="4"/>
      <c r="E66" s="6"/>
      <c r="F66" s="29"/>
      <c r="G66" s="26"/>
      <c r="H66" s="26"/>
      <c r="I66" s="7"/>
      <c r="J66" s="8"/>
      <c r="K66" s="29"/>
      <c r="L66" s="28"/>
      <c r="M66" s="28"/>
      <c r="N66" s="8"/>
      <c r="O66" s="6"/>
      <c r="P66" s="29"/>
      <c r="Q66" s="28"/>
      <c r="R66" s="28"/>
    </row>
    <row r="67" spans="1:18">
      <c r="A67" s="2"/>
      <c r="B67" s="714"/>
      <c r="C67" s="66"/>
      <c r="D67" s="4"/>
      <c r="E67" s="6"/>
      <c r="F67" s="29"/>
      <c r="G67" s="26"/>
      <c r="H67" s="26"/>
      <c r="I67" s="7"/>
      <c r="J67" s="8"/>
      <c r="K67" s="29"/>
      <c r="L67" s="28"/>
      <c r="M67" s="28"/>
      <c r="N67" s="8"/>
      <c r="O67" s="6"/>
      <c r="P67" s="29"/>
      <c r="Q67" s="28"/>
      <c r="R67" s="28"/>
    </row>
    <row r="68" spans="1:18">
      <c r="A68" s="2"/>
      <c r="B68" s="5"/>
      <c r="C68" s="66"/>
      <c r="D68" s="4"/>
      <c r="E68" s="9"/>
      <c r="F68" s="30"/>
      <c r="G68" s="27"/>
      <c r="H68" s="27"/>
      <c r="I68" s="9"/>
      <c r="J68" s="10"/>
      <c r="K68" s="30"/>
      <c r="L68" s="28"/>
      <c r="M68" s="28"/>
      <c r="N68" s="8"/>
      <c r="O68" s="6"/>
      <c r="P68" s="30"/>
      <c r="Q68" s="28"/>
      <c r="R68" s="28"/>
    </row>
    <row r="69" spans="1:18">
      <c r="A69" s="2"/>
      <c r="B69" s="11"/>
      <c r="C69" s="66"/>
      <c r="D69" s="12"/>
      <c r="E69" s="59"/>
      <c r="F69" s="13"/>
      <c r="G69" s="13" t="s">
        <v>20</v>
      </c>
      <c r="H69" s="25">
        <f>SUM(H64:H68)</f>
        <v>2380</v>
      </c>
      <c r="I69" s="703"/>
      <c r="J69" s="703"/>
      <c r="K69" s="14"/>
      <c r="L69" s="13" t="s">
        <v>21</v>
      </c>
      <c r="M69" s="25">
        <f>SUM(M64:M68)</f>
        <v>0</v>
      </c>
      <c r="N69" s="3"/>
      <c r="O69" s="14"/>
      <c r="P69" s="14"/>
      <c r="Q69" s="13" t="s">
        <v>22</v>
      </c>
      <c r="R69" s="25">
        <f>SUM(R64:R68)</f>
        <v>71.399999999999991</v>
      </c>
    </row>
    <row r="70" spans="1:18">
      <c r="A70" s="2"/>
      <c r="B70" s="16" t="s">
        <v>13</v>
      </c>
      <c r="C70" s="67"/>
      <c r="D70" s="14"/>
      <c r="E70" s="14"/>
      <c r="F70" s="14"/>
      <c r="G70" s="13"/>
      <c r="H70" s="35">
        <f>M69+R69+H69</f>
        <v>2451.4</v>
      </c>
      <c r="I70" s="17"/>
      <c r="J70" s="14"/>
      <c r="K70" s="14"/>
      <c r="L70" s="13"/>
      <c r="M70" s="15"/>
      <c r="N70" s="14"/>
      <c r="O70" s="14"/>
      <c r="P70" s="14"/>
      <c r="Q70" s="14"/>
      <c r="R70" s="17"/>
    </row>
    <row r="71" spans="1:18">
      <c r="A71" s="2"/>
      <c r="B71" s="11" t="s">
        <v>25</v>
      </c>
      <c r="C71" s="68"/>
      <c r="D71" s="4"/>
      <c r="E71" s="4"/>
      <c r="F71" s="4"/>
      <c r="G71" s="18"/>
      <c r="H71" s="36">
        <v>0</v>
      </c>
      <c r="I71" s="20"/>
      <c r="J71" s="4" t="s">
        <v>26</v>
      </c>
      <c r="K71" s="4"/>
      <c r="L71" s="18"/>
      <c r="M71" s="19"/>
      <c r="N71" s="4"/>
      <c r="O71" s="4"/>
      <c r="P71" s="4"/>
      <c r="Q71" s="4"/>
      <c r="R71" s="20"/>
    </row>
    <row r="72" spans="1:18">
      <c r="A72" s="23"/>
      <c r="B72" s="11" t="s">
        <v>14</v>
      </c>
      <c r="C72" s="68"/>
      <c r="D72" s="4"/>
      <c r="E72" s="4"/>
      <c r="F72" s="4"/>
      <c r="G72" s="18"/>
      <c r="H72" s="36">
        <f>SUM(H70:H71)</f>
        <v>2451.4</v>
      </c>
      <c r="I72" s="20"/>
      <c r="J72" s="704"/>
      <c r="K72" s="705"/>
      <c r="L72" s="705"/>
      <c r="M72" s="705"/>
      <c r="N72" s="705"/>
      <c r="O72" s="705"/>
      <c r="P72" s="705"/>
      <c r="Q72" s="705"/>
      <c r="R72" s="706"/>
    </row>
    <row r="73" spans="1:18">
      <c r="A73" s="23"/>
      <c r="B73" s="11" t="s">
        <v>24</v>
      </c>
      <c r="C73" s="68"/>
      <c r="D73" s="4"/>
      <c r="E73" s="4"/>
      <c r="F73" s="4"/>
      <c r="G73" s="18"/>
      <c r="H73" s="36">
        <f>H72*15%</f>
        <v>367.71</v>
      </c>
      <c r="I73" s="20"/>
      <c r="J73" s="707"/>
      <c r="K73" s="708"/>
      <c r="L73" s="708"/>
      <c r="M73" s="708"/>
      <c r="N73" s="708"/>
      <c r="O73" s="708"/>
      <c r="P73" s="708"/>
      <c r="Q73" s="708"/>
      <c r="R73" s="709"/>
    </row>
    <row r="74" spans="1:18">
      <c r="A74" s="23"/>
      <c r="B74" s="11" t="s">
        <v>15</v>
      </c>
      <c r="C74" s="68"/>
      <c r="D74" s="4"/>
      <c r="E74" s="4"/>
      <c r="F74" s="4"/>
      <c r="G74" s="21" t="s">
        <v>16</v>
      </c>
      <c r="H74" s="37">
        <f>H73+H72</f>
        <v>2819.11</v>
      </c>
      <c r="I74" s="38" t="str">
        <f>CONCATENATE("per ",C64)</f>
        <v>per cum</v>
      </c>
      <c r="J74" s="707"/>
      <c r="K74" s="708"/>
      <c r="L74" s="708"/>
      <c r="M74" s="708"/>
      <c r="N74" s="708"/>
      <c r="O74" s="708"/>
      <c r="P74" s="708"/>
      <c r="Q74" s="708"/>
      <c r="R74" s="709"/>
    </row>
    <row r="75" spans="1:18">
      <c r="A75" s="23"/>
      <c r="B75" s="11" t="s">
        <v>18</v>
      </c>
      <c r="C75" s="125" t="s">
        <v>19</v>
      </c>
      <c r="D75" s="4"/>
      <c r="E75" s="4"/>
      <c r="F75" s="4"/>
      <c r="G75" s="21" t="s">
        <v>16</v>
      </c>
      <c r="H75" s="37">
        <f>CEILING(H74,0.5)</f>
        <v>2819.5</v>
      </c>
      <c r="I75" s="38" t="str">
        <f>CONCATENATE("per ",C64)</f>
        <v>per cum</v>
      </c>
      <c r="J75" s="707"/>
      <c r="K75" s="708"/>
      <c r="L75" s="708"/>
      <c r="M75" s="708"/>
      <c r="N75" s="708"/>
      <c r="O75" s="708"/>
      <c r="P75" s="708"/>
      <c r="Q75" s="708"/>
      <c r="R75" s="709"/>
    </row>
    <row r="76" spans="1:18">
      <c r="A76" s="23"/>
      <c r="B76" s="11"/>
      <c r="C76" s="68"/>
      <c r="D76" s="4"/>
      <c r="E76" s="4"/>
      <c r="F76" s="4"/>
      <c r="G76" s="24" t="s">
        <v>17</v>
      </c>
      <c r="H76" s="37">
        <f>H75/exr</f>
        <v>21.688461538461539</v>
      </c>
      <c r="I76" s="38" t="str">
        <f>CONCATENATE("per ",C64)</f>
        <v>per cum</v>
      </c>
      <c r="J76" s="710"/>
      <c r="K76" s="711"/>
      <c r="L76" s="711"/>
      <c r="M76" s="711"/>
      <c r="N76" s="711"/>
      <c r="O76" s="711"/>
      <c r="P76" s="711"/>
      <c r="Q76" s="711"/>
      <c r="R76" s="712"/>
    </row>
    <row r="77" spans="1:18">
      <c r="A77" s="39"/>
      <c r="B77" s="40"/>
      <c r="C77" s="69"/>
      <c r="D77" s="41"/>
      <c r="E77" s="41"/>
      <c r="F77" s="41"/>
      <c r="G77" s="149" t="s">
        <v>460</v>
      </c>
      <c r="H77" s="150">
        <f>CEILING(0,0.0025)</f>
        <v>0</v>
      </c>
      <c r="I77" s="42"/>
      <c r="J77" s="43"/>
      <c r="K77" s="43"/>
      <c r="L77" s="43"/>
      <c r="M77" s="43"/>
      <c r="N77" s="43"/>
      <c r="O77" s="43"/>
      <c r="P77" s="43"/>
      <c r="Q77" s="43"/>
      <c r="R77" s="44"/>
    </row>
    <row r="79" spans="1:18">
      <c r="A79" s="693" t="s">
        <v>0</v>
      </c>
      <c r="B79" s="695" t="s">
        <v>1</v>
      </c>
      <c r="C79" s="695" t="s">
        <v>2</v>
      </c>
      <c r="D79" s="697" t="s">
        <v>3</v>
      </c>
      <c r="E79" s="698"/>
      <c r="F79" s="698"/>
      <c r="G79" s="698"/>
      <c r="H79" s="698"/>
      <c r="I79" s="699" t="s">
        <v>4</v>
      </c>
      <c r="J79" s="700"/>
      <c r="K79" s="700"/>
      <c r="L79" s="700"/>
      <c r="M79" s="700"/>
      <c r="N79" s="698" t="s">
        <v>5</v>
      </c>
      <c r="O79" s="698"/>
      <c r="P79" s="698"/>
      <c r="Q79" s="698"/>
      <c r="R79" s="698"/>
    </row>
    <row r="80" spans="1:18">
      <c r="A80" s="694"/>
      <c r="B80" s="696"/>
      <c r="C80" s="696"/>
      <c r="D80" s="45" t="s">
        <v>6</v>
      </c>
      <c r="E80" s="46" t="s">
        <v>2</v>
      </c>
      <c r="F80" s="46" t="s">
        <v>7</v>
      </c>
      <c r="G80" s="46" t="s">
        <v>8</v>
      </c>
      <c r="H80" s="46" t="s">
        <v>9</v>
      </c>
      <c r="I80" s="46" t="s">
        <v>10</v>
      </c>
      <c r="J80" s="46" t="s">
        <v>2</v>
      </c>
      <c r="K80" s="46" t="s">
        <v>7</v>
      </c>
      <c r="L80" s="46" t="s">
        <v>8</v>
      </c>
      <c r="M80" s="47" t="s">
        <v>9</v>
      </c>
      <c r="N80" s="46" t="s">
        <v>10</v>
      </c>
      <c r="O80" s="46" t="s">
        <v>2</v>
      </c>
      <c r="P80" s="46" t="s">
        <v>7</v>
      </c>
      <c r="Q80" s="46" t="s">
        <v>8</v>
      </c>
      <c r="R80" s="46" t="s">
        <v>9</v>
      </c>
    </row>
    <row r="81" spans="1:18">
      <c r="A81" s="33" t="s">
        <v>23</v>
      </c>
      <c r="B81" s="73" t="s">
        <v>134</v>
      </c>
      <c r="C81" s="65"/>
      <c r="D81" s="31"/>
      <c r="E81" s="31"/>
      <c r="F81" s="31"/>
      <c r="G81" s="31"/>
      <c r="H81" s="31"/>
      <c r="I81" s="31"/>
      <c r="J81" s="31"/>
      <c r="K81" s="31"/>
      <c r="L81" s="31"/>
      <c r="M81" s="31"/>
      <c r="N81" s="31"/>
      <c r="O81" s="31"/>
      <c r="P81" s="31"/>
      <c r="Q81" s="31"/>
      <c r="R81" s="32"/>
    </row>
    <row r="82" spans="1:18">
      <c r="A82" s="34">
        <f>A64+1</f>
        <v>5</v>
      </c>
      <c r="B82" s="713" t="s">
        <v>137</v>
      </c>
      <c r="C82" s="66" t="s">
        <v>138</v>
      </c>
      <c r="D82" s="4"/>
      <c r="E82" s="6"/>
      <c r="F82" s="29"/>
      <c r="G82" s="26"/>
      <c r="H82" s="26"/>
      <c r="I82" s="6"/>
      <c r="J82" s="6"/>
      <c r="K82" s="29"/>
      <c r="L82" s="26"/>
      <c r="M82" s="26"/>
      <c r="N82" s="6"/>
      <c r="O82" s="6"/>
      <c r="P82" s="29"/>
      <c r="Q82" s="26"/>
      <c r="R82" s="26"/>
    </row>
    <row r="83" spans="1:18">
      <c r="A83" s="2"/>
      <c r="B83" s="714"/>
      <c r="C83" s="66"/>
      <c r="D83" s="4" t="s">
        <v>97</v>
      </c>
      <c r="E83" s="6" t="s">
        <v>81</v>
      </c>
      <c r="F83" s="29">
        <v>0.92</v>
      </c>
      <c r="G83" s="26">
        <f>ur</f>
        <v>850</v>
      </c>
      <c r="H83" s="26">
        <f>F83*G83</f>
        <v>782</v>
      </c>
      <c r="I83" s="7"/>
      <c r="J83" s="8"/>
      <c r="K83" s="29"/>
      <c r="L83" s="28"/>
      <c r="M83" s="28"/>
      <c r="N83" s="8" t="s">
        <v>128</v>
      </c>
      <c r="O83" s="6"/>
      <c r="P83" s="29"/>
      <c r="Q83" s="28"/>
      <c r="R83" s="28">
        <f>3%*H90</f>
        <v>23.46</v>
      </c>
    </row>
    <row r="84" spans="1:18">
      <c r="A84" s="2"/>
      <c r="B84" s="714"/>
      <c r="C84" s="66"/>
      <c r="D84" s="4"/>
      <c r="E84" s="6"/>
      <c r="F84" s="29"/>
      <c r="G84" s="26"/>
      <c r="H84" s="26"/>
      <c r="I84" s="7"/>
      <c r="J84" s="8"/>
      <c r="K84" s="29"/>
      <c r="L84" s="28"/>
      <c r="M84" s="28"/>
      <c r="N84" s="8"/>
      <c r="O84" s="6"/>
      <c r="P84" s="29"/>
      <c r="Q84" s="28"/>
      <c r="R84" s="28"/>
    </row>
    <row r="85" spans="1:18">
      <c r="A85" s="2"/>
      <c r="B85" s="714"/>
      <c r="C85" s="66"/>
      <c r="D85" s="4"/>
      <c r="E85" s="6"/>
      <c r="F85" s="29"/>
      <c r="G85" s="26"/>
      <c r="H85" s="26"/>
      <c r="I85" s="7"/>
      <c r="J85" s="8"/>
      <c r="K85" s="29"/>
      <c r="L85" s="28"/>
      <c r="M85" s="28"/>
      <c r="N85" s="8"/>
      <c r="O85" s="6"/>
      <c r="P85" s="29"/>
      <c r="Q85" s="28"/>
      <c r="R85" s="28"/>
    </row>
    <row r="86" spans="1:18">
      <c r="A86" s="2"/>
      <c r="B86" s="714"/>
      <c r="C86" s="66"/>
      <c r="D86" s="4"/>
      <c r="E86" s="6"/>
      <c r="F86" s="29"/>
      <c r="G86" s="26"/>
      <c r="H86" s="26"/>
      <c r="I86" s="7"/>
      <c r="J86" s="8"/>
      <c r="K86" s="29"/>
      <c r="L86" s="28"/>
      <c r="M86" s="28"/>
      <c r="N86" s="8"/>
      <c r="O86" s="6"/>
      <c r="P86" s="29"/>
      <c r="Q86" s="28"/>
      <c r="R86" s="28"/>
    </row>
    <row r="87" spans="1:18">
      <c r="A87" s="2"/>
      <c r="B87" s="714"/>
      <c r="C87" s="66"/>
      <c r="D87" s="4"/>
      <c r="E87" s="6"/>
      <c r="F87" s="29"/>
      <c r="G87" s="26"/>
      <c r="H87" s="26"/>
      <c r="I87" s="7"/>
      <c r="J87" s="8"/>
      <c r="K87" s="29"/>
      <c r="L87" s="28"/>
      <c r="M87" s="28"/>
      <c r="N87" s="8"/>
      <c r="O87" s="6"/>
      <c r="P87" s="29"/>
      <c r="Q87" s="28"/>
      <c r="R87" s="28"/>
    </row>
    <row r="88" spans="1:18">
      <c r="A88" s="2"/>
      <c r="B88" s="714"/>
      <c r="C88" s="66"/>
      <c r="D88" s="4"/>
      <c r="E88" s="6"/>
      <c r="F88" s="29"/>
      <c r="G88" s="26"/>
      <c r="H88" s="26"/>
      <c r="I88" s="7"/>
      <c r="J88" s="8"/>
      <c r="K88" s="29"/>
      <c r="L88" s="28"/>
      <c r="M88" s="28"/>
      <c r="N88" s="8"/>
      <c r="O88" s="6"/>
      <c r="P88" s="29"/>
      <c r="Q88" s="28"/>
      <c r="R88" s="28"/>
    </row>
    <row r="89" spans="1:18">
      <c r="A89" s="2"/>
      <c r="B89" s="5"/>
      <c r="C89" s="66"/>
      <c r="D89" s="4"/>
      <c r="E89" s="9"/>
      <c r="F89" s="30"/>
      <c r="G89" s="27"/>
      <c r="H89" s="27"/>
      <c r="I89" s="9"/>
      <c r="J89" s="10"/>
      <c r="K89" s="30"/>
      <c r="L89" s="28"/>
      <c r="M89" s="28"/>
      <c r="N89" s="8"/>
      <c r="O89" s="6"/>
      <c r="P89" s="30"/>
      <c r="Q89" s="28"/>
      <c r="R89" s="28"/>
    </row>
    <row r="90" spans="1:18">
      <c r="A90" s="2"/>
      <c r="B90" s="11"/>
      <c r="C90" s="66"/>
      <c r="D90" s="12"/>
      <c r="E90" s="59"/>
      <c r="F90" s="13"/>
      <c r="G90" s="13" t="s">
        <v>20</v>
      </c>
      <c r="H90" s="25">
        <f>SUM(H82:H89)</f>
        <v>782</v>
      </c>
      <c r="I90" s="703"/>
      <c r="J90" s="703"/>
      <c r="K90" s="14"/>
      <c r="L90" s="13" t="s">
        <v>21</v>
      </c>
      <c r="M90" s="25">
        <f>SUM(M82:M89)</f>
        <v>0</v>
      </c>
      <c r="N90" s="3"/>
      <c r="O90" s="14"/>
      <c r="P90" s="14"/>
      <c r="Q90" s="13" t="s">
        <v>22</v>
      </c>
      <c r="R90" s="25">
        <f>SUM(R82:R89)</f>
        <v>23.46</v>
      </c>
    </row>
    <row r="91" spans="1:18">
      <c r="A91" s="2"/>
      <c r="B91" s="16" t="s">
        <v>13</v>
      </c>
      <c r="C91" s="67"/>
      <c r="D91" s="14"/>
      <c r="E91" s="14"/>
      <c r="F91" s="14"/>
      <c r="G91" s="13"/>
      <c r="H91" s="35">
        <f>M90+R90+H90</f>
        <v>805.46</v>
      </c>
      <c r="I91" s="17"/>
      <c r="J91" s="14"/>
      <c r="K91" s="14"/>
      <c r="L91" s="13"/>
      <c r="M91" s="15"/>
      <c r="N91" s="14"/>
      <c r="O91" s="14"/>
      <c r="P91" s="14"/>
      <c r="Q91" s="14"/>
      <c r="R91" s="17"/>
    </row>
    <row r="92" spans="1:18">
      <c r="A92" s="2"/>
      <c r="B92" s="11" t="s">
        <v>25</v>
      </c>
      <c r="C92" s="68"/>
      <c r="D92" s="4"/>
      <c r="E92" s="4"/>
      <c r="F92" s="4"/>
      <c r="G92" s="18"/>
      <c r="H92" s="36">
        <v>0</v>
      </c>
      <c r="I92" s="20"/>
      <c r="J92" s="4" t="s">
        <v>26</v>
      </c>
      <c r="K92" s="4"/>
      <c r="L92" s="18"/>
      <c r="M92" s="19"/>
      <c r="N92" s="4"/>
      <c r="O92" s="4"/>
      <c r="P92" s="4"/>
      <c r="Q92" s="4"/>
      <c r="R92" s="20"/>
    </row>
    <row r="93" spans="1:18">
      <c r="A93" s="23"/>
      <c r="B93" s="11" t="s">
        <v>14</v>
      </c>
      <c r="C93" s="68"/>
      <c r="D93" s="4"/>
      <c r="E93" s="4"/>
      <c r="F93" s="4"/>
      <c r="G93" s="18"/>
      <c r="H93" s="36">
        <f>SUM(H91:H92)</f>
        <v>805.46</v>
      </c>
      <c r="I93" s="20"/>
      <c r="J93" s="704"/>
      <c r="K93" s="705"/>
      <c r="L93" s="705"/>
      <c r="M93" s="705"/>
      <c r="N93" s="705"/>
      <c r="O93" s="705"/>
      <c r="P93" s="705"/>
      <c r="Q93" s="705"/>
      <c r="R93" s="706"/>
    </row>
    <row r="94" spans="1:18">
      <c r="A94" s="23"/>
      <c r="B94" s="11" t="s">
        <v>24</v>
      </c>
      <c r="C94" s="68"/>
      <c r="D94" s="4"/>
      <c r="E94" s="4"/>
      <c r="F94" s="4"/>
      <c r="G94" s="18"/>
      <c r="H94" s="36">
        <f>H93*15%</f>
        <v>120.819</v>
      </c>
      <c r="I94" s="20"/>
      <c r="J94" s="707"/>
      <c r="K94" s="708"/>
      <c r="L94" s="708"/>
      <c r="M94" s="708"/>
      <c r="N94" s="708"/>
      <c r="O94" s="708"/>
      <c r="P94" s="708"/>
      <c r="Q94" s="708"/>
      <c r="R94" s="709"/>
    </row>
    <row r="95" spans="1:18">
      <c r="A95" s="23"/>
      <c r="B95" s="11" t="s">
        <v>15</v>
      </c>
      <c r="C95" s="68"/>
      <c r="D95" s="4"/>
      <c r="E95" s="4"/>
      <c r="F95" s="4"/>
      <c r="G95" s="21" t="s">
        <v>16</v>
      </c>
      <c r="H95" s="37">
        <f>H94+H93</f>
        <v>926.279</v>
      </c>
      <c r="I95" s="38" t="str">
        <f>CONCATENATE("per ",C82)</f>
        <v>per nos.</v>
      </c>
      <c r="J95" s="707"/>
      <c r="K95" s="708"/>
      <c r="L95" s="708"/>
      <c r="M95" s="708"/>
      <c r="N95" s="708"/>
      <c r="O95" s="708"/>
      <c r="P95" s="708"/>
      <c r="Q95" s="708"/>
      <c r="R95" s="709"/>
    </row>
    <row r="96" spans="1:18">
      <c r="A96" s="23"/>
      <c r="B96" s="11" t="s">
        <v>18</v>
      </c>
      <c r="C96" s="125" t="s">
        <v>19</v>
      </c>
      <c r="D96" s="4"/>
      <c r="E96" s="4"/>
      <c r="F96" s="4"/>
      <c r="G96" s="21" t="s">
        <v>16</v>
      </c>
      <c r="H96" s="37">
        <f>CEILING(H95,0.5)</f>
        <v>926.5</v>
      </c>
      <c r="I96" s="38" t="str">
        <f>CONCATENATE("per ",C82)</f>
        <v>per nos.</v>
      </c>
      <c r="J96" s="707"/>
      <c r="K96" s="708"/>
      <c r="L96" s="708"/>
      <c r="M96" s="708"/>
      <c r="N96" s="708"/>
      <c r="O96" s="708"/>
      <c r="P96" s="708"/>
      <c r="Q96" s="708"/>
      <c r="R96" s="709"/>
    </row>
    <row r="97" spans="1:18">
      <c r="A97" s="23"/>
      <c r="B97" s="11"/>
      <c r="C97" s="68"/>
      <c r="D97" s="4"/>
      <c r="E97" s="4"/>
      <c r="F97" s="4"/>
      <c r="G97" s="24" t="s">
        <v>17</v>
      </c>
      <c r="H97" s="37">
        <f>H96/exr</f>
        <v>7.1269230769230774</v>
      </c>
      <c r="I97" s="38" t="str">
        <f>CONCATENATE("per ",C82)</f>
        <v>per nos.</v>
      </c>
      <c r="J97" s="710"/>
      <c r="K97" s="711"/>
      <c r="L97" s="711"/>
      <c r="M97" s="711"/>
      <c r="N97" s="711"/>
      <c r="O97" s="711"/>
      <c r="P97" s="711"/>
      <c r="Q97" s="711"/>
      <c r="R97" s="712"/>
    </row>
    <row r="98" spans="1:18">
      <c r="A98" s="39"/>
      <c r="B98" s="40"/>
      <c r="C98" s="69"/>
      <c r="D98" s="41"/>
      <c r="E98" s="41"/>
      <c r="F98" s="41"/>
      <c r="G98" s="149" t="s">
        <v>460</v>
      </c>
      <c r="H98" s="150">
        <f>CEILING(0,0.0025)</f>
        <v>0</v>
      </c>
      <c r="I98" s="42"/>
      <c r="J98" s="43"/>
      <c r="K98" s="43"/>
      <c r="L98" s="43"/>
      <c r="M98" s="43"/>
      <c r="N98" s="43"/>
      <c r="O98" s="43"/>
      <c r="P98" s="43"/>
      <c r="Q98" s="43"/>
      <c r="R98" s="44"/>
    </row>
    <row r="100" spans="1:18">
      <c r="A100" s="693" t="s">
        <v>0</v>
      </c>
      <c r="B100" s="695" t="s">
        <v>1</v>
      </c>
      <c r="C100" s="695" t="s">
        <v>2</v>
      </c>
      <c r="D100" s="697" t="s">
        <v>3</v>
      </c>
      <c r="E100" s="698"/>
      <c r="F100" s="698"/>
      <c r="G100" s="698"/>
      <c r="H100" s="698"/>
      <c r="I100" s="699" t="s">
        <v>4</v>
      </c>
      <c r="J100" s="700"/>
      <c r="K100" s="700"/>
      <c r="L100" s="700"/>
      <c r="M100" s="700"/>
      <c r="N100" s="698" t="s">
        <v>5</v>
      </c>
      <c r="O100" s="698"/>
      <c r="P100" s="698"/>
      <c r="Q100" s="698"/>
      <c r="R100" s="698"/>
    </row>
    <row r="101" spans="1:18">
      <c r="A101" s="694"/>
      <c r="B101" s="696"/>
      <c r="C101" s="696"/>
      <c r="D101" s="45" t="s">
        <v>6</v>
      </c>
      <c r="E101" s="46" t="s">
        <v>2</v>
      </c>
      <c r="F101" s="46" t="s">
        <v>7</v>
      </c>
      <c r="G101" s="46" t="s">
        <v>8</v>
      </c>
      <c r="H101" s="46" t="s">
        <v>9</v>
      </c>
      <c r="I101" s="46" t="s">
        <v>10</v>
      </c>
      <c r="J101" s="46" t="s">
        <v>2</v>
      </c>
      <c r="K101" s="46" t="s">
        <v>7</v>
      </c>
      <c r="L101" s="46" t="s">
        <v>8</v>
      </c>
      <c r="M101" s="47" t="s">
        <v>9</v>
      </c>
      <c r="N101" s="46" t="s">
        <v>10</v>
      </c>
      <c r="O101" s="46" t="s">
        <v>2</v>
      </c>
      <c r="P101" s="46" t="s">
        <v>7</v>
      </c>
      <c r="Q101" s="46" t="s">
        <v>8</v>
      </c>
      <c r="R101" s="46" t="s">
        <v>9</v>
      </c>
    </row>
    <row r="102" spans="1:18">
      <c r="A102" s="33" t="s">
        <v>23</v>
      </c>
      <c r="B102" s="73" t="s">
        <v>134</v>
      </c>
      <c r="C102" s="65"/>
      <c r="D102" s="31"/>
      <c r="E102" s="31"/>
      <c r="F102" s="31"/>
      <c r="G102" s="31"/>
      <c r="H102" s="31"/>
      <c r="I102" s="31"/>
      <c r="J102" s="31"/>
      <c r="K102" s="31"/>
      <c r="L102" s="31"/>
      <c r="M102" s="31"/>
      <c r="N102" s="31"/>
      <c r="O102" s="31"/>
      <c r="P102" s="31"/>
      <c r="Q102" s="31"/>
      <c r="R102" s="32"/>
    </row>
    <row r="103" spans="1:18">
      <c r="A103" s="34">
        <f>A82+1</f>
        <v>6</v>
      </c>
      <c r="B103" s="713" t="s">
        <v>141</v>
      </c>
      <c r="C103" s="66" t="s">
        <v>138</v>
      </c>
      <c r="D103" s="4"/>
      <c r="E103" s="6"/>
      <c r="F103" s="29"/>
      <c r="G103" s="26"/>
      <c r="H103" s="26"/>
      <c r="I103" s="6"/>
      <c r="J103" s="6"/>
      <c r="K103" s="29"/>
      <c r="L103" s="26"/>
      <c r="M103" s="26"/>
      <c r="N103" s="6"/>
      <c r="O103" s="6"/>
      <c r="P103" s="29"/>
      <c r="Q103" s="26"/>
      <c r="R103" s="26"/>
    </row>
    <row r="104" spans="1:18">
      <c r="A104" s="2"/>
      <c r="B104" s="714"/>
      <c r="C104" s="66"/>
      <c r="D104" s="4" t="s">
        <v>97</v>
      </c>
      <c r="E104" s="6" t="s">
        <v>81</v>
      </c>
      <c r="F104" s="29">
        <v>3.5</v>
      </c>
      <c r="G104" s="26">
        <f>ur</f>
        <v>850</v>
      </c>
      <c r="H104" s="26">
        <f>F104*G104</f>
        <v>2975</v>
      </c>
      <c r="I104" s="7"/>
      <c r="J104" s="8"/>
      <c r="K104" s="29"/>
      <c r="L104" s="28"/>
      <c r="M104" s="28"/>
      <c r="N104" s="8" t="s">
        <v>128</v>
      </c>
      <c r="O104" s="6"/>
      <c r="P104" s="29"/>
      <c r="Q104" s="28"/>
      <c r="R104" s="28">
        <f>3%*H111</f>
        <v>89.25</v>
      </c>
    </row>
    <row r="105" spans="1:18">
      <c r="A105" s="2"/>
      <c r="B105" s="714"/>
      <c r="C105" s="66"/>
      <c r="D105" s="4"/>
      <c r="E105" s="6"/>
      <c r="F105" s="29"/>
      <c r="G105" s="26"/>
      <c r="H105" s="26"/>
      <c r="I105" s="7"/>
      <c r="J105" s="8"/>
      <c r="K105" s="29"/>
      <c r="L105" s="28"/>
      <c r="M105" s="28"/>
      <c r="N105" s="8"/>
      <c r="O105" s="6"/>
      <c r="P105" s="29"/>
      <c r="Q105" s="28"/>
      <c r="R105" s="28"/>
    </row>
    <row r="106" spans="1:18">
      <c r="A106" s="2"/>
      <c r="B106" s="714"/>
      <c r="C106" s="66"/>
      <c r="D106" s="4"/>
      <c r="E106" s="6"/>
      <c r="F106" s="29"/>
      <c r="G106" s="26"/>
      <c r="H106" s="26"/>
      <c r="I106" s="7"/>
      <c r="J106" s="8"/>
      <c r="K106" s="29"/>
      <c r="L106" s="28"/>
      <c r="M106" s="28"/>
      <c r="N106" s="8"/>
      <c r="O106" s="6"/>
      <c r="P106" s="29"/>
      <c r="Q106" s="28"/>
      <c r="R106" s="28"/>
    </row>
    <row r="107" spans="1:18">
      <c r="A107" s="2"/>
      <c r="B107" s="714"/>
      <c r="C107" s="66"/>
      <c r="D107" s="4"/>
      <c r="E107" s="6"/>
      <c r="F107" s="29"/>
      <c r="G107" s="26"/>
      <c r="H107" s="26"/>
      <c r="I107" s="7"/>
      <c r="J107" s="8"/>
      <c r="K107" s="29"/>
      <c r="L107" s="28"/>
      <c r="M107" s="28"/>
      <c r="N107" s="8"/>
      <c r="O107" s="6"/>
      <c r="P107" s="29"/>
      <c r="Q107" s="28"/>
      <c r="R107" s="28"/>
    </row>
    <row r="108" spans="1:18">
      <c r="A108" s="2"/>
      <c r="B108" s="714"/>
      <c r="C108" s="66"/>
      <c r="D108" s="4"/>
      <c r="E108" s="6"/>
      <c r="F108" s="29"/>
      <c r="G108" s="26"/>
      <c r="H108" s="26"/>
      <c r="I108" s="7"/>
      <c r="J108" s="8"/>
      <c r="K108" s="29"/>
      <c r="L108" s="28"/>
      <c r="M108" s="28"/>
      <c r="N108" s="8"/>
      <c r="O108" s="6"/>
      <c r="P108" s="29"/>
      <c r="Q108" s="28"/>
      <c r="R108" s="28"/>
    </row>
    <row r="109" spans="1:18">
      <c r="A109" s="2"/>
      <c r="B109" s="714"/>
      <c r="C109" s="66"/>
      <c r="D109" s="4"/>
      <c r="E109" s="6"/>
      <c r="F109" s="29"/>
      <c r="G109" s="26"/>
      <c r="H109" s="26"/>
      <c r="I109" s="7"/>
      <c r="J109" s="8"/>
      <c r="K109" s="29"/>
      <c r="L109" s="28"/>
      <c r="M109" s="28"/>
      <c r="N109" s="8"/>
      <c r="O109" s="6"/>
      <c r="P109" s="29"/>
      <c r="Q109" s="28"/>
      <c r="R109" s="28"/>
    </row>
    <row r="110" spans="1:18">
      <c r="A110" s="2"/>
      <c r="B110" s="5"/>
      <c r="C110" s="66"/>
      <c r="D110" s="4"/>
      <c r="E110" s="9"/>
      <c r="F110" s="30"/>
      <c r="G110" s="27"/>
      <c r="H110" s="27"/>
      <c r="I110" s="9"/>
      <c r="J110" s="10"/>
      <c r="K110" s="30"/>
      <c r="L110" s="28"/>
      <c r="M110" s="28"/>
      <c r="N110" s="8"/>
      <c r="O110" s="6"/>
      <c r="P110" s="30"/>
      <c r="Q110" s="28"/>
      <c r="R110" s="28"/>
    </row>
    <row r="111" spans="1:18">
      <c r="A111" s="2"/>
      <c r="B111" s="11"/>
      <c r="C111" s="66"/>
      <c r="D111" s="12"/>
      <c r="E111" s="59"/>
      <c r="F111" s="13"/>
      <c r="G111" s="13" t="s">
        <v>20</v>
      </c>
      <c r="H111" s="25">
        <f>SUM(H103:H110)</f>
        <v>2975</v>
      </c>
      <c r="I111" s="703"/>
      <c r="J111" s="703"/>
      <c r="K111" s="14"/>
      <c r="L111" s="13" t="s">
        <v>21</v>
      </c>
      <c r="M111" s="25">
        <f>SUM(M103:M110)</f>
        <v>0</v>
      </c>
      <c r="N111" s="3"/>
      <c r="O111" s="14"/>
      <c r="P111" s="14"/>
      <c r="Q111" s="13" t="s">
        <v>22</v>
      </c>
      <c r="R111" s="25">
        <f>SUM(R103:R110)</f>
        <v>89.25</v>
      </c>
    </row>
    <row r="112" spans="1:18">
      <c r="A112" s="2"/>
      <c r="B112" s="16" t="s">
        <v>13</v>
      </c>
      <c r="C112" s="67"/>
      <c r="D112" s="14"/>
      <c r="E112" s="14"/>
      <c r="F112" s="14"/>
      <c r="G112" s="13"/>
      <c r="H112" s="35">
        <f>M111+R111+H111</f>
        <v>3064.25</v>
      </c>
      <c r="I112" s="17"/>
      <c r="J112" s="14"/>
      <c r="K112" s="14"/>
      <c r="L112" s="13"/>
      <c r="M112" s="15"/>
      <c r="N112" s="14"/>
      <c r="O112" s="14"/>
      <c r="P112" s="14"/>
      <c r="Q112" s="14"/>
      <c r="R112" s="17"/>
    </row>
    <row r="113" spans="1:18">
      <c r="A113" s="2"/>
      <c r="B113" s="11" t="s">
        <v>25</v>
      </c>
      <c r="C113" s="68"/>
      <c r="D113" s="4"/>
      <c r="E113" s="4"/>
      <c r="F113" s="4"/>
      <c r="G113" s="18"/>
      <c r="H113" s="36">
        <v>0</v>
      </c>
      <c r="I113" s="20"/>
      <c r="J113" s="4" t="s">
        <v>26</v>
      </c>
      <c r="K113" s="4"/>
      <c r="L113" s="18"/>
      <c r="M113" s="19"/>
      <c r="N113" s="4"/>
      <c r="O113" s="4"/>
      <c r="P113" s="4"/>
      <c r="Q113" s="4"/>
      <c r="R113" s="20"/>
    </row>
    <row r="114" spans="1:18">
      <c r="A114" s="23"/>
      <c r="B114" s="11" t="s">
        <v>14</v>
      </c>
      <c r="C114" s="68"/>
      <c r="D114" s="4"/>
      <c r="E114" s="4"/>
      <c r="F114" s="4"/>
      <c r="G114" s="18"/>
      <c r="H114" s="36">
        <f>SUM(H112:H113)</f>
        <v>3064.25</v>
      </c>
      <c r="I114" s="20"/>
      <c r="J114" s="704"/>
      <c r="K114" s="705"/>
      <c r="L114" s="705"/>
      <c r="M114" s="705"/>
      <c r="N114" s="705"/>
      <c r="O114" s="705"/>
      <c r="P114" s="705"/>
      <c r="Q114" s="705"/>
      <c r="R114" s="706"/>
    </row>
    <row r="115" spans="1:18">
      <c r="A115" s="23"/>
      <c r="B115" s="11" t="s">
        <v>24</v>
      </c>
      <c r="C115" s="68"/>
      <c r="D115" s="4"/>
      <c r="E115" s="4"/>
      <c r="F115" s="4"/>
      <c r="G115" s="18"/>
      <c r="H115" s="36">
        <f>H114*15%</f>
        <v>459.63749999999999</v>
      </c>
      <c r="I115" s="20"/>
      <c r="J115" s="707"/>
      <c r="K115" s="708"/>
      <c r="L115" s="708"/>
      <c r="M115" s="708"/>
      <c r="N115" s="708"/>
      <c r="O115" s="708"/>
      <c r="P115" s="708"/>
      <c r="Q115" s="708"/>
      <c r="R115" s="709"/>
    </row>
    <row r="116" spans="1:18">
      <c r="A116" s="23"/>
      <c r="B116" s="11" t="s">
        <v>15</v>
      </c>
      <c r="C116" s="68"/>
      <c r="D116" s="4"/>
      <c r="E116" s="4"/>
      <c r="F116" s="4"/>
      <c r="G116" s="21" t="s">
        <v>16</v>
      </c>
      <c r="H116" s="37">
        <f>H115+H114</f>
        <v>3523.8874999999998</v>
      </c>
      <c r="I116" s="38" t="str">
        <f>CONCATENATE("per ",C103)</f>
        <v>per nos.</v>
      </c>
      <c r="J116" s="707"/>
      <c r="K116" s="708"/>
      <c r="L116" s="708"/>
      <c r="M116" s="708"/>
      <c r="N116" s="708"/>
      <c r="O116" s="708"/>
      <c r="P116" s="708"/>
      <c r="Q116" s="708"/>
      <c r="R116" s="709"/>
    </row>
    <row r="117" spans="1:18">
      <c r="A117" s="23"/>
      <c r="B117" s="11" t="s">
        <v>18</v>
      </c>
      <c r="C117" s="125" t="s">
        <v>19</v>
      </c>
      <c r="D117" s="4"/>
      <c r="E117" s="4"/>
      <c r="F117" s="4"/>
      <c r="G117" s="21" t="s">
        <v>16</v>
      </c>
      <c r="H117" s="37">
        <f>CEILING(H116,0.5)</f>
        <v>3524</v>
      </c>
      <c r="I117" s="38" t="str">
        <f>CONCATENATE("per ",C103)</f>
        <v>per nos.</v>
      </c>
      <c r="J117" s="707"/>
      <c r="K117" s="708"/>
      <c r="L117" s="708"/>
      <c r="M117" s="708"/>
      <c r="N117" s="708"/>
      <c r="O117" s="708"/>
      <c r="P117" s="708"/>
      <c r="Q117" s="708"/>
      <c r="R117" s="709"/>
    </row>
    <row r="118" spans="1:18">
      <c r="A118" s="23"/>
      <c r="B118" s="11"/>
      <c r="C118" s="68"/>
      <c r="D118" s="4"/>
      <c r="E118" s="4"/>
      <c r="F118" s="4"/>
      <c r="G118" s="24" t="s">
        <v>17</v>
      </c>
      <c r="H118" s="37">
        <f>H117/exr</f>
        <v>27.107692307692307</v>
      </c>
      <c r="I118" s="38" t="str">
        <f>CONCATENATE("per ",C103)</f>
        <v>per nos.</v>
      </c>
      <c r="J118" s="710"/>
      <c r="K118" s="711"/>
      <c r="L118" s="711"/>
      <c r="M118" s="711"/>
      <c r="N118" s="711"/>
      <c r="O118" s="711"/>
      <c r="P118" s="711"/>
      <c r="Q118" s="711"/>
      <c r="R118" s="712"/>
    </row>
    <row r="119" spans="1:18">
      <c r="A119" s="39"/>
      <c r="B119" s="40"/>
      <c r="C119" s="69"/>
      <c r="D119" s="41"/>
      <c r="E119" s="41"/>
      <c r="F119" s="41"/>
      <c r="G119" s="149" t="s">
        <v>460</v>
      </c>
      <c r="H119" s="150">
        <f>CEILING(0,0.0025)</f>
        <v>0</v>
      </c>
      <c r="I119" s="42"/>
      <c r="J119" s="43"/>
      <c r="K119" s="43"/>
      <c r="L119" s="43"/>
      <c r="M119" s="43"/>
      <c r="N119" s="43"/>
      <c r="O119" s="43"/>
      <c r="P119" s="43"/>
      <c r="Q119" s="43"/>
      <c r="R119" s="44"/>
    </row>
    <row r="121" spans="1:18">
      <c r="A121" s="693" t="s">
        <v>0</v>
      </c>
      <c r="B121" s="695" t="s">
        <v>1</v>
      </c>
      <c r="C121" s="695" t="s">
        <v>2</v>
      </c>
      <c r="D121" s="697" t="s">
        <v>3</v>
      </c>
      <c r="E121" s="698"/>
      <c r="F121" s="698"/>
      <c r="G121" s="698"/>
      <c r="H121" s="698"/>
      <c r="I121" s="699" t="s">
        <v>4</v>
      </c>
      <c r="J121" s="700"/>
      <c r="K121" s="700"/>
      <c r="L121" s="700"/>
      <c r="M121" s="700"/>
      <c r="N121" s="698" t="s">
        <v>5</v>
      </c>
      <c r="O121" s="698"/>
      <c r="P121" s="698"/>
      <c r="Q121" s="698"/>
      <c r="R121" s="698"/>
    </row>
    <row r="122" spans="1:18">
      <c r="A122" s="694"/>
      <c r="B122" s="696"/>
      <c r="C122" s="696"/>
      <c r="D122" s="45" t="s">
        <v>6</v>
      </c>
      <c r="E122" s="46" t="s">
        <v>2</v>
      </c>
      <c r="F122" s="46" t="s">
        <v>7</v>
      </c>
      <c r="G122" s="46" t="s">
        <v>8</v>
      </c>
      <c r="H122" s="46" t="s">
        <v>9</v>
      </c>
      <c r="I122" s="46" t="s">
        <v>10</v>
      </c>
      <c r="J122" s="46" t="s">
        <v>2</v>
      </c>
      <c r="K122" s="46" t="s">
        <v>7</v>
      </c>
      <c r="L122" s="46" t="s">
        <v>8</v>
      </c>
      <c r="M122" s="47" t="s">
        <v>9</v>
      </c>
      <c r="N122" s="46" t="s">
        <v>10</v>
      </c>
      <c r="O122" s="46" t="s">
        <v>2</v>
      </c>
      <c r="P122" s="46" t="s">
        <v>7</v>
      </c>
      <c r="Q122" s="46" t="s">
        <v>8</v>
      </c>
      <c r="R122" s="46" t="s">
        <v>9</v>
      </c>
    </row>
    <row r="123" spans="1:18">
      <c r="A123" s="33" t="s">
        <v>23</v>
      </c>
      <c r="B123" s="73" t="s">
        <v>134</v>
      </c>
      <c r="C123" s="65"/>
      <c r="D123" s="31"/>
      <c r="E123" s="31"/>
      <c r="F123" s="31"/>
      <c r="G123" s="31"/>
      <c r="H123" s="31"/>
      <c r="I123" s="31"/>
      <c r="J123" s="31"/>
      <c r="K123" s="31"/>
      <c r="L123" s="31"/>
      <c r="M123" s="31"/>
      <c r="N123" s="31"/>
      <c r="O123" s="31"/>
      <c r="P123" s="31"/>
      <c r="Q123" s="31"/>
      <c r="R123" s="32"/>
    </row>
    <row r="124" spans="1:18">
      <c r="A124" s="34">
        <f>A103+1</f>
        <v>7</v>
      </c>
      <c r="B124" s="713" t="s">
        <v>139</v>
      </c>
      <c r="C124" s="66" t="s">
        <v>138</v>
      </c>
      <c r="D124" s="4"/>
      <c r="E124" s="6"/>
      <c r="F124" s="29"/>
      <c r="G124" s="26"/>
      <c r="H124" s="26"/>
      <c r="I124" s="6"/>
      <c r="J124" s="6"/>
      <c r="K124" s="29"/>
      <c r="L124" s="26"/>
      <c r="M124" s="26"/>
      <c r="N124" s="6"/>
      <c r="O124" s="6"/>
      <c r="P124" s="29"/>
      <c r="Q124" s="26"/>
      <c r="R124" s="26"/>
    </row>
    <row r="125" spans="1:18">
      <c r="A125" s="2"/>
      <c r="B125" s="714"/>
      <c r="C125" s="66"/>
      <c r="D125" s="4" t="s">
        <v>97</v>
      </c>
      <c r="E125" s="6" t="s">
        <v>81</v>
      </c>
      <c r="F125" s="29">
        <v>9.75</v>
      </c>
      <c r="G125" s="26">
        <f>ur</f>
        <v>850</v>
      </c>
      <c r="H125" s="26">
        <f>F125*G125</f>
        <v>8287.5</v>
      </c>
      <c r="I125" s="7"/>
      <c r="J125" s="8"/>
      <c r="K125" s="29"/>
      <c r="L125" s="28"/>
      <c r="M125" s="28"/>
      <c r="N125" s="8" t="s">
        <v>128</v>
      </c>
      <c r="O125" s="6"/>
      <c r="P125" s="29"/>
      <c r="Q125" s="28"/>
      <c r="R125" s="28">
        <f>3%*H132</f>
        <v>248.625</v>
      </c>
    </row>
    <row r="126" spans="1:18">
      <c r="A126" s="2"/>
      <c r="B126" s="714"/>
      <c r="C126" s="66"/>
      <c r="D126" s="4"/>
      <c r="E126" s="6"/>
      <c r="F126" s="29"/>
      <c r="G126" s="26"/>
      <c r="H126" s="26"/>
      <c r="I126" s="7"/>
      <c r="J126" s="8"/>
      <c r="K126" s="29"/>
      <c r="L126" s="28"/>
      <c r="M126" s="28"/>
      <c r="N126" s="8"/>
      <c r="O126" s="6"/>
      <c r="P126" s="29"/>
      <c r="Q126" s="28"/>
      <c r="R126" s="28"/>
    </row>
    <row r="127" spans="1:18">
      <c r="A127" s="2"/>
      <c r="B127" s="714"/>
      <c r="C127" s="66"/>
      <c r="D127" s="4"/>
      <c r="E127" s="6"/>
      <c r="F127" s="29"/>
      <c r="G127" s="26"/>
      <c r="H127" s="26"/>
      <c r="I127" s="7"/>
      <c r="J127" s="8"/>
      <c r="K127" s="29"/>
      <c r="L127" s="28"/>
      <c r="M127" s="28"/>
      <c r="N127" s="8"/>
      <c r="O127" s="6"/>
      <c r="P127" s="29"/>
      <c r="Q127" s="28"/>
      <c r="R127" s="28"/>
    </row>
    <row r="128" spans="1:18">
      <c r="A128" s="2"/>
      <c r="B128" s="714"/>
      <c r="C128" s="66"/>
      <c r="D128" s="4"/>
      <c r="E128" s="6"/>
      <c r="F128" s="29"/>
      <c r="G128" s="26"/>
      <c r="H128" s="26"/>
      <c r="I128" s="7"/>
      <c r="J128" s="8"/>
      <c r="K128" s="29"/>
      <c r="L128" s="28"/>
      <c r="M128" s="28"/>
      <c r="N128" s="8"/>
      <c r="O128" s="6"/>
      <c r="P128" s="29"/>
      <c r="Q128" s="28"/>
      <c r="R128" s="28"/>
    </row>
    <row r="129" spans="1:18">
      <c r="A129" s="2"/>
      <c r="B129" s="714"/>
      <c r="C129" s="66"/>
      <c r="D129" s="4"/>
      <c r="E129" s="6"/>
      <c r="F129" s="29"/>
      <c r="G129" s="26"/>
      <c r="H129" s="26"/>
      <c r="I129" s="7"/>
      <c r="J129" s="8"/>
      <c r="K129" s="29"/>
      <c r="L129" s="28"/>
      <c r="M129" s="28"/>
      <c r="N129" s="8"/>
      <c r="O129" s="6"/>
      <c r="P129" s="29"/>
      <c r="Q129" s="28"/>
      <c r="R129" s="28"/>
    </row>
    <row r="130" spans="1:18">
      <c r="A130" s="2"/>
      <c r="B130" s="714"/>
      <c r="C130" s="66"/>
      <c r="D130" s="4"/>
      <c r="E130" s="6"/>
      <c r="F130" s="29"/>
      <c r="G130" s="26"/>
      <c r="H130" s="26"/>
      <c r="I130" s="7"/>
      <c r="J130" s="8"/>
      <c r="K130" s="29"/>
      <c r="L130" s="28"/>
      <c r="M130" s="28"/>
      <c r="N130" s="8"/>
      <c r="O130" s="6"/>
      <c r="P130" s="29"/>
      <c r="Q130" s="28"/>
      <c r="R130" s="28"/>
    </row>
    <row r="131" spans="1:18">
      <c r="A131" s="2"/>
      <c r="B131" s="5"/>
      <c r="C131" s="66"/>
      <c r="D131" s="4"/>
      <c r="E131" s="9"/>
      <c r="F131" s="30"/>
      <c r="G131" s="27"/>
      <c r="H131" s="27"/>
      <c r="I131" s="9"/>
      <c r="J131" s="10"/>
      <c r="K131" s="30"/>
      <c r="L131" s="28"/>
      <c r="M131" s="28"/>
      <c r="N131" s="8"/>
      <c r="O131" s="6"/>
      <c r="P131" s="30"/>
      <c r="Q131" s="28"/>
      <c r="R131" s="28"/>
    </row>
    <row r="132" spans="1:18">
      <c r="A132" s="2"/>
      <c r="B132" s="11"/>
      <c r="C132" s="66"/>
      <c r="D132" s="12"/>
      <c r="E132" s="59"/>
      <c r="F132" s="13"/>
      <c r="G132" s="13" t="s">
        <v>20</v>
      </c>
      <c r="H132" s="25">
        <f>SUM(H124:H131)</f>
        <v>8287.5</v>
      </c>
      <c r="I132" s="703"/>
      <c r="J132" s="703"/>
      <c r="K132" s="14"/>
      <c r="L132" s="13" t="s">
        <v>21</v>
      </c>
      <c r="M132" s="25">
        <f>SUM(M124:M131)</f>
        <v>0</v>
      </c>
      <c r="N132" s="3"/>
      <c r="O132" s="14"/>
      <c r="P132" s="14"/>
      <c r="Q132" s="13" t="s">
        <v>22</v>
      </c>
      <c r="R132" s="25">
        <f>SUM(R124:R131)</f>
        <v>248.625</v>
      </c>
    </row>
    <row r="133" spans="1:18">
      <c r="A133" s="2"/>
      <c r="B133" s="16" t="s">
        <v>13</v>
      </c>
      <c r="C133" s="67"/>
      <c r="D133" s="14"/>
      <c r="E133" s="14"/>
      <c r="F133" s="14"/>
      <c r="G133" s="13"/>
      <c r="H133" s="35">
        <f>M132+R132+H132</f>
        <v>8536.125</v>
      </c>
      <c r="I133" s="17"/>
      <c r="J133" s="14"/>
      <c r="K133" s="14"/>
      <c r="L133" s="13"/>
      <c r="M133" s="15"/>
      <c r="N133" s="14"/>
      <c r="O133" s="14"/>
      <c r="P133" s="14"/>
      <c r="Q133" s="14"/>
      <c r="R133" s="17"/>
    </row>
    <row r="134" spans="1:18">
      <c r="A134" s="2"/>
      <c r="B134" s="11" t="s">
        <v>25</v>
      </c>
      <c r="C134" s="68"/>
      <c r="D134" s="4"/>
      <c r="E134" s="4"/>
      <c r="F134" s="4"/>
      <c r="G134" s="18"/>
      <c r="H134" s="36">
        <v>0</v>
      </c>
      <c r="I134" s="20"/>
      <c r="J134" s="4" t="s">
        <v>26</v>
      </c>
      <c r="K134" s="4"/>
      <c r="L134" s="18"/>
      <c r="M134" s="19"/>
      <c r="N134" s="4"/>
      <c r="O134" s="4"/>
      <c r="P134" s="4"/>
      <c r="Q134" s="4"/>
      <c r="R134" s="20"/>
    </row>
    <row r="135" spans="1:18">
      <c r="A135" s="23"/>
      <c r="B135" s="11" t="s">
        <v>14</v>
      </c>
      <c r="C135" s="68"/>
      <c r="D135" s="4"/>
      <c r="E135" s="4"/>
      <c r="F135" s="4"/>
      <c r="G135" s="18"/>
      <c r="H135" s="36">
        <f>SUM(H133:H134)</f>
        <v>8536.125</v>
      </c>
      <c r="I135" s="20"/>
      <c r="J135" s="704"/>
      <c r="K135" s="705"/>
      <c r="L135" s="705"/>
      <c r="M135" s="705"/>
      <c r="N135" s="705"/>
      <c r="O135" s="705"/>
      <c r="P135" s="705"/>
      <c r="Q135" s="705"/>
      <c r="R135" s="706"/>
    </row>
    <row r="136" spans="1:18">
      <c r="A136" s="23"/>
      <c r="B136" s="11" t="s">
        <v>24</v>
      </c>
      <c r="C136" s="68"/>
      <c r="D136" s="4"/>
      <c r="E136" s="4"/>
      <c r="F136" s="4"/>
      <c r="G136" s="18"/>
      <c r="H136" s="36">
        <f>H135*15%</f>
        <v>1280.41875</v>
      </c>
      <c r="I136" s="20"/>
      <c r="J136" s="707"/>
      <c r="K136" s="708"/>
      <c r="L136" s="708"/>
      <c r="M136" s="708"/>
      <c r="N136" s="708"/>
      <c r="O136" s="708"/>
      <c r="P136" s="708"/>
      <c r="Q136" s="708"/>
      <c r="R136" s="709"/>
    </row>
    <row r="137" spans="1:18">
      <c r="A137" s="23"/>
      <c r="B137" s="11" t="s">
        <v>15</v>
      </c>
      <c r="C137" s="68"/>
      <c r="D137" s="4"/>
      <c r="E137" s="4"/>
      <c r="F137" s="4"/>
      <c r="G137" s="21" t="s">
        <v>16</v>
      </c>
      <c r="H137" s="37">
        <f>H136+H135</f>
        <v>9816.5437500000007</v>
      </c>
      <c r="I137" s="38" t="str">
        <f>CONCATENATE("per ",C124)</f>
        <v>per nos.</v>
      </c>
      <c r="J137" s="707"/>
      <c r="K137" s="708"/>
      <c r="L137" s="708"/>
      <c r="M137" s="708"/>
      <c r="N137" s="708"/>
      <c r="O137" s="708"/>
      <c r="P137" s="708"/>
      <c r="Q137" s="708"/>
      <c r="R137" s="709"/>
    </row>
    <row r="138" spans="1:18">
      <c r="A138" s="23"/>
      <c r="B138" s="11" t="s">
        <v>18</v>
      </c>
      <c r="C138" s="125" t="s">
        <v>19</v>
      </c>
      <c r="D138" s="4"/>
      <c r="E138" s="4"/>
      <c r="F138" s="4"/>
      <c r="G138" s="21" t="s">
        <v>16</v>
      </c>
      <c r="H138" s="37">
        <f>CEILING(H137,0.5)</f>
        <v>9817</v>
      </c>
      <c r="I138" s="38" t="str">
        <f>CONCATENATE("per ",C124)</f>
        <v>per nos.</v>
      </c>
      <c r="J138" s="707"/>
      <c r="K138" s="708"/>
      <c r="L138" s="708"/>
      <c r="M138" s="708"/>
      <c r="N138" s="708"/>
      <c r="O138" s="708"/>
      <c r="P138" s="708"/>
      <c r="Q138" s="708"/>
      <c r="R138" s="709"/>
    </row>
    <row r="139" spans="1:18">
      <c r="A139" s="23"/>
      <c r="B139" s="11"/>
      <c r="C139" s="68"/>
      <c r="D139" s="4"/>
      <c r="E139" s="4"/>
      <c r="F139" s="4"/>
      <c r="G139" s="24" t="s">
        <v>17</v>
      </c>
      <c r="H139" s="37">
        <f>H138/exr</f>
        <v>75.515384615384619</v>
      </c>
      <c r="I139" s="38" t="str">
        <f>CONCATENATE("per ",C124)</f>
        <v>per nos.</v>
      </c>
      <c r="J139" s="710"/>
      <c r="K139" s="711"/>
      <c r="L139" s="711"/>
      <c r="M139" s="711"/>
      <c r="N139" s="711"/>
      <c r="O139" s="711"/>
      <c r="P139" s="711"/>
      <c r="Q139" s="711"/>
      <c r="R139" s="712"/>
    </row>
    <row r="140" spans="1:18">
      <c r="A140" s="39"/>
      <c r="B140" s="40"/>
      <c r="C140" s="69"/>
      <c r="D140" s="41"/>
      <c r="E140" s="41"/>
      <c r="F140" s="41"/>
      <c r="G140" s="149" t="s">
        <v>460</v>
      </c>
      <c r="H140" s="150">
        <f>CEILING(0,0.0025)</f>
        <v>0</v>
      </c>
      <c r="I140" s="42"/>
      <c r="J140" s="43"/>
      <c r="K140" s="43"/>
      <c r="L140" s="43"/>
      <c r="M140" s="43"/>
      <c r="N140" s="43"/>
      <c r="O140" s="43"/>
      <c r="P140" s="43"/>
      <c r="Q140" s="43"/>
      <c r="R140" s="44"/>
    </row>
    <row r="142" spans="1:18">
      <c r="A142" s="693" t="s">
        <v>0</v>
      </c>
      <c r="B142" s="695" t="s">
        <v>1</v>
      </c>
      <c r="C142" s="695" t="s">
        <v>2</v>
      </c>
      <c r="D142" s="697" t="s">
        <v>3</v>
      </c>
      <c r="E142" s="698"/>
      <c r="F142" s="698"/>
      <c r="G142" s="698"/>
      <c r="H142" s="698"/>
      <c r="I142" s="699" t="s">
        <v>4</v>
      </c>
      <c r="J142" s="700"/>
      <c r="K142" s="700"/>
      <c r="L142" s="700"/>
      <c r="M142" s="700"/>
      <c r="N142" s="698" t="s">
        <v>5</v>
      </c>
      <c r="O142" s="698"/>
      <c r="P142" s="698"/>
      <c r="Q142" s="698"/>
      <c r="R142" s="698"/>
    </row>
    <row r="143" spans="1:18">
      <c r="A143" s="694"/>
      <c r="B143" s="696"/>
      <c r="C143" s="696"/>
      <c r="D143" s="45" t="s">
        <v>6</v>
      </c>
      <c r="E143" s="46" t="s">
        <v>2</v>
      </c>
      <c r="F143" s="46" t="s">
        <v>7</v>
      </c>
      <c r="G143" s="46" t="s">
        <v>8</v>
      </c>
      <c r="H143" s="46" t="s">
        <v>9</v>
      </c>
      <c r="I143" s="46" t="s">
        <v>10</v>
      </c>
      <c r="J143" s="46" t="s">
        <v>2</v>
      </c>
      <c r="K143" s="46" t="s">
        <v>7</v>
      </c>
      <c r="L143" s="46" t="s">
        <v>8</v>
      </c>
      <c r="M143" s="47" t="s">
        <v>9</v>
      </c>
      <c r="N143" s="46" t="s">
        <v>10</v>
      </c>
      <c r="O143" s="46" t="s">
        <v>2</v>
      </c>
      <c r="P143" s="46" t="s">
        <v>7</v>
      </c>
      <c r="Q143" s="46" t="s">
        <v>8</v>
      </c>
      <c r="R143" s="46" t="s">
        <v>9</v>
      </c>
    </row>
    <row r="144" spans="1:18">
      <c r="A144" s="33" t="s">
        <v>23</v>
      </c>
      <c r="B144" s="73" t="s">
        <v>134</v>
      </c>
      <c r="C144" s="65"/>
      <c r="D144" s="31"/>
      <c r="E144" s="31"/>
      <c r="F144" s="31"/>
      <c r="G144" s="31"/>
      <c r="H144" s="31"/>
      <c r="I144" s="31"/>
      <c r="J144" s="31"/>
      <c r="K144" s="31"/>
      <c r="L144" s="31"/>
      <c r="M144" s="31"/>
      <c r="N144" s="31"/>
      <c r="O144" s="31"/>
      <c r="P144" s="31"/>
      <c r="Q144" s="31"/>
      <c r="R144" s="32"/>
    </row>
    <row r="145" spans="1:18">
      <c r="A145" s="34">
        <f>A124+1</f>
        <v>8</v>
      </c>
      <c r="B145" s="713" t="s">
        <v>140</v>
      </c>
      <c r="C145" s="66" t="s">
        <v>138</v>
      </c>
      <c r="D145" s="4"/>
      <c r="E145" s="6"/>
      <c r="F145" s="29"/>
      <c r="G145" s="26"/>
      <c r="H145" s="26"/>
      <c r="I145" s="6"/>
      <c r="J145" s="6"/>
      <c r="K145" s="29"/>
      <c r="L145" s="26"/>
      <c r="M145" s="26"/>
      <c r="N145" s="6"/>
      <c r="O145" s="6"/>
      <c r="P145" s="29"/>
      <c r="Q145" s="26"/>
      <c r="R145" s="26"/>
    </row>
    <row r="146" spans="1:18">
      <c r="A146" s="2"/>
      <c r="B146" s="714"/>
      <c r="C146" s="66"/>
      <c r="D146" s="4" t="s">
        <v>97</v>
      </c>
      <c r="E146" s="6" t="s">
        <v>81</v>
      </c>
      <c r="F146" s="29">
        <v>16</v>
      </c>
      <c r="G146" s="26">
        <f>ur</f>
        <v>850</v>
      </c>
      <c r="H146" s="26">
        <f>F146*G146</f>
        <v>13600</v>
      </c>
      <c r="I146" s="7"/>
      <c r="J146" s="8"/>
      <c r="K146" s="29"/>
      <c r="L146" s="28"/>
      <c r="M146" s="28"/>
      <c r="N146" s="8" t="s">
        <v>128</v>
      </c>
      <c r="O146" s="6"/>
      <c r="P146" s="29"/>
      <c r="Q146" s="28"/>
      <c r="R146" s="28">
        <f>3%*H153</f>
        <v>408</v>
      </c>
    </row>
    <row r="147" spans="1:18">
      <c r="A147" s="2"/>
      <c r="B147" s="714"/>
      <c r="C147" s="66"/>
      <c r="D147" s="4"/>
      <c r="E147" s="6"/>
      <c r="F147" s="29"/>
      <c r="G147" s="26"/>
      <c r="H147" s="26"/>
      <c r="I147" s="7"/>
      <c r="J147" s="8"/>
      <c r="K147" s="29"/>
      <c r="L147" s="28"/>
      <c r="M147" s="28"/>
      <c r="N147" s="8"/>
      <c r="O147" s="6"/>
      <c r="P147" s="29"/>
      <c r="Q147" s="28"/>
      <c r="R147" s="28"/>
    </row>
    <row r="148" spans="1:18">
      <c r="A148" s="2"/>
      <c r="B148" s="714"/>
      <c r="C148" s="66"/>
      <c r="D148" s="4"/>
      <c r="E148" s="6"/>
      <c r="F148" s="29"/>
      <c r="G148" s="26"/>
      <c r="H148" s="26"/>
      <c r="I148" s="7"/>
      <c r="J148" s="8"/>
      <c r="K148" s="29"/>
      <c r="L148" s="28"/>
      <c r="M148" s="28"/>
      <c r="N148" s="8"/>
      <c r="O148" s="6"/>
      <c r="P148" s="29"/>
      <c r="Q148" s="28"/>
      <c r="R148" s="28"/>
    </row>
    <row r="149" spans="1:18">
      <c r="A149" s="2"/>
      <c r="B149" s="714"/>
      <c r="C149" s="66"/>
      <c r="D149" s="4"/>
      <c r="E149" s="6"/>
      <c r="F149" s="29"/>
      <c r="G149" s="26"/>
      <c r="H149" s="26"/>
      <c r="I149" s="7"/>
      <c r="J149" s="8"/>
      <c r="K149" s="29"/>
      <c r="L149" s="28"/>
      <c r="M149" s="28"/>
      <c r="N149" s="8"/>
      <c r="O149" s="6"/>
      <c r="P149" s="29"/>
      <c r="Q149" s="28"/>
      <c r="R149" s="28"/>
    </row>
    <row r="150" spans="1:18">
      <c r="A150" s="2"/>
      <c r="B150" s="714"/>
      <c r="C150" s="66"/>
      <c r="D150" s="4"/>
      <c r="E150" s="6"/>
      <c r="F150" s="29"/>
      <c r="G150" s="26"/>
      <c r="H150" s="26"/>
      <c r="I150" s="7"/>
      <c r="J150" s="8"/>
      <c r="K150" s="29"/>
      <c r="L150" s="28"/>
      <c r="M150" s="28"/>
      <c r="N150" s="8"/>
      <c r="O150" s="6"/>
      <c r="P150" s="29"/>
      <c r="Q150" s="28"/>
      <c r="R150" s="28"/>
    </row>
    <row r="151" spans="1:18">
      <c r="A151" s="2"/>
      <c r="B151" s="714"/>
      <c r="C151" s="66"/>
      <c r="D151" s="4"/>
      <c r="E151" s="6"/>
      <c r="F151" s="29"/>
      <c r="G151" s="26"/>
      <c r="H151" s="26"/>
      <c r="I151" s="7"/>
      <c r="J151" s="8"/>
      <c r="K151" s="29"/>
      <c r="L151" s="28"/>
      <c r="M151" s="28"/>
      <c r="N151" s="8"/>
      <c r="O151" s="6"/>
      <c r="P151" s="29"/>
      <c r="Q151" s="28"/>
      <c r="R151" s="28"/>
    </row>
    <row r="152" spans="1:18">
      <c r="A152" s="2"/>
      <c r="B152" s="5"/>
      <c r="C152" s="66"/>
      <c r="D152" s="4"/>
      <c r="E152" s="9"/>
      <c r="F152" s="30"/>
      <c r="G152" s="27"/>
      <c r="H152" s="27"/>
      <c r="I152" s="9"/>
      <c r="J152" s="10"/>
      <c r="K152" s="30"/>
      <c r="L152" s="28"/>
      <c r="M152" s="28"/>
      <c r="N152" s="8"/>
      <c r="O152" s="6"/>
      <c r="P152" s="30"/>
      <c r="Q152" s="28"/>
      <c r="R152" s="28"/>
    </row>
    <row r="153" spans="1:18">
      <c r="A153" s="2"/>
      <c r="B153" s="11"/>
      <c r="C153" s="66"/>
      <c r="D153" s="12"/>
      <c r="E153" s="59"/>
      <c r="F153" s="13"/>
      <c r="G153" s="13" t="s">
        <v>20</v>
      </c>
      <c r="H153" s="25">
        <f>SUM(H145:H152)</f>
        <v>13600</v>
      </c>
      <c r="I153" s="703"/>
      <c r="J153" s="703"/>
      <c r="K153" s="14"/>
      <c r="L153" s="13" t="s">
        <v>21</v>
      </c>
      <c r="M153" s="25">
        <f>SUM(M145:M152)</f>
        <v>0</v>
      </c>
      <c r="N153" s="3"/>
      <c r="O153" s="14"/>
      <c r="P153" s="14"/>
      <c r="Q153" s="13" t="s">
        <v>22</v>
      </c>
      <c r="R153" s="25">
        <f>SUM(R145:R152)</f>
        <v>408</v>
      </c>
    </row>
    <row r="154" spans="1:18">
      <c r="A154" s="2"/>
      <c r="B154" s="16" t="s">
        <v>13</v>
      </c>
      <c r="C154" s="67"/>
      <c r="D154" s="14"/>
      <c r="E154" s="14"/>
      <c r="F154" s="14"/>
      <c r="G154" s="13"/>
      <c r="H154" s="35">
        <f>M153+R153+H153</f>
        <v>14008</v>
      </c>
      <c r="I154" s="17"/>
      <c r="J154" s="14"/>
      <c r="K154" s="14"/>
      <c r="L154" s="13"/>
      <c r="M154" s="15"/>
      <c r="N154" s="14"/>
      <c r="O154" s="14"/>
      <c r="P154" s="14"/>
      <c r="Q154" s="14"/>
      <c r="R154" s="17"/>
    </row>
    <row r="155" spans="1:18">
      <c r="A155" s="2"/>
      <c r="B155" s="11" t="s">
        <v>25</v>
      </c>
      <c r="C155" s="68"/>
      <c r="D155" s="4"/>
      <c r="E155" s="4"/>
      <c r="F155" s="4"/>
      <c r="G155" s="18"/>
      <c r="H155" s="36">
        <v>0</v>
      </c>
      <c r="I155" s="20"/>
      <c r="J155" s="4" t="s">
        <v>26</v>
      </c>
      <c r="K155" s="4"/>
      <c r="L155" s="18"/>
      <c r="M155" s="19"/>
      <c r="N155" s="4"/>
      <c r="O155" s="4"/>
      <c r="P155" s="4"/>
      <c r="Q155" s="4"/>
      <c r="R155" s="20"/>
    </row>
    <row r="156" spans="1:18">
      <c r="A156" s="23"/>
      <c r="B156" s="11" t="s">
        <v>14</v>
      </c>
      <c r="C156" s="68"/>
      <c r="D156" s="4"/>
      <c r="E156" s="4"/>
      <c r="F156" s="4"/>
      <c r="G156" s="18"/>
      <c r="H156" s="36">
        <f>SUM(H154:H155)</f>
        <v>14008</v>
      </c>
      <c r="I156" s="20"/>
      <c r="J156" s="704"/>
      <c r="K156" s="705"/>
      <c r="L156" s="705"/>
      <c r="M156" s="705"/>
      <c r="N156" s="705"/>
      <c r="O156" s="705"/>
      <c r="P156" s="705"/>
      <c r="Q156" s="705"/>
      <c r="R156" s="706"/>
    </row>
    <row r="157" spans="1:18">
      <c r="A157" s="23"/>
      <c r="B157" s="11" t="s">
        <v>24</v>
      </c>
      <c r="C157" s="68"/>
      <c r="D157" s="4"/>
      <c r="E157" s="4"/>
      <c r="F157" s="4"/>
      <c r="G157" s="18"/>
      <c r="H157" s="36">
        <f>H156*15%</f>
        <v>2101.1999999999998</v>
      </c>
      <c r="I157" s="20"/>
      <c r="J157" s="707"/>
      <c r="K157" s="708"/>
      <c r="L157" s="708"/>
      <c r="M157" s="708"/>
      <c r="N157" s="708"/>
      <c r="O157" s="708"/>
      <c r="P157" s="708"/>
      <c r="Q157" s="708"/>
      <c r="R157" s="709"/>
    </row>
    <row r="158" spans="1:18">
      <c r="A158" s="23"/>
      <c r="B158" s="11" t="s">
        <v>15</v>
      </c>
      <c r="C158" s="68"/>
      <c r="D158" s="4"/>
      <c r="E158" s="4"/>
      <c r="F158" s="4"/>
      <c r="G158" s="21" t="s">
        <v>16</v>
      </c>
      <c r="H158" s="37">
        <f>H157+H156</f>
        <v>16109.2</v>
      </c>
      <c r="I158" s="38" t="str">
        <f>CONCATENATE("per ",C145)</f>
        <v>per nos.</v>
      </c>
      <c r="J158" s="707"/>
      <c r="K158" s="708"/>
      <c r="L158" s="708"/>
      <c r="M158" s="708"/>
      <c r="N158" s="708"/>
      <c r="O158" s="708"/>
      <c r="P158" s="708"/>
      <c r="Q158" s="708"/>
      <c r="R158" s="709"/>
    </row>
    <row r="159" spans="1:18">
      <c r="A159" s="23"/>
      <c r="B159" s="11" t="s">
        <v>18</v>
      </c>
      <c r="C159" s="125" t="s">
        <v>19</v>
      </c>
      <c r="D159" s="4"/>
      <c r="E159" s="4"/>
      <c r="F159" s="4"/>
      <c r="G159" s="21" t="s">
        <v>16</v>
      </c>
      <c r="H159" s="37">
        <f>CEILING(H158,0.5)</f>
        <v>16109.5</v>
      </c>
      <c r="I159" s="38" t="str">
        <f>CONCATENATE("per ",C145)</f>
        <v>per nos.</v>
      </c>
      <c r="J159" s="707"/>
      <c r="K159" s="708"/>
      <c r="L159" s="708"/>
      <c r="M159" s="708"/>
      <c r="N159" s="708"/>
      <c r="O159" s="708"/>
      <c r="P159" s="708"/>
      <c r="Q159" s="708"/>
      <c r="R159" s="709"/>
    </row>
    <row r="160" spans="1:18">
      <c r="A160" s="23"/>
      <c r="B160" s="11"/>
      <c r="C160" s="68"/>
      <c r="D160" s="4"/>
      <c r="E160" s="4"/>
      <c r="F160" s="4"/>
      <c r="G160" s="24" t="s">
        <v>17</v>
      </c>
      <c r="H160" s="37">
        <f>H159/exr</f>
        <v>123.91923076923077</v>
      </c>
      <c r="I160" s="38" t="str">
        <f>CONCATENATE("per ",C145)</f>
        <v>per nos.</v>
      </c>
      <c r="J160" s="710"/>
      <c r="K160" s="711"/>
      <c r="L160" s="711"/>
      <c r="M160" s="711"/>
      <c r="N160" s="711"/>
      <c r="O160" s="711"/>
      <c r="P160" s="711"/>
      <c r="Q160" s="711"/>
      <c r="R160" s="712"/>
    </row>
    <row r="161" spans="1:18">
      <c r="A161" s="39"/>
      <c r="B161" s="40"/>
      <c r="C161" s="69"/>
      <c r="D161" s="41"/>
      <c r="E161" s="41"/>
      <c r="F161" s="41"/>
      <c r="G161" s="149" t="s">
        <v>460</v>
      </c>
      <c r="H161" s="150">
        <f>CEILING(0,0.0025)</f>
        <v>0</v>
      </c>
      <c r="I161" s="42"/>
      <c r="J161" s="43"/>
      <c r="K161" s="43"/>
      <c r="L161" s="43"/>
      <c r="M161" s="43"/>
      <c r="N161" s="43"/>
      <c r="O161" s="43"/>
      <c r="P161" s="43"/>
      <c r="Q161" s="43"/>
      <c r="R161" s="44"/>
    </row>
    <row r="163" spans="1:18">
      <c r="A163" s="693" t="s">
        <v>0</v>
      </c>
      <c r="B163" s="695" t="s">
        <v>1</v>
      </c>
      <c r="C163" s="695" t="s">
        <v>2</v>
      </c>
      <c r="D163" s="697" t="s">
        <v>3</v>
      </c>
      <c r="E163" s="698"/>
      <c r="F163" s="698"/>
      <c r="G163" s="698"/>
      <c r="H163" s="698"/>
      <c r="I163" s="699" t="s">
        <v>4</v>
      </c>
      <c r="J163" s="700"/>
      <c r="K163" s="700"/>
      <c r="L163" s="700"/>
      <c r="M163" s="700"/>
      <c r="N163" s="698" t="s">
        <v>5</v>
      </c>
      <c r="O163" s="698"/>
      <c r="P163" s="698"/>
      <c r="Q163" s="698"/>
      <c r="R163" s="698"/>
    </row>
    <row r="164" spans="1:18">
      <c r="A164" s="694"/>
      <c r="B164" s="696"/>
      <c r="C164" s="696"/>
      <c r="D164" s="45" t="s">
        <v>6</v>
      </c>
      <c r="E164" s="46" t="s">
        <v>2</v>
      </c>
      <c r="F164" s="46" t="s">
        <v>7</v>
      </c>
      <c r="G164" s="46" t="s">
        <v>8</v>
      </c>
      <c r="H164" s="46" t="s">
        <v>9</v>
      </c>
      <c r="I164" s="46" t="s">
        <v>10</v>
      </c>
      <c r="J164" s="46" t="s">
        <v>2</v>
      </c>
      <c r="K164" s="46" t="s">
        <v>7</v>
      </c>
      <c r="L164" s="46" t="s">
        <v>8</v>
      </c>
      <c r="M164" s="47" t="s">
        <v>9</v>
      </c>
      <c r="N164" s="46" t="s">
        <v>10</v>
      </c>
      <c r="O164" s="46" t="s">
        <v>2</v>
      </c>
      <c r="P164" s="46" t="s">
        <v>7</v>
      </c>
      <c r="Q164" s="46" t="s">
        <v>8</v>
      </c>
      <c r="R164" s="46" t="s">
        <v>9</v>
      </c>
    </row>
    <row r="165" spans="1:18">
      <c r="A165" s="33" t="s">
        <v>23</v>
      </c>
      <c r="B165" s="73" t="s">
        <v>134</v>
      </c>
      <c r="C165" s="65"/>
      <c r="D165" s="31"/>
      <c r="E165" s="31"/>
      <c r="F165" s="31"/>
      <c r="G165" s="31"/>
      <c r="H165" s="31"/>
      <c r="I165" s="31"/>
      <c r="J165" s="31"/>
      <c r="K165" s="31"/>
      <c r="L165" s="31"/>
      <c r="M165" s="31"/>
      <c r="N165" s="31"/>
      <c r="O165" s="31"/>
      <c r="P165" s="31"/>
      <c r="Q165" s="31"/>
      <c r="R165" s="32"/>
    </row>
    <row r="166" spans="1:18">
      <c r="A166" s="34">
        <f>A145+1</f>
        <v>9</v>
      </c>
      <c r="B166" s="713" t="s">
        <v>142</v>
      </c>
      <c r="C166" s="66" t="s">
        <v>138</v>
      </c>
      <c r="D166" s="4"/>
      <c r="E166" s="6"/>
      <c r="F166" s="29"/>
      <c r="G166" s="26"/>
      <c r="H166" s="26"/>
      <c r="I166" s="6"/>
      <c r="J166" s="6"/>
      <c r="K166" s="29"/>
      <c r="L166" s="26"/>
      <c r="M166" s="26"/>
      <c r="N166" s="6"/>
      <c r="O166" s="6"/>
      <c r="P166" s="29"/>
      <c r="Q166" s="26"/>
      <c r="R166" s="26"/>
    </row>
    <row r="167" spans="1:18">
      <c r="A167" s="2"/>
      <c r="B167" s="714"/>
      <c r="C167" s="66"/>
      <c r="D167" s="4" t="s">
        <v>97</v>
      </c>
      <c r="E167" s="6" t="s">
        <v>81</v>
      </c>
      <c r="F167" s="29">
        <v>40</v>
      </c>
      <c r="G167" s="26">
        <f>ur</f>
        <v>850</v>
      </c>
      <c r="H167" s="26">
        <f>F167*G167</f>
        <v>34000</v>
      </c>
      <c r="I167" s="7"/>
      <c r="J167" s="8"/>
      <c r="K167" s="29"/>
      <c r="L167" s="28"/>
      <c r="M167" s="28"/>
      <c r="N167" s="8" t="s">
        <v>128</v>
      </c>
      <c r="O167" s="6"/>
      <c r="P167" s="29"/>
      <c r="Q167" s="28"/>
      <c r="R167" s="28">
        <f>3%*H174</f>
        <v>1020</v>
      </c>
    </row>
    <row r="168" spans="1:18">
      <c r="A168" s="2"/>
      <c r="B168" s="714"/>
      <c r="C168" s="66"/>
      <c r="D168" s="4"/>
      <c r="E168" s="6"/>
      <c r="F168" s="29"/>
      <c r="G168" s="26"/>
      <c r="H168" s="26"/>
      <c r="I168" s="7"/>
      <c r="J168" s="8"/>
      <c r="K168" s="29"/>
      <c r="L168" s="28"/>
      <c r="M168" s="28"/>
      <c r="N168" s="8"/>
      <c r="O168" s="6"/>
      <c r="P168" s="29"/>
      <c r="Q168" s="28"/>
      <c r="R168" s="28"/>
    </row>
    <row r="169" spans="1:18">
      <c r="A169" s="2"/>
      <c r="B169" s="714"/>
      <c r="C169" s="66"/>
      <c r="D169" s="4"/>
      <c r="E169" s="6"/>
      <c r="F169" s="29"/>
      <c r="G169" s="26"/>
      <c r="H169" s="26"/>
      <c r="I169" s="7"/>
      <c r="J169" s="8"/>
      <c r="K169" s="29"/>
      <c r="L169" s="28"/>
      <c r="M169" s="28"/>
      <c r="N169" s="8"/>
      <c r="O169" s="6"/>
      <c r="P169" s="29"/>
      <c r="Q169" s="28"/>
      <c r="R169" s="28"/>
    </row>
    <row r="170" spans="1:18">
      <c r="A170" s="2"/>
      <c r="B170" s="714"/>
      <c r="C170" s="66"/>
      <c r="D170" s="4"/>
      <c r="E170" s="6"/>
      <c r="F170" s="29"/>
      <c r="G170" s="26"/>
      <c r="H170" s="26"/>
      <c r="I170" s="7"/>
      <c r="J170" s="8"/>
      <c r="K170" s="29"/>
      <c r="L170" s="28"/>
      <c r="M170" s="28"/>
      <c r="N170" s="8"/>
      <c r="O170" s="6"/>
      <c r="P170" s="29"/>
      <c r="Q170" s="28"/>
      <c r="R170" s="28"/>
    </row>
    <row r="171" spans="1:18">
      <c r="A171" s="2"/>
      <c r="B171" s="714"/>
      <c r="C171" s="66"/>
      <c r="D171" s="4"/>
      <c r="E171" s="6"/>
      <c r="F171" s="29"/>
      <c r="G171" s="26"/>
      <c r="H171" s="26"/>
      <c r="I171" s="7"/>
      <c r="J171" s="8"/>
      <c r="K171" s="29"/>
      <c r="L171" s="28"/>
      <c r="M171" s="28"/>
      <c r="N171" s="8"/>
      <c r="O171" s="6"/>
      <c r="P171" s="29"/>
      <c r="Q171" s="28"/>
      <c r="R171" s="28"/>
    </row>
    <row r="172" spans="1:18">
      <c r="A172" s="2"/>
      <c r="B172" s="714"/>
      <c r="C172" s="66"/>
      <c r="D172" s="4"/>
      <c r="E172" s="6"/>
      <c r="F172" s="29"/>
      <c r="G172" s="26"/>
      <c r="H172" s="26"/>
      <c r="I172" s="7"/>
      <c r="J172" s="8"/>
      <c r="K172" s="29"/>
      <c r="L172" s="28"/>
      <c r="M172" s="28"/>
      <c r="N172" s="8"/>
      <c r="O172" s="6"/>
      <c r="P172" s="29"/>
      <c r="Q172" s="28"/>
      <c r="R172" s="28"/>
    </row>
    <row r="173" spans="1:18">
      <c r="A173" s="2"/>
      <c r="B173" s="5"/>
      <c r="C173" s="66"/>
      <c r="D173" s="4"/>
      <c r="E173" s="9"/>
      <c r="F173" s="30"/>
      <c r="G173" s="27"/>
      <c r="H173" s="27"/>
      <c r="I173" s="9"/>
      <c r="J173" s="10"/>
      <c r="K173" s="30"/>
      <c r="L173" s="28"/>
      <c r="M173" s="28"/>
      <c r="N173" s="8"/>
      <c r="O173" s="6"/>
      <c r="P173" s="30"/>
      <c r="Q173" s="28"/>
      <c r="R173" s="28"/>
    </row>
    <row r="174" spans="1:18">
      <c r="A174" s="2"/>
      <c r="B174" s="11"/>
      <c r="C174" s="66"/>
      <c r="D174" s="12"/>
      <c r="E174" s="59"/>
      <c r="F174" s="13"/>
      <c r="G174" s="13" t="s">
        <v>20</v>
      </c>
      <c r="H174" s="25">
        <f>SUM(H166:H173)</f>
        <v>34000</v>
      </c>
      <c r="I174" s="703"/>
      <c r="J174" s="703"/>
      <c r="K174" s="14"/>
      <c r="L174" s="13" t="s">
        <v>21</v>
      </c>
      <c r="M174" s="25">
        <f>SUM(M166:M173)</f>
        <v>0</v>
      </c>
      <c r="N174" s="3"/>
      <c r="O174" s="14"/>
      <c r="P174" s="14"/>
      <c r="Q174" s="13" t="s">
        <v>22</v>
      </c>
      <c r="R174" s="25">
        <f>SUM(R166:R173)</f>
        <v>1020</v>
      </c>
    </row>
    <row r="175" spans="1:18">
      <c r="A175" s="2"/>
      <c r="B175" s="16" t="s">
        <v>13</v>
      </c>
      <c r="C175" s="67"/>
      <c r="D175" s="14"/>
      <c r="E175" s="14"/>
      <c r="F175" s="14"/>
      <c r="G175" s="13"/>
      <c r="H175" s="35">
        <f>M174+R174+H174</f>
        <v>35020</v>
      </c>
      <c r="I175" s="17"/>
      <c r="J175" s="14"/>
      <c r="K175" s="14"/>
      <c r="L175" s="13"/>
      <c r="M175" s="15"/>
      <c r="N175" s="14"/>
      <c r="O175" s="14"/>
      <c r="P175" s="14"/>
      <c r="Q175" s="14"/>
      <c r="R175" s="17"/>
    </row>
    <row r="176" spans="1:18">
      <c r="A176" s="2"/>
      <c r="B176" s="11" t="s">
        <v>25</v>
      </c>
      <c r="C176" s="68"/>
      <c r="D176" s="4"/>
      <c r="E176" s="4"/>
      <c r="F176" s="4"/>
      <c r="G176" s="18"/>
      <c r="H176" s="36">
        <v>0</v>
      </c>
      <c r="I176" s="20"/>
      <c r="J176" s="4" t="s">
        <v>26</v>
      </c>
      <c r="K176" s="4"/>
      <c r="L176" s="18"/>
      <c r="M176" s="19"/>
      <c r="N176" s="4"/>
      <c r="O176" s="4"/>
      <c r="P176" s="4"/>
      <c r="Q176" s="4"/>
      <c r="R176" s="20"/>
    </row>
    <row r="177" spans="1:18">
      <c r="A177" s="23"/>
      <c r="B177" s="11" t="s">
        <v>14</v>
      </c>
      <c r="C177" s="68"/>
      <c r="D177" s="4"/>
      <c r="E177" s="4"/>
      <c r="F177" s="4"/>
      <c r="G177" s="18"/>
      <c r="H177" s="36">
        <f>SUM(H175:H176)</f>
        <v>35020</v>
      </c>
      <c r="I177" s="20"/>
      <c r="J177" s="704"/>
      <c r="K177" s="705"/>
      <c r="L177" s="705"/>
      <c r="M177" s="705"/>
      <c r="N177" s="705"/>
      <c r="O177" s="705"/>
      <c r="P177" s="705"/>
      <c r="Q177" s="705"/>
      <c r="R177" s="706"/>
    </row>
    <row r="178" spans="1:18">
      <c r="A178" s="23"/>
      <c r="B178" s="11" t="s">
        <v>24</v>
      </c>
      <c r="C178" s="68"/>
      <c r="D178" s="4"/>
      <c r="E178" s="4"/>
      <c r="F178" s="4"/>
      <c r="G178" s="18"/>
      <c r="H178" s="36">
        <f>H177*15%</f>
        <v>5253</v>
      </c>
      <c r="I178" s="20"/>
      <c r="J178" s="707"/>
      <c r="K178" s="708"/>
      <c r="L178" s="708"/>
      <c r="M178" s="708"/>
      <c r="N178" s="708"/>
      <c r="O178" s="708"/>
      <c r="P178" s="708"/>
      <c r="Q178" s="708"/>
      <c r="R178" s="709"/>
    </row>
    <row r="179" spans="1:18">
      <c r="A179" s="23"/>
      <c r="B179" s="11" t="s">
        <v>15</v>
      </c>
      <c r="C179" s="68"/>
      <c r="D179" s="4"/>
      <c r="E179" s="4"/>
      <c r="F179" s="4"/>
      <c r="G179" s="21" t="s">
        <v>16</v>
      </c>
      <c r="H179" s="37">
        <f>H178+H177</f>
        <v>40273</v>
      </c>
      <c r="I179" s="38" t="str">
        <f>CONCATENATE("per ",C166)</f>
        <v>per nos.</v>
      </c>
      <c r="J179" s="707"/>
      <c r="K179" s="708"/>
      <c r="L179" s="708"/>
      <c r="M179" s="708"/>
      <c r="N179" s="708"/>
      <c r="O179" s="708"/>
      <c r="P179" s="708"/>
      <c r="Q179" s="708"/>
      <c r="R179" s="709"/>
    </row>
    <row r="180" spans="1:18">
      <c r="A180" s="23"/>
      <c r="B180" s="11" t="s">
        <v>18</v>
      </c>
      <c r="C180" s="125" t="s">
        <v>19</v>
      </c>
      <c r="D180" s="4"/>
      <c r="E180" s="4"/>
      <c r="F180" s="4"/>
      <c r="G180" s="21" t="s">
        <v>16</v>
      </c>
      <c r="H180" s="37">
        <f>CEILING(H179,0.5)</f>
        <v>40273</v>
      </c>
      <c r="I180" s="38" t="str">
        <f>CONCATENATE("per ",C166)</f>
        <v>per nos.</v>
      </c>
      <c r="J180" s="707"/>
      <c r="K180" s="708"/>
      <c r="L180" s="708"/>
      <c r="M180" s="708"/>
      <c r="N180" s="708"/>
      <c r="O180" s="708"/>
      <c r="P180" s="708"/>
      <c r="Q180" s="708"/>
      <c r="R180" s="709"/>
    </row>
    <row r="181" spans="1:18">
      <c r="A181" s="23"/>
      <c r="B181" s="11"/>
      <c r="C181" s="68"/>
      <c r="D181" s="4"/>
      <c r="E181" s="4"/>
      <c r="F181" s="4"/>
      <c r="G181" s="24" t="s">
        <v>17</v>
      </c>
      <c r="H181" s="37">
        <f>H180/exr</f>
        <v>309.7923076923077</v>
      </c>
      <c r="I181" s="38" t="str">
        <f>CONCATENATE("per ",C166)</f>
        <v>per nos.</v>
      </c>
      <c r="J181" s="710"/>
      <c r="K181" s="711"/>
      <c r="L181" s="711"/>
      <c r="M181" s="711"/>
      <c r="N181" s="711"/>
      <c r="O181" s="711"/>
      <c r="P181" s="711"/>
      <c r="Q181" s="711"/>
      <c r="R181" s="712"/>
    </row>
    <row r="182" spans="1:18">
      <c r="A182" s="39"/>
      <c r="B182" s="40"/>
      <c r="C182" s="69"/>
      <c r="D182" s="41"/>
      <c r="E182" s="41"/>
      <c r="F182" s="41"/>
      <c r="G182" s="149" t="s">
        <v>460</v>
      </c>
      <c r="H182" s="150">
        <f>CEILING(0,0.0025)</f>
        <v>0</v>
      </c>
      <c r="I182" s="42"/>
      <c r="J182" s="43"/>
      <c r="K182" s="43"/>
      <c r="L182" s="43"/>
      <c r="M182" s="43"/>
      <c r="N182" s="43"/>
      <c r="O182" s="43"/>
      <c r="P182" s="43"/>
      <c r="Q182" s="43"/>
      <c r="R182" s="44"/>
    </row>
    <row r="184" spans="1:18">
      <c r="A184" s="693" t="s">
        <v>0</v>
      </c>
      <c r="B184" s="695" t="s">
        <v>1</v>
      </c>
      <c r="C184" s="695" t="s">
        <v>2</v>
      </c>
      <c r="D184" s="697" t="s">
        <v>3</v>
      </c>
      <c r="E184" s="698"/>
      <c r="F184" s="698"/>
      <c r="G184" s="698"/>
      <c r="H184" s="698"/>
      <c r="I184" s="699" t="s">
        <v>4</v>
      </c>
      <c r="J184" s="700"/>
      <c r="K184" s="700"/>
      <c r="L184" s="700"/>
      <c r="M184" s="700"/>
      <c r="N184" s="698" t="s">
        <v>5</v>
      </c>
      <c r="O184" s="698"/>
      <c r="P184" s="698"/>
      <c r="Q184" s="698"/>
      <c r="R184" s="698"/>
    </row>
    <row r="185" spans="1:18">
      <c r="A185" s="694"/>
      <c r="B185" s="696"/>
      <c r="C185" s="696"/>
      <c r="D185" s="45" t="s">
        <v>6</v>
      </c>
      <c r="E185" s="46" t="s">
        <v>2</v>
      </c>
      <c r="F185" s="46" t="s">
        <v>7</v>
      </c>
      <c r="G185" s="46" t="s">
        <v>8</v>
      </c>
      <c r="H185" s="46" t="s">
        <v>9</v>
      </c>
      <c r="I185" s="46" t="s">
        <v>10</v>
      </c>
      <c r="J185" s="46" t="s">
        <v>2</v>
      </c>
      <c r="K185" s="46" t="s">
        <v>7</v>
      </c>
      <c r="L185" s="46" t="s">
        <v>8</v>
      </c>
      <c r="M185" s="47" t="s">
        <v>9</v>
      </c>
      <c r="N185" s="46" t="s">
        <v>10</v>
      </c>
      <c r="O185" s="46" t="s">
        <v>2</v>
      </c>
      <c r="P185" s="46" t="s">
        <v>7</v>
      </c>
      <c r="Q185" s="46" t="s">
        <v>8</v>
      </c>
      <c r="R185" s="46" t="s">
        <v>9</v>
      </c>
    </row>
    <row r="186" spans="1:18">
      <c r="A186" s="33" t="s">
        <v>23</v>
      </c>
      <c r="B186" s="73" t="s">
        <v>134</v>
      </c>
      <c r="C186" s="65"/>
      <c r="D186" s="31"/>
      <c r="E186" s="31"/>
      <c r="F186" s="31"/>
      <c r="G186" s="31"/>
      <c r="H186" s="31"/>
      <c r="I186" s="31"/>
      <c r="J186" s="31"/>
      <c r="K186" s="31"/>
      <c r="L186" s="31"/>
      <c r="M186" s="31"/>
      <c r="N186" s="31"/>
      <c r="O186" s="31"/>
      <c r="P186" s="31"/>
      <c r="Q186" s="31"/>
      <c r="R186" s="32"/>
    </row>
    <row r="187" spans="1:18">
      <c r="A187" s="34">
        <f>A166+1</f>
        <v>10</v>
      </c>
      <c r="B187" s="713" t="s">
        <v>143</v>
      </c>
      <c r="C187" s="66" t="s">
        <v>138</v>
      </c>
      <c r="D187" s="4"/>
      <c r="E187" s="6"/>
      <c r="F187" s="29"/>
      <c r="G187" s="26"/>
      <c r="H187" s="26"/>
      <c r="I187" s="6"/>
      <c r="J187" s="6"/>
      <c r="K187" s="29"/>
      <c r="L187" s="26"/>
      <c r="M187" s="26"/>
      <c r="N187" s="6"/>
      <c r="O187" s="6"/>
      <c r="P187" s="29"/>
      <c r="Q187" s="26"/>
      <c r="R187" s="26"/>
    </row>
    <row r="188" spans="1:18">
      <c r="A188" s="2"/>
      <c r="B188" s="714"/>
      <c r="C188" s="66"/>
      <c r="D188" s="4" t="s">
        <v>97</v>
      </c>
      <c r="E188" s="6" t="s">
        <v>81</v>
      </c>
      <c r="F188" s="29">
        <v>78.709999999999994</v>
      </c>
      <c r="G188" s="26">
        <f>ur</f>
        <v>850</v>
      </c>
      <c r="H188" s="26">
        <f>F188*G188</f>
        <v>66903.5</v>
      </c>
      <c r="I188" s="7"/>
      <c r="J188" s="8"/>
      <c r="K188" s="29"/>
      <c r="L188" s="28"/>
      <c r="M188" s="28"/>
      <c r="N188" s="8" t="s">
        <v>128</v>
      </c>
      <c r="O188" s="6"/>
      <c r="P188" s="29"/>
      <c r="Q188" s="28"/>
      <c r="R188" s="28">
        <f>3%*H195</f>
        <v>2007.105</v>
      </c>
    </row>
    <row r="189" spans="1:18">
      <c r="A189" s="2"/>
      <c r="B189" s="714"/>
      <c r="C189" s="66"/>
      <c r="D189" s="4"/>
      <c r="E189" s="6"/>
      <c r="F189" s="29"/>
      <c r="G189" s="26"/>
      <c r="H189" s="26"/>
      <c r="I189" s="7"/>
      <c r="J189" s="8"/>
      <c r="K189" s="29"/>
      <c r="L189" s="28"/>
      <c r="M189" s="28"/>
      <c r="N189" s="8"/>
      <c r="O189" s="6"/>
      <c r="P189" s="29"/>
      <c r="Q189" s="28"/>
      <c r="R189" s="28"/>
    </row>
    <row r="190" spans="1:18">
      <c r="A190" s="2"/>
      <c r="B190" s="714"/>
      <c r="C190" s="66"/>
      <c r="D190" s="4"/>
      <c r="E190" s="6"/>
      <c r="F190" s="29"/>
      <c r="G190" s="26"/>
      <c r="H190" s="26"/>
      <c r="I190" s="7"/>
      <c r="J190" s="8"/>
      <c r="K190" s="29"/>
      <c r="L190" s="28"/>
      <c r="M190" s="28"/>
      <c r="N190" s="8"/>
      <c r="O190" s="6"/>
      <c r="P190" s="29"/>
      <c r="Q190" s="28"/>
      <c r="R190" s="28"/>
    </row>
    <row r="191" spans="1:18">
      <c r="A191" s="2"/>
      <c r="B191" s="714"/>
      <c r="C191" s="66"/>
      <c r="D191" s="4"/>
      <c r="E191" s="6"/>
      <c r="F191" s="29"/>
      <c r="G191" s="26"/>
      <c r="H191" s="26"/>
      <c r="I191" s="7"/>
      <c r="J191" s="8"/>
      <c r="K191" s="29"/>
      <c r="L191" s="28"/>
      <c r="M191" s="28"/>
      <c r="N191" s="8"/>
      <c r="O191" s="6"/>
      <c r="P191" s="29"/>
      <c r="Q191" s="28"/>
      <c r="R191" s="28"/>
    </row>
    <row r="192" spans="1:18">
      <c r="A192" s="2"/>
      <c r="B192" s="714"/>
      <c r="C192" s="66"/>
      <c r="D192" s="4"/>
      <c r="E192" s="6"/>
      <c r="F192" s="29"/>
      <c r="G192" s="26"/>
      <c r="H192" s="26"/>
      <c r="I192" s="7"/>
      <c r="J192" s="8"/>
      <c r="K192" s="29"/>
      <c r="L192" s="28"/>
      <c r="M192" s="28"/>
      <c r="N192" s="8"/>
      <c r="O192" s="6"/>
      <c r="P192" s="29"/>
      <c r="Q192" s="28"/>
      <c r="R192" s="28"/>
    </row>
    <row r="193" spans="1:18">
      <c r="A193" s="2"/>
      <c r="B193" s="714"/>
      <c r="C193" s="66"/>
      <c r="D193" s="4"/>
      <c r="E193" s="6"/>
      <c r="F193" s="29"/>
      <c r="G193" s="26"/>
      <c r="H193" s="26"/>
      <c r="I193" s="7"/>
      <c r="J193" s="8"/>
      <c r="K193" s="29"/>
      <c r="L193" s="28"/>
      <c r="M193" s="28"/>
      <c r="N193" s="8"/>
      <c r="O193" s="6"/>
      <c r="P193" s="29"/>
      <c r="Q193" s="28"/>
      <c r="R193" s="28"/>
    </row>
    <row r="194" spans="1:18">
      <c r="A194" s="2"/>
      <c r="B194" s="5"/>
      <c r="C194" s="66"/>
      <c r="D194" s="4"/>
      <c r="E194" s="9"/>
      <c r="F194" s="30"/>
      <c r="G194" s="27"/>
      <c r="H194" s="27"/>
      <c r="I194" s="9"/>
      <c r="J194" s="10"/>
      <c r="K194" s="30"/>
      <c r="L194" s="28"/>
      <c r="M194" s="28"/>
      <c r="N194" s="8"/>
      <c r="O194" s="6"/>
      <c r="P194" s="30"/>
      <c r="Q194" s="28"/>
      <c r="R194" s="28"/>
    </row>
    <row r="195" spans="1:18">
      <c r="A195" s="2"/>
      <c r="B195" s="11"/>
      <c r="C195" s="66"/>
      <c r="D195" s="12"/>
      <c r="E195" s="59"/>
      <c r="F195" s="13"/>
      <c r="G195" s="13" t="s">
        <v>20</v>
      </c>
      <c r="H195" s="25">
        <f>SUM(H187:H194)</f>
        <v>66903.5</v>
      </c>
      <c r="I195" s="703"/>
      <c r="J195" s="703"/>
      <c r="K195" s="14"/>
      <c r="L195" s="13" t="s">
        <v>21</v>
      </c>
      <c r="M195" s="25">
        <f>SUM(M187:M194)</f>
        <v>0</v>
      </c>
      <c r="N195" s="3"/>
      <c r="O195" s="14"/>
      <c r="P195" s="14"/>
      <c r="Q195" s="13" t="s">
        <v>22</v>
      </c>
      <c r="R195" s="25">
        <f>SUM(R187:R194)</f>
        <v>2007.105</v>
      </c>
    </row>
    <row r="196" spans="1:18">
      <c r="A196" s="2"/>
      <c r="B196" s="16" t="s">
        <v>13</v>
      </c>
      <c r="C196" s="67"/>
      <c r="D196" s="14"/>
      <c r="E196" s="14"/>
      <c r="F196" s="14"/>
      <c r="G196" s="13"/>
      <c r="H196" s="35">
        <f>M195+R195+H195</f>
        <v>68910.604999999996</v>
      </c>
      <c r="I196" s="17"/>
      <c r="J196" s="14"/>
      <c r="K196" s="14"/>
      <c r="L196" s="13"/>
      <c r="M196" s="15"/>
      <c r="N196" s="14"/>
      <c r="O196" s="14"/>
      <c r="P196" s="14"/>
      <c r="Q196" s="14"/>
      <c r="R196" s="17"/>
    </row>
    <row r="197" spans="1:18">
      <c r="A197" s="2"/>
      <c r="B197" s="11" t="s">
        <v>25</v>
      </c>
      <c r="C197" s="68"/>
      <c r="D197" s="4"/>
      <c r="E197" s="4"/>
      <c r="F197" s="4"/>
      <c r="G197" s="18"/>
      <c r="H197" s="36">
        <v>0</v>
      </c>
      <c r="I197" s="20"/>
      <c r="J197" s="4" t="s">
        <v>26</v>
      </c>
      <c r="K197" s="4"/>
      <c r="L197" s="18"/>
      <c r="M197" s="19"/>
      <c r="N197" s="4"/>
      <c r="O197" s="4"/>
      <c r="P197" s="4"/>
      <c r="Q197" s="4"/>
      <c r="R197" s="20"/>
    </row>
    <row r="198" spans="1:18">
      <c r="A198" s="23"/>
      <c r="B198" s="11" t="s">
        <v>14</v>
      </c>
      <c r="C198" s="68"/>
      <c r="D198" s="4"/>
      <c r="E198" s="4"/>
      <c r="F198" s="4"/>
      <c r="G198" s="18"/>
      <c r="H198" s="36">
        <f>SUM(H196:H197)</f>
        <v>68910.604999999996</v>
      </c>
      <c r="I198" s="20"/>
      <c r="J198" s="704"/>
      <c r="K198" s="705"/>
      <c r="L198" s="705"/>
      <c r="M198" s="705"/>
      <c r="N198" s="705"/>
      <c r="O198" s="705"/>
      <c r="P198" s="705"/>
      <c r="Q198" s="705"/>
      <c r="R198" s="706"/>
    </row>
    <row r="199" spans="1:18">
      <c r="A199" s="23"/>
      <c r="B199" s="11" t="s">
        <v>24</v>
      </c>
      <c r="C199" s="68"/>
      <c r="D199" s="4"/>
      <c r="E199" s="4"/>
      <c r="F199" s="4"/>
      <c r="G199" s="18"/>
      <c r="H199" s="36">
        <f>H198*15%</f>
        <v>10336.590749999999</v>
      </c>
      <c r="I199" s="20"/>
      <c r="J199" s="707"/>
      <c r="K199" s="708"/>
      <c r="L199" s="708"/>
      <c r="M199" s="708"/>
      <c r="N199" s="708"/>
      <c r="O199" s="708"/>
      <c r="P199" s="708"/>
      <c r="Q199" s="708"/>
      <c r="R199" s="709"/>
    </row>
    <row r="200" spans="1:18">
      <c r="A200" s="23"/>
      <c r="B200" s="11" t="s">
        <v>15</v>
      </c>
      <c r="C200" s="68"/>
      <c r="D200" s="4"/>
      <c r="E200" s="4"/>
      <c r="F200" s="4"/>
      <c r="G200" s="21" t="s">
        <v>16</v>
      </c>
      <c r="H200" s="37">
        <f>H199+H198</f>
        <v>79247.195749999999</v>
      </c>
      <c r="I200" s="38" t="str">
        <f>CONCATENATE("per ",C187)</f>
        <v>per nos.</v>
      </c>
      <c r="J200" s="707"/>
      <c r="K200" s="708"/>
      <c r="L200" s="708"/>
      <c r="M200" s="708"/>
      <c r="N200" s="708"/>
      <c r="O200" s="708"/>
      <c r="P200" s="708"/>
      <c r="Q200" s="708"/>
      <c r="R200" s="709"/>
    </row>
    <row r="201" spans="1:18">
      <c r="A201" s="23"/>
      <c r="B201" s="11" t="s">
        <v>18</v>
      </c>
      <c r="C201" s="125" t="s">
        <v>19</v>
      </c>
      <c r="D201" s="4"/>
      <c r="E201" s="4"/>
      <c r="F201" s="4"/>
      <c r="G201" s="21" t="s">
        <v>16</v>
      </c>
      <c r="H201" s="37">
        <f>CEILING(H200,0.5)</f>
        <v>79247.5</v>
      </c>
      <c r="I201" s="38" t="str">
        <f>CONCATENATE("per ",C187)</f>
        <v>per nos.</v>
      </c>
      <c r="J201" s="707"/>
      <c r="K201" s="708"/>
      <c r="L201" s="708"/>
      <c r="M201" s="708"/>
      <c r="N201" s="708"/>
      <c r="O201" s="708"/>
      <c r="P201" s="708"/>
      <c r="Q201" s="708"/>
      <c r="R201" s="709"/>
    </row>
    <row r="202" spans="1:18">
      <c r="A202" s="23"/>
      <c r="B202" s="11"/>
      <c r="C202" s="68"/>
      <c r="D202" s="4"/>
      <c r="E202" s="4"/>
      <c r="F202" s="4"/>
      <c r="G202" s="24" t="s">
        <v>17</v>
      </c>
      <c r="H202" s="37">
        <f>H201/exr</f>
        <v>609.59615384615381</v>
      </c>
      <c r="I202" s="38" t="str">
        <f>CONCATENATE("per ",C187)</f>
        <v>per nos.</v>
      </c>
      <c r="J202" s="710"/>
      <c r="K202" s="711"/>
      <c r="L202" s="711"/>
      <c r="M202" s="711"/>
      <c r="N202" s="711"/>
      <c r="O202" s="711"/>
      <c r="P202" s="711"/>
      <c r="Q202" s="711"/>
      <c r="R202" s="712"/>
    </row>
    <row r="203" spans="1:18">
      <c r="A203" s="39"/>
      <c r="B203" s="40"/>
      <c r="C203" s="69"/>
      <c r="D203" s="41"/>
      <c r="E203" s="41"/>
      <c r="F203" s="41"/>
      <c r="G203" s="149" t="s">
        <v>460</v>
      </c>
      <c r="H203" s="150">
        <f>CEILING(0,0.0025)</f>
        <v>0</v>
      </c>
      <c r="I203" s="42"/>
      <c r="J203" s="43"/>
      <c r="K203" s="43"/>
      <c r="L203" s="43"/>
      <c r="M203" s="43"/>
      <c r="N203" s="43"/>
      <c r="O203" s="43"/>
      <c r="P203" s="43"/>
      <c r="Q203" s="43"/>
      <c r="R203" s="44"/>
    </row>
    <row r="205" spans="1:18">
      <c r="A205" s="693" t="s">
        <v>0</v>
      </c>
      <c r="B205" s="695" t="s">
        <v>1</v>
      </c>
      <c r="C205" s="695" t="s">
        <v>2</v>
      </c>
      <c r="D205" s="697" t="s">
        <v>3</v>
      </c>
      <c r="E205" s="698"/>
      <c r="F205" s="698"/>
      <c r="G205" s="698"/>
      <c r="H205" s="698"/>
      <c r="I205" s="699" t="s">
        <v>4</v>
      </c>
      <c r="J205" s="700"/>
      <c r="K205" s="700"/>
      <c r="L205" s="700"/>
      <c r="M205" s="700"/>
      <c r="N205" s="698" t="s">
        <v>5</v>
      </c>
      <c r="O205" s="698"/>
      <c r="P205" s="698"/>
      <c r="Q205" s="698"/>
      <c r="R205" s="698"/>
    </row>
    <row r="206" spans="1:18">
      <c r="A206" s="694"/>
      <c r="B206" s="696"/>
      <c r="C206" s="696"/>
      <c r="D206" s="45" t="s">
        <v>6</v>
      </c>
      <c r="E206" s="46" t="s">
        <v>2</v>
      </c>
      <c r="F206" s="46" t="s">
        <v>7</v>
      </c>
      <c r="G206" s="46" t="s">
        <v>8</v>
      </c>
      <c r="H206" s="46" t="s">
        <v>9</v>
      </c>
      <c r="I206" s="46" t="s">
        <v>10</v>
      </c>
      <c r="J206" s="46" t="s">
        <v>2</v>
      </c>
      <c r="K206" s="46" t="s">
        <v>7</v>
      </c>
      <c r="L206" s="46" t="s">
        <v>8</v>
      </c>
      <c r="M206" s="47" t="s">
        <v>9</v>
      </c>
      <c r="N206" s="46" t="s">
        <v>10</v>
      </c>
      <c r="O206" s="46" t="s">
        <v>2</v>
      </c>
      <c r="P206" s="46" t="s">
        <v>7</v>
      </c>
      <c r="Q206" s="46" t="s">
        <v>8</v>
      </c>
      <c r="R206" s="46" t="s">
        <v>9</v>
      </c>
    </row>
    <row r="207" spans="1:18">
      <c r="A207" s="33" t="s">
        <v>23</v>
      </c>
      <c r="B207" s="73" t="s">
        <v>145</v>
      </c>
      <c r="C207" s="65"/>
      <c r="D207" s="31"/>
      <c r="E207" s="31"/>
      <c r="F207" s="31"/>
      <c r="G207" s="31"/>
      <c r="H207" s="31"/>
      <c r="I207" s="31"/>
      <c r="J207" s="31"/>
      <c r="K207" s="31"/>
      <c r="L207" s="31"/>
      <c r="M207" s="31"/>
      <c r="N207" s="31"/>
      <c r="O207" s="31"/>
      <c r="P207" s="31"/>
      <c r="Q207" s="31"/>
      <c r="R207" s="32"/>
    </row>
    <row r="208" spans="1:18">
      <c r="A208" s="34">
        <f>A187+1</f>
        <v>11</v>
      </c>
      <c r="B208" s="713" t="s">
        <v>144</v>
      </c>
      <c r="C208" s="66" t="s">
        <v>127</v>
      </c>
      <c r="D208" s="4"/>
      <c r="E208" s="6"/>
      <c r="F208" s="29"/>
      <c r="G208" s="26"/>
      <c r="H208" s="26"/>
      <c r="I208" s="6"/>
      <c r="J208" s="6"/>
      <c r="K208" s="29"/>
      <c r="L208" s="26"/>
      <c r="M208" s="26"/>
      <c r="N208" s="6"/>
      <c r="O208" s="6"/>
      <c r="P208" s="29"/>
      <c r="Q208" s="26"/>
      <c r="R208" s="26"/>
    </row>
    <row r="209" spans="1:18">
      <c r="A209" s="2"/>
      <c r="B209" s="714"/>
      <c r="C209" s="66"/>
      <c r="D209" s="4" t="s">
        <v>97</v>
      </c>
      <c r="E209" s="6" t="s">
        <v>81</v>
      </c>
      <c r="F209" s="29">
        <v>0.01</v>
      </c>
      <c r="G209" s="26">
        <f>ur</f>
        <v>850</v>
      </c>
      <c r="H209" s="26">
        <f>F209*G209</f>
        <v>8.5</v>
      </c>
      <c r="I209" s="7"/>
      <c r="J209" s="8"/>
      <c r="K209" s="29"/>
      <c r="L209" s="28"/>
      <c r="M209" s="28"/>
      <c r="N209" s="8" t="s">
        <v>128</v>
      </c>
      <c r="O209" s="6"/>
      <c r="P209" s="29"/>
      <c r="Q209" s="28"/>
      <c r="R209" s="28">
        <f>3%*H213</f>
        <v>0.255</v>
      </c>
    </row>
    <row r="210" spans="1:18">
      <c r="A210" s="2"/>
      <c r="B210" s="714"/>
      <c r="C210" s="66"/>
      <c r="D210" s="4"/>
      <c r="E210" s="6"/>
      <c r="F210" s="29"/>
      <c r="G210" s="26"/>
      <c r="H210" s="26"/>
      <c r="I210" s="7"/>
      <c r="J210" s="8"/>
      <c r="K210" s="29"/>
      <c r="L210" s="28"/>
      <c r="M210" s="28"/>
      <c r="N210" s="8"/>
      <c r="O210" s="6"/>
      <c r="P210" s="29"/>
      <c r="Q210" s="28"/>
      <c r="R210" s="28"/>
    </row>
    <row r="211" spans="1:18">
      <c r="A211" s="2"/>
      <c r="B211" s="714"/>
      <c r="C211" s="66"/>
      <c r="D211" s="4"/>
      <c r="E211" s="6"/>
      <c r="F211" s="29"/>
      <c r="G211" s="26"/>
      <c r="H211" s="26"/>
      <c r="I211" s="7"/>
      <c r="J211" s="8"/>
      <c r="K211" s="29"/>
      <c r="L211" s="28"/>
      <c r="M211" s="28"/>
      <c r="N211" s="8"/>
      <c r="O211" s="6"/>
      <c r="P211" s="29"/>
      <c r="Q211" s="28"/>
      <c r="R211" s="28"/>
    </row>
    <row r="212" spans="1:18">
      <c r="A212" s="2"/>
      <c r="B212" s="5"/>
      <c r="C212" s="66"/>
      <c r="D212" s="4"/>
      <c r="E212" s="9"/>
      <c r="F212" s="30"/>
      <c r="G212" s="27"/>
      <c r="H212" s="27"/>
      <c r="I212" s="9"/>
      <c r="J212" s="10"/>
      <c r="K212" s="30"/>
      <c r="L212" s="28"/>
      <c r="M212" s="28"/>
      <c r="N212" s="8"/>
      <c r="O212" s="6"/>
      <c r="P212" s="30"/>
      <c r="Q212" s="28"/>
      <c r="R212" s="28"/>
    </row>
    <row r="213" spans="1:18">
      <c r="A213" s="2"/>
      <c r="B213" s="11"/>
      <c r="C213" s="66"/>
      <c r="D213" s="12"/>
      <c r="E213" s="59"/>
      <c r="F213" s="13"/>
      <c r="G213" s="13" t="s">
        <v>20</v>
      </c>
      <c r="H213" s="25">
        <f>SUM(H208:H212)</f>
        <v>8.5</v>
      </c>
      <c r="I213" s="703"/>
      <c r="J213" s="703"/>
      <c r="K213" s="14"/>
      <c r="L213" s="13" t="s">
        <v>21</v>
      </c>
      <c r="M213" s="25">
        <f>SUM(M208:M212)</f>
        <v>0</v>
      </c>
      <c r="N213" s="3"/>
      <c r="O213" s="14"/>
      <c r="P213" s="14"/>
      <c r="Q213" s="13" t="s">
        <v>22</v>
      </c>
      <c r="R213" s="25">
        <f>SUM(R208:R212)</f>
        <v>0.255</v>
      </c>
    </row>
    <row r="214" spans="1:18">
      <c r="A214" s="2"/>
      <c r="B214" s="16" t="s">
        <v>13</v>
      </c>
      <c r="C214" s="67"/>
      <c r="D214" s="14"/>
      <c r="E214" s="14"/>
      <c r="F214" s="14"/>
      <c r="G214" s="13"/>
      <c r="H214" s="35">
        <f>M213+R213+H213</f>
        <v>8.7550000000000008</v>
      </c>
      <c r="I214" s="17"/>
      <c r="J214" s="14"/>
      <c r="K214" s="14"/>
      <c r="L214" s="13"/>
      <c r="M214" s="15"/>
      <c r="N214" s="14"/>
      <c r="O214" s="14"/>
      <c r="P214" s="14"/>
      <c r="Q214" s="14"/>
      <c r="R214" s="17"/>
    </row>
    <row r="215" spans="1:18">
      <c r="A215" s="2"/>
      <c r="B215" s="11" t="s">
        <v>25</v>
      </c>
      <c r="C215" s="68"/>
      <c r="D215" s="4"/>
      <c r="E215" s="4"/>
      <c r="F215" s="4"/>
      <c r="G215" s="18"/>
      <c r="H215" s="36">
        <v>0</v>
      </c>
      <c r="I215" s="20"/>
      <c r="J215" s="4" t="s">
        <v>26</v>
      </c>
      <c r="K215" s="4"/>
      <c r="L215" s="18"/>
      <c r="M215" s="19"/>
      <c r="N215" s="4"/>
      <c r="O215" s="4"/>
      <c r="P215" s="4"/>
      <c r="Q215" s="4"/>
      <c r="R215" s="20"/>
    </row>
    <row r="216" spans="1:18">
      <c r="A216" s="23"/>
      <c r="B216" s="11" t="s">
        <v>14</v>
      </c>
      <c r="C216" s="68"/>
      <c r="D216" s="4"/>
      <c r="E216" s="4"/>
      <c r="F216" s="4"/>
      <c r="G216" s="18"/>
      <c r="H216" s="36">
        <f>SUM(H214:H215)</f>
        <v>8.7550000000000008</v>
      </c>
      <c r="I216" s="20"/>
      <c r="J216" s="704"/>
      <c r="K216" s="705"/>
      <c r="L216" s="705"/>
      <c r="M216" s="705"/>
      <c r="N216" s="705"/>
      <c r="O216" s="705"/>
      <c r="P216" s="705"/>
      <c r="Q216" s="705"/>
      <c r="R216" s="706"/>
    </row>
    <row r="217" spans="1:18">
      <c r="A217" s="23"/>
      <c r="B217" s="11" t="s">
        <v>24</v>
      </c>
      <c r="C217" s="68"/>
      <c r="D217" s="4"/>
      <c r="E217" s="4"/>
      <c r="F217" s="4"/>
      <c r="G217" s="18"/>
      <c r="H217" s="36">
        <f>H216*15%</f>
        <v>1.31325</v>
      </c>
      <c r="I217" s="20"/>
      <c r="J217" s="707"/>
      <c r="K217" s="708"/>
      <c r="L217" s="708"/>
      <c r="M217" s="708"/>
      <c r="N217" s="708"/>
      <c r="O217" s="708"/>
      <c r="P217" s="708"/>
      <c r="Q217" s="708"/>
      <c r="R217" s="709"/>
    </row>
    <row r="218" spans="1:18">
      <c r="A218" s="23"/>
      <c r="B218" s="11" t="s">
        <v>15</v>
      </c>
      <c r="C218" s="68"/>
      <c r="D218" s="4"/>
      <c r="E218" s="4"/>
      <c r="F218" s="4"/>
      <c r="G218" s="21" t="s">
        <v>16</v>
      </c>
      <c r="H218" s="37">
        <f>H217+H216</f>
        <v>10.068250000000001</v>
      </c>
      <c r="I218" s="38" t="str">
        <f>CONCATENATE("per ",C208)</f>
        <v>per sqm</v>
      </c>
      <c r="J218" s="707"/>
      <c r="K218" s="708"/>
      <c r="L218" s="708"/>
      <c r="M218" s="708"/>
      <c r="N218" s="708"/>
      <c r="O218" s="708"/>
      <c r="P218" s="708"/>
      <c r="Q218" s="708"/>
      <c r="R218" s="709"/>
    </row>
    <row r="219" spans="1:18">
      <c r="A219" s="23"/>
      <c r="B219" s="11" t="s">
        <v>18</v>
      </c>
      <c r="C219" s="125" t="s">
        <v>19</v>
      </c>
      <c r="D219" s="4"/>
      <c r="E219" s="4"/>
      <c r="F219" s="4"/>
      <c r="G219" s="21" t="s">
        <v>16</v>
      </c>
      <c r="H219" s="37">
        <f>CEILING(H218,0.5)</f>
        <v>10.5</v>
      </c>
      <c r="I219" s="38" t="str">
        <f>CONCATENATE("per ",C208)</f>
        <v>per sqm</v>
      </c>
      <c r="J219" s="707"/>
      <c r="K219" s="708"/>
      <c r="L219" s="708"/>
      <c r="M219" s="708"/>
      <c r="N219" s="708"/>
      <c r="O219" s="708"/>
      <c r="P219" s="708"/>
      <c r="Q219" s="708"/>
      <c r="R219" s="709"/>
    </row>
    <row r="220" spans="1:18">
      <c r="A220" s="23"/>
      <c r="B220" s="11"/>
      <c r="C220" s="68"/>
      <c r="D220" s="4"/>
      <c r="E220" s="4"/>
      <c r="F220" s="4"/>
      <c r="G220" s="24" t="s">
        <v>17</v>
      </c>
      <c r="H220" s="37">
        <f>H219/exr</f>
        <v>8.0769230769230774E-2</v>
      </c>
      <c r="I220" s="38" t="str">
        <f>CONCATENATE("per ",C208)</f>
        <v>per sqm</v>
      </c>
      <c r="J220" s="710"/>
      <c r="K220" s="711"/>
      <c r="L220" s="711"/>
      <c r="M220" s="711"/>
      <c r="N220" s="711"/>
      <c r="O220" s="711"/>
      <c r="P220" s="711"/>
      <c r="Q220" s="711"/>
      <c r="R220" s="712"/>
    </row>
    <row r="221" spans="1:18">
      <c r="A221" s="39"/>
      <c r="B221" s="40"/>
      <c r="C221" s="69"/>
      <c r="D221" s="41"/>
      <c r="E221" s="41"/>
      <c r="F221" s="41"/>
      <c r="G221" s="149" t="s">
        <v>460</v>
      </c>
      <c r="H221" s="150">
        <f>CEILING(0,0.0025)</f>
        <v>0</v>
      </c>
      <c r="I221" s="42"/>
      <c r="J221" s="43"/>
      <c r="K221" s="43"/>
      <c r="L221" s="43"/>
      <c r="M221" s="43"/>
      <c r="N221" s="43"/>
      <c r="O221" s="43"/>
      <c r="P221" s="43"/>
      <c r="Q221" s="43"/>
      <c r="R221" s="44"/>
    </row>
    <row r="223" spans="1:18">
      <c r="A223" s="693" t="s">
        <v>0</v>
      </c>
      <c r="B223" s="695" t="s">
        <v>1</v>
      </c>
      <c r="C223" s="695" t="s">
        <v>2</v>
      </c>
      <c r="D223" s="697" t="s">
        <v>3</v>
      </c>
      <c r="E223" s="698"/>
      <c r="F223" s="698"/>
      <c r="G223" s="698"/>
      <c r="H223" s="698"/>
      <c r="I223" s="699" t="s">
        <v>4</v>
      </c>
      <c r="J223" s="700"/>
      <c r="K223" s="700"/>
      <c r="L223" s="700"/>
      <c r="M223" s="700"/>
      <c r="N223" s="698" t="s">
        <v>5</v>
      </c>
      <c r="O223" s="698"/>
      <c r="P223" s="698"/>
      <c r="Q223" s="698"/>
      <c r="R223" s="698"/>
    </row>
    <row r="224" spans="1:18">
      <c r="A224" s="694"/>
      <c r="B224" s="696"/>
      <c r="C224" s="696"/>
      <c r="D224" s="45" t="s">
        <v>6</v>
      </c>
      <c r="E224" s="46" t="s">
        <v>2</v>
      </c>
      <c r="F224" s="46" t="s">
        <v>7</v>
      </c>
      <c r="G224" s="46" t="s">
        <v>8</v>
      </c>
      <c r="H224" s="46" t="s">
        <v>9</v>
      </c>
      <c r="I224" s="46" t="s">
        <v>10</v>
      </c>
      <c r="J224" s="46" t="s">
        <v>2</v>
      </c>
      <c r="K224" s="46" t="s">
        <v>7</v>
      </c>
      <c r="L224" s="46" t="s">
        <v>8</v>
      </c>
      <c r="M224" s="47" t="s">
        <v>9</v>
      </c>
      <c r="N224" s="46" t="s">
        <v>10</v>
      </c>
      <c r="O224" s="46" t="s">
        <v>2</v>
      </c>
      <c r="P224" s="46" t="s">
        <v>7</v>
      </c>
      <c r="Q224" s="46" t="s">
        <v>8</v>
      </c>
      <c r="R224" s="46" t="s">
        <v>9</v>
      </c>
    </row>
    <row r="225" spans="1:18">
      <c r="A225" s="33" t="s">
        <v>23</v>
      </c>
      <c r="B225" s="73" t="s">
        <v>146</v>
      </c>
      <c r="C225" s="65"/>
      <c r="D225" s="31"/>
      <c r="E225" s="31"/>
      <c r="F225" s="31"/>
      <c r="G225" s="31"/>
      <c r="H225" s="31"/>
      <c r="I225" s="31"/>
      <c r="J225" s="31"/>
      <c r="K225" s="31"/>
      <c r="L225" s="31"/>
      <c r="M225" s="31"/>
      <c r="N225" s="31"/>
      <c r="O225" s="31"/>
      <c r="P225" s="31"/>
      <c r="Q225" s="31"/>
      <c r="R225" s="32"/>
    </row>
    <row r="226" spans="1:18">
      <c r="A226" s="34">
        <f>A208+1</f>
        <v>12</v>
      </c>
      <c r="B226" s="713" t="s">
        <v>147</v>
      </c>
      <c r="C226" s="66" t="s">
        <v>127</v>
      </c>
      <c r="D226" s="4"/>
      <c r="E226" s="6"/>
      <c r="F226" s="29"/>
      <c r="G226" s="26"/>
      <c r="H226" s="26"/>
      <c r="I226" s="6"/>
      <c r="J226" s="6"/>
      <c r="K226" s="29"/>
      <c r="L226" s="26"/>
      <c r="M226" s="26"/>
      <c r="N226" s="6"/>
      <c r="O226" s="6"/>
      <c r="P226" s="29"/>
      <c r="Q226" s="26"/>
      <c r="R226" s="26"/>
    </row>
    <row r="227" spans="1:18">
      <c r="A227" s="2"/>
      <c r="B227" s="714"/>
      <c r="C227" s="66"/>
      <c r="D227" s="4" t="s">
        <v>97</v>
      </c>
      <c r="E227" s="6" t="s">
        <v>81</v>
      </c>
      <c r="F227" s="29">
        <v>0.05</v>
      </c>
      <c r="G227" s="26">
        <f>ur</f>
        <v>850</v>
      </c>
      <c r="H227" s="26">
        <f>F227*G227</f>
        <v>42.5</v>
      </c>
      <c r="I227" s="7"/>
      <c r="J227" s="8"/>
      <c r="K227" s="29"/>
      <c r="L227" s="28"/>
      <c r="M227" s="28"/>
      <c r="N227" s="8" t="s">
        <v>128</v>
      </c>
      <c r="O227" s="6"/>
      <c r="P227" s="29"/>
      <c r="Q227" s="28"/>
      <c r="R227" s="28">
        <f>3%*H230</f>
        <v>1.2749999999999999</v>
      </c>
    </row>
    <row r="228" spans="1:18">
      <c r="A228" s="2"/>
      <c r="B228" s="714"/>
      <c r="C228" s="66"/>
      <c r="D228" s="4"/>
      <c r="E228" s="6"/>
      <c r="F228" s="29"/>
      <c r="G228" s="26"/>
      <c r="H228" s="26"/>
      <c r="I228" s="7"/>
      <c r="J228" s="8"/>
      <c r="K228" s="29"/>
      <c r="L228" s="28"/>
      <c r="M228" s="28"/>
      <c r="N228" s="8"/>
      <c r="O228" s="6"/>
      <c r="P228" s="29"/>
      <c r="Q228" s="28"/>
      <c r="R228" s="28"/>
    </row>
    <row r="229" spans="1:18">
      <c r="A229" s="2"/>
      <c r="B229" s="5"/>
      <c r="C229" s="66"/>
      <c r="D229" s="4"/>
      <c r="E229" s="9"/>
      <c r="F229" s="30"/>
      <c r="G229" s="27"/>
      <c r="H229" s="27"/>
      <c r="I229" s="9"/>
      <c r="J229" s="10"/>
      <c r="K229" s="30"/>
      <c r="L229" s="28"/>
      <c r="M229" s="28"/>
      <c r="N229" s="8"/>
      <c r="O229" s="6"/>
      <c r="P229" s="30"/>
      <c r="Q229" s="28"/>
      <c r="R229" s="28"/>
    </row>
    <row r="230" spans="1:18">
      <c r="A230" s="2"/>
      <c r="B230" s="11"/>
      <c r="C230" s="66"/>
      <c r="D230" s="12"/>
      <c r="E230" s="59"/>
      <c r="F230" s="13"/>
      <c r="G230" s="13" t="s">
        <v>20</v>
      </c>
      <c r="H230" s="25">
        <f>SUM(H226:H229)</f>
        <v>42.5</v>
      </c>
      <c r="I230" s="703"/>
      <c r="J230" s="703"/>
      <c r="K230" s="14"/>
      <c r="L230" s="13" t="s">
        <v>21</v>
      </c>
      <c r="M230" s="25">
        <f>SUM(M226:M229)</f>
        <v>0</v>
      </c>
      <c r="N230" s="3"/>
      <c r="O230" s="14"/>
      <c r="P230" s="14"/>
      <c r="Q230" s="13" t="s">
        <v>22</v>
      </c>
      <c r="R230" s="25">
        <f>SUM(R226:R229)</f>
        <v>1.2749999999999999</v>
      </c>
    </row>
    <row r="231" spans="1:18">
      <c r="A231" s="2"/>
      <c r="B231" s="16" t="s">
        <v>13</v>
      </c>
      <c r="C231" s="67"/>
      <c r="D231" s="14"/>
      <c r="E231" s="14"/>
      <c r="F231" s="14"/>
      <c r="G231" s="13"/>
      <c r="H231" s="35">
        <f>M230+R230+H230</f>
        <v>43.774999999999999</v>
      </c>
      <c r="I231" s="17"/>
      <c r="J231" s="14"/>
      <c r="K231" s="14"/>
      <c r="L231" s="13"/>
      <c r="M231" s="15"/>
      <c r="N231" s="14"/>
      <c r="O231" s="14"/>
      <c r="P231" s="14"/>
      <c r="Q231" s="14"/>
      <c r="R231" s="17"/>
    </row>
    <row r="232" spans="1:18">
      <c r="A232" s="2"/>
      <c r="B232" s="11" t="s">
        <v>25</v>
      </c>
      <c r="C232" s="68"/>
      <c r="D232" s="4"/>
      <c r="E232" s="4"/>
      <c r="F232" s="4"/>
      <c r="G232" s="18"/>
      <c r="H232" s="36">
        <v>0</v>
      </c>
      <c r="I232" s="20"/>
      <c r="J232" s="4" t="s">
        <v>26</v>
      </c>
      <c r="K232" s="4"/>
      <c r="L232" s="18"/>
      <c r="M232" s="19"/>
      <c r="N232" s="4"/>
      <c r="O232" s="4"/>
      <c r="P232" s="4"/>
      <c r="Q232" s="4"/>
      <c r="R232" s="20"/>
    </row>
    <row r="233" spans="1:18">
      <c r="A233" s="23"/>
      <c r="B233" s="11" t="s">
        <v>14</v>
      </c>
      <c r="C233" s="68"/>
      <c r="D233" s="4"/>
      <c r="E233" s="4"/>
      <c r="F233" s="4"/>
      <c r="G233" s="18"/>
      <c r="H233" s="36">
        <f>SUM(H231:H232)</f>
        <v>43.774999999999999</v>
      </c>
      <c r="I233" s="20"/>
      <c r="J233" s="704"/>
      <c r="K233" s="705"/>
      <c r="L233" s="705"/>
      <c r="M233" s="705"/>
      <c r="N233" s="705"/>
      <c r="O233" s="705"/>
      <c r="P233" s="705"/>
      <c r="Q233" s="705"/>
      <c r="R233" s="706"/>
    </row>
    <row r="234" spans="1:18">
      <c r="A234" s="23"/>
      <c r="B234" s="11" t="s">
        <v>24</v>
      </c>
      <c r="C234" s="68"/>
      <c r="D234" s="4"/>
      <c r="E234" s="4"/>
      <c r="F234" s="4"/>
      <c r="G234" s="18"/>
      <c r="H234" s="36">
        <f>H233*15%</f>
        <v>6.5662499999999993</v>
      </c>
      <c r="I234" s="20"/>
      <c r="J234" s="707"/>
      <c r="K234" s="708"/>
      <c r="L234" s="708"/>
      <c r="M234" s="708"/>
      <c r="N234" s="708"/>
      <c r="O234" s="708"/>
      <c r="P234" s="708"/>
      <c r="Q234" s="708"/>
      <c r="R234" s="709"/>
    </row>
    <row r="235" spans="1:18">
      <c r="A235" s="23"/>
      <c r="B235" s="11" t="s">
        <v>15</v>
      </c>
      <c r="C235" s="68"/>
      <c r="D235" s="4"/>
      <c r="E235" s="4"/>
      <c r="F235" s="4"/>
      <c r="G235" s="21" t="s">
        <v>16</v>
      </c>
      <c r="H235" s="37">
        <f>H234+H233</f>
        <v>50.341249999999995</v>
      </c>
      <c r="I235" s="38" t="str">
        <f>CONCATENATE("per ",C226)</f>
        <v>per sqm</v>
      </c>
      <c r="J235" s="707"/>
      <c r="K235" s="708"/>
      <c r="L235" s="708"/>
      <c r="M235" s="708"/>
      <c r="N235" s="708"/>
      <c r="O235" s="708"/>
      <c r="P235" s="708"/>
      <c r="Q235" s="708"/>
      <c r="R235" s="709"/>
    </row>
    <row r="236" spans="1:18">
      <c r="A236" s="23"/>
      <c r="B236" s="11" t="s">
        <v>18</v>
      </c>
      <c r="C236" s="125" t="s">
        <v>19</v>
      </c>
      <c r="D236" s="4"/>
      <c r="E236" s="4"/>
      <c r="F236" s="4"/>
      <c r="G236" s="21" t="s">
        <v>16</v>
      </c>
      <c r="H236" s="37">
        <f>CEILING(H235,0.5)</f>
        <v>50.5</v>
      </c>
      <c r="I236" s="38" t="str">
        <f>CONCATENATE("per ",C226)</f>
        <v>per sqm</v>
      </c>
      <c r="J236" s="707"/>
      <c r="K236" s="708"/>
      <c r="L236" s="708"/>
      <c r="M236" s="708"/>
      <c r="N236" s="708"/>
      <c r="O236" s="708"/>
      <c r="P236" s="708"/>
      <c r="Q236" s="708"/>
      <c r="R236" s="709"/>
    </row>
    <row r="237" spans="1:18">
      <c r="A237" s="23"/>
      <c r="B237" s="11"/>
      <c r="C237" s="68"/>
      <c r="D237" s="4"/>
      <c r="E237" s="4"/>
      <c r="F237" s="4"/>
      <c r="G237" s="24" t="s">
        <v>17</v>
      </c>
      <c r="H237" s="37">
        <f>H236/exr</f>
        <v>0.38846153846153847</v>
      </c>
      <c r="I237" s="38" t="str">
        <f>CONCATENATE("per ",C226)</f>
        <v>per sqm</v>
      </c>
      <c r="J237" s="710"/>
      <c r="K237" s="711"/>
      <c r="L237" s="711"/>
      <c r="M237" s="711"/>
      <c r="N237" s="711"/>
      <c r="O237" s="711"/>
      <c r="P237" s="711"/>
      <c r="Q237" s="711"/>
      <c r="R237" s="712"/>
    </row>
    <row r="238" spans="1:18">
      <c r="A238" s="39"/>
      <c r="B238" s="40"/>
      <c r="C238" s="69"/>
      <c r="D238" s="41"/>
      <c r="E238" s="41"/>
      <c r="F238" s="41"/>
      <c r="G238" s="149" t="s">
        <v>460</v>
      </c>
      <c r="H238" s="150">
        <f>CEILING(0,0.0025)</f>
        <v>0</v>
      </c>
      <c r="I238" s="42"/>
      <c r="J238" s="43"/>
      <c r="K238" s="43"/>
      <c r="L238" s="43"/>
      <c r="M238" s="43"/>
      <c r="N238" s="43"/>
      <c r="O238" s="43"/>
      <c r="P238" s="43"/>
      <c r="Q238" s="43"/>
      <c r="R238" s="44"/>
    </row>
  </sheetData>
  <mergeCells count="108">
    <mergeCell ref="A205:A206"/>
    <mergeCell ref="B205:B206"/>
    <mergeCell ref="C205:C206"/>
    <mergeCell ref="D205:H205"/>
    <mergeCell ref="I205:M205"/>
    <mergeCell ref="N205:R205"/>
    <mergeCell ref="B226:B228"/>
    <mergeCell ref="I230:J230"/>
    <mergeCell ref="J233:R237"/>
    <mergeCell ref="B208:B211"/>
    <mergeCell ref="I213:J213"/>
    <mergeCell ref="J216:R220"/>
    <mergeCell ref="A223:A224"/>
    <mergeCell ref="B223:B224"/>
    <mergeCell ref="C223:C224"/>
    <mergeCell ref="D223:H223"/>
    <mergeCell ref="I223:M223"/>
    <mergeCell ref="N223:R223"/>
    <mergeCell ref="A184:A185"/>
    <mergeCell ref="B184:B185"/>
    <mergeCell ref="C184:C185"/>
    <mergeCell ref="D184:H184"/>
    <mergeCell ref="I184:M184"/>
    <mergeCell ref="N184:R184"/>
    <mergeCell ref="B187:B193"/>
    <mergeCell ref="I195:J195"/>
    <mergeCell ref="J198:R202"/>
    <mergeCell ref="A163:A164"/>
    <mergeCell ref="B163:B164"/>
    <mergeCell ref="C163:C164"/>
    <mergeCell ref="D163:H163"/>
    <mergeCell ref="I163:M163"/>
    <mergeCell ref="N163:R163"/>
    <mergeCell ref="B166:B172"/>
    <mergeCell ref="I174:J174"/>
    <mergeCell ref="J177:R181"/>
    <mergeCell ref="A142:A143"/>
    <mergeCell ref="B142:B143"/>
    <mergeCell ref="C142:C143"/>
    <mergeCell ref="D142:H142"/>
    <mergeCell ref="I142:M142"/>
    <mergeCell ref="N142:R142"/>
    <mergeCell ref="B145:B151"/>
    <mergeCell ref="I153:J153"/>
    <mergeCell ref="J156:R160"/>
    <mergeCell ref="A121:A122"/>
    <mergeCell ref="B121:B122"/>
    <mergeCell ref="C121:C122"/>
    <mergeCell ref="D121:H121"/>
    <mergeCell ref="I121:M121"/>
    <mergeCell ref="N121:R121"/>
    <mergeCell ref="B124:B130"/>
    <mergeCell ref="I132:J132"/>
    <mergeCell ref="J135:R139"/>
    <mergeCell ref="A100:A101"/>
    <mergeCell ref="B100:B101"/>
    <mergeCell ref="C100:C101"/>
    <mergeCell ref="D100:H100"/>
    <mergeCell ref="I100:M100"/>
    <mergeCell ref="N100:R100"/>
    <mergeCell ref="B103:B109"/>
    <mergeCell ref="I111:J111"/>
    <mergeCell ref="J114:R118"/>
    <mergeCell ref="A79:A80"/>
    <mergeCell ref="B79:B80"/>
    <mergeCell ref="C79:C80"/>
    <mergeCell ref="D79:H79"/>
    <mergeCell ref="I79:M79"/>
    <mergeCell ref="N79:R79"/>
    <mergeCell ref="B82:B88"/>
    <mergeCell ref="I90:J90"/>
    <mergeCell ref="J93:R97"/>
    <mergeCell ref="A61:A62"/>
    <mergeCell ref="B61:B62"/>
    <mergeCell ref="C61:C62"/>
    <mergeCell ref="D61:H61"/>
    <mergeCell ref="I61:M61"/>
    <mergeCell ref="N61:R61"/>
    <mergeCell ref="B64:B67"/>
    <mergeCell ref="I69:J69"/>
    <mergeCell ref="J72:R76"/>
    <mergeCell ref="A43:A44"/>
    <mergeCell ref="B43:B44"/>
    <mergeCell ref="C43:C44"/>
    <mergeCell ref="D43:H43"/>
    <mergeCell ref="I43:M43"/>
    <mergeCell ref="N43:R43"/>
    <mergeCell ref="B46:B49"/>
    <mergeCell ref="I51:J51"/>
    <mergeCell ref="J54:R58"/>
    <mergeCell ref="A1:A2"/>
    <mergeCell ref="B1:B2"/>
    <mergeCell ref="C1:C2"/>
    <mergeCell ref="D1:H1"/>
    <mergeCell ref="I1:M1"/>
    <mergeCell ref="N1:R1"/>
    <mergeCell ref="B25:B31"/>
    <mergeCell ref="I33:J33"/>
    <mergeCell ref="J36:R40"/>
    <mergeCell ref="I12:J12"/>
    <mergeCell ref="J15:R19"/>
    <mergeCell ref="B4:B10"/>
    <mergeCell ref="A22:A23"/>
    <mergeCell ref="B22:B23"/>
    <mergeCell ref="C22:C23"/>
    <mergeCell ref="D22:H22"/>
    <mergeCell ref="I22:M22"/>
    <mergeCell ref="N22:R22"/>
  </mergeCells>
  <printOptions horizontalCentered="1"/>
  <pageMargins left="0.7" right="0.7" top="0.75" bottom="0.75" header="0.3" footer="0.3"/>
  <pageSetup paperSize="9" scale="69"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5" manualBreakCount="5">
    <brk id="42" max="16383" man="1"/>
    <brk id="78" max="16383" man="1"/>
    <brk id="120" max="16383" man="1"/>
    <brk id="162" max="16383" man="1"/>
    <brk id="204"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483"/>
  <sheetViews>
    <sheetView workbookViewId="0">
      <selection sqref="A1:A2"/>
    </sheetView>
  </sheetViews>
  <sheetFormatPr defaultColWidth="9.140625" defaultRowHeight="15.75"/>
  <cols>
    <col min="1" max="1" width="10.7109375" style="1" customWidth="1"/>
    <col min="2" max="2" width="25.42578125" style="1" customWidth="1"/>
    <col min="3" max="3" width="5.28515625" style="1" customWidth="1"/>
    <col min="4" max="4" width="9.140625" style="1"/>
    <col min="5" max="5" width="5.28515625" style="1" customWidth="1"/>
    <col min="6" max="7" width="9.140625" style="1"/>
    <col min="8" max="8" width="10.7109375" style="1" customWidth="1"/>
    <col min="9" max="9" width="20.140625" style="1" customWidth="1"/>
    <col min="10" max="10" width="5.28515625" style="1" customWidth="1"/>
    <col min="11" max="12" width="9.140625" style="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154</v>
      </c>
      <c r="C3" s="31"/>
      <c r="D3" s="31"/>
      <c r="E3" s="31"/>
      <c r="F3" s="31"/>
      <c r="G3" s="31"/>
      <c r="H3" s="31"/>
      <c r="I3" s="31"/>
      <c r="J3" s="31"/>
      <c r="K3" s="31"/>
      <c r="L3" s="31"/>
      <c r="M3" s="31"/>
      <c r="N3" s="31"/>
      <c r="O3" s="31"/>
      <c r="P3" s="31"/>
      <c r="Q3" s="31"/>
      <c r="R3" s="32"/>
    </row>
    <row r="4" spans="1:18" ht="15.75" customHeight="1">
      <c r="A4" s="34">
        <v>1</v>
      </c>
      <c r="B4" s="701" t="s">
        <v>152</v>
      </c>
      <c r="C4" s="6" t="s">
        <v>11</v>
      </c>
      <c r="D4" s="4"/>
      <c r="E4" s="6"/>
      <c r="F4" s="29"/>
      <c r="G4" s="26"/>
      <c r="H4" s="26"/>
      <c r="I4" s="6"/>
      <c r="J4" s="6"/>
      <c r="K4" s="29"/>
      <c r="L4" s="26"/>
      <c r="M4" s="26"/>
      <c r="N4" s="6"/>
      <c r="O4" s="6"/>
      <c r="P4" s="29"/>
      <c r="Q4" s="26"/>
      <c r="R4" s="26"/>
    </row>
    <row r="5" spans="1:18">
      <c r="A5" s="2"/>
      <c r="B5" s="702"/>
      <c r="C5" s="6"/>
      <c r="D5" s="4" t="s">
        <v>97</v>
      </c>
      <c r="E5" s="6" t="s">
        <v>81</v>
      </c>
      <c r="F5" s="29">
        <v>0.75</v>
      </c>
      <c r="G5" s="26">
        <f>ur</f>
        <v>850</v>
      </c>
      <c r="H5" s="26">
        <f>F5*G5</f>
        <v>637.5</v>
      </c>
      <c r="I5" s="7"/>
      <c r="J5" s="8"/>
      <c r="K5" s="29"/>
      <c r="L5" s="28"/>
      <c r="M5" s="28"/>
      <c r="N5" s="8" t="s">
        <v>128</v>
      </c>
      <c r="O5" s="6"/>
      <c r="P5" s="29"/>
      <c r="Q5" s="28"/>
      <c r="R5" s="28">
        <f>3%*H9</f>
        <v>19.125</v>
      </c>
    </row>
    <row r="6" spans="1:18">
      <c r="A6" s="2"/>
      <c r="B6" s="702"/>
      <c r="C6" s="6"/>
      <c r="D6" s="4"/>
      <c r="E6" s="6"/>
      <c r="F6" s="29"/>
      <c r="G6" s="26"/>
      <c r="H6" s="26"/>
      <c r="I6" s="7"/>
      <c r="J6" s="8"/>
      <c r="K6" s="29"/>
      <c r="L6" s="28"/>
      <c r="M6" s="28"/>
      <c r="N6" s="8"/>
      <c r="O6" s="6"/>
      <c r="P6" s="29"/>
      <c r="Q6" s="28"/>
      <c r="R6" s="28"/>
    </row>
    <row r="7" spans="1:18">
      <c r="A7" s="2"/>
      <c r="B7" s="702"/>
      <c r="C7" s="6"/>
      <c r="D7" s="4"/>
      <c r="E7" s="6"/>
      <c r="F7" s="29"/>
      <c r="G7" s="26"/>
      <c r="H7" s="26"/>
      <c r="I7" s="7"/>
      <c r="J7" s="8"/>
      <c r="K7" s="29"/>
      <c r="L7" s="28"/>
      <c r="M7" s="28"/>
      <c r="N7" s="8"/>
      <c r="O7" s="6"/>
      <c r="P7" s="29"/>
      <c r="Q7" s="28"/>
      <c r="R7" s="28"/>
    </row>
    <row r="8" spans="1:18">
      <c r="A8" s="2"/>
      <c r="B8" s="5"/>
      <c r="C8" s="6"/>
      <c r="D8" s="4"/>
      <c r="E8" s="9"/>
      <c r="F8" s="30"/>
      <c r="G8" s="27"/>
      <c r="H8" s="27"/>
      <c r="I8" s="9"/>
      <c r="J8" s="10"/>
      <c r="K8" s="30"/>
      <c r="L8" s="28"/>
      <c r="M8" s="28"/>
      <c r="N8" s="8"/>
      <c r="O8" s="6"/>
      <c r="P8" s="30"/>
      <c r="Q8" s="28"/>
      <c r="R8" s="28"/>
    </row>
    <row r="9" spans="1:18">
      <c r="A9" s="2"/>
      <c r="B9" s="11"/>
      <c r="C9" s="6"/>
      <c r="D9" s="12"/>
      <c r="E9" s="59"/>
      <c r="F9" s="13"/>
      <c r="G9" s="13" t="s">
        <v>20</v>
      </c>
      <c r="H9" s="25">
        <f>SUM(H4:H8)</f>
        <v>637.5</v>
      </c>
      <c r="I9" s="703"/>
      <c r="J9" s="703"/>
      <c r="K9" s="14"/>
      <c r="L9" s="13" t="s">
        <v>21</v>
      </c>
      <c r="M9" s="25">
        <f>SUM(M4:M8)</f>
        <v>0</v>
      </c>
      <c r="N9" s="3"/>
      <c r="O9" s="14"/>
      <c r="P9" s="14"/>
      <c r="Q9" s="13" t="s">
        <v>22</v>
      </c>
      <c r="R9" s="25">
        <f>SUM(R4:R8)</f>
        <v>19.125</v>
      </c>
    </row>
    <row r="10" spans="1:18">
      <c r="A10" s="2"/>
      <c r="B10" s="16" t="s">
        <v>13</v>
      </c>
      <c r="C10" s="14"/>
      <c r="D10" s="14"/>
      <c r="E10" s="14"/>
      <c r="F10" s="14"/>
      <c r="G10" s="13"/>
      <c r="H10" s="35">
        <f>M9+R9+H9</f>
        <v>656.625</v>
      </c>
      <c r="I10" s="17"/>
      <c r="J10" s="14"/>
      <c r="K10" s="14"/>
      <c r="L10" s="13"/>
      <c r="M10" s="15"/>
      <c r="N10" s="14"/>
      <c r="O10" s="14"/>
      <c r="P10" s="14"/>
      <c r="Q10" s="14"/>
      <c r="R10" s="17"/>
    </row>
    <row r="11" spans="1:18">
      <c r="A11" s="2"/>
      <c r="B11" s="11" t="s">
        <v>25</v>
      </c>
      <c r="C11" s="4"/>
      <c r="D11" s="4"/>
      <c r="E11" s="4"/>
      <c r="F11" s="4"/>
      <c r="G11" s="18"/>
      <c r="H11" s="36">
        <v>0</v>
      </c>
      <c r="I11" s="20"/>
      <c r="J11" s="4" t="s">
        <v>26</v>
      </c>
      <c r="K11" s="4"/>
      <c r="L11" s="18"/>
      <c r="M11" s="19"/>
      <c r="N11" s="4"/>
      <c r="O11" s="4"/>
      <c r="P11" s="4"/>
      <c r="Q11" s="4"/>
      <c r="R11" s="20"/>
    </row>
    <row r="12" spans="1:18">
      <c r="A12" s="23"/>
      <c r="B12" s="11" t="s">
        <v>14</v>
      </c>
      <c r="C12" s="4"/>
      <c r="D12" s="4"/>
      <c r="E12" s="4"/>
      <c r="F12" s="4"/>
      <c r="G12" s="18"/>
      <c r="H12" s="36">
        <f>SUM(H10:H11)</f>
        <v>656.625</v>
      </c>
      <c r="I12" s="20"/>
      <c r="J12" s="704"/>
      <c r="K12" s="705"/>
      <c r="L12" s="705"/>
      <c r="M12" s="705"/>
      <c r="N12" s="705"/>
      <c r="O12" s="705"/>
      <c r="P12" s="705"/>
      <c r="Q12" s="705"/>
      <c r="R12" s="706"/>
    </row>
    <row r="13" spans="1:18">
      <c r="A13" s="23"/>
      <c r="B13" s="11" t="s">
        <v>24</v>
      </c>
      <c r="C13" s="4"/>
      <c r="D13" s="4"/>
      <c r="E13" s="4"/>
      <c r="F13" s="4"/>
      <c r="G13" s="18"/>
      <c r="H13" s="36">
        <f>H12*15%</f>
        <v>98.493749999999991</v>
      </c>
      <c r="I13" s="20"/>
      <c r="J13" s="707"/>
      <c r="K13" s="708"/>
      <c r="L13" s="708"/>
      <c r="M13" s="708"/>
      <c r="N13" s="708"/>
      <c r="O13" s="708"/>
      <c r="P13" s="708"/>
      <c r="Q13" s="708"/>
      <c r="R13" s="709"/>
    </row>
    <row r="14" spans="1:18">
      <c r="A14" s="23"/>
      <c r="B14" s="11" t="s">
        <v>15</v>
      </c>
      <c r="C14" s="4"/>
      <c r="D14" s="4"/>
      <c r="E14" s="4"/>
      <c r="F14" s="4"/>
      <c r="G14" s="21" t="s">
        <v>16</v>
      </c>
      <c r="H14" s="37">
        <f>H13+H12</f>
        <v>755.11874999999998</v>
      </c>
      <c r="I14" s="38" t="str">
        <f>CONCATENATE("per ",C4)</f>
        <v>per cum</v>
      </c>
      <c r="J14" s="707"/>
      <c r="K14" s="708"/>
      <c r="L14" s="708"/>
      <c r="M14" s="708"/>
      <c r="N14" s="708"/>
      <c r="O14" s="708"/>
      <c r="P14" s="708"/>
      <c r="Q14" s="708"/>
      <c r="R14" s="709"/>
    </row>
    <row r="15" spans="1:18">
      <c r="A15" s="23"/>
      <c r="B15" s="11" t="s">
        <v>18</v>
      </c>
      <c r="C15" s="4" t="s">
        <v>19</v>
      </c>
      <c r="D15" s="4"/>
      <c r="E15" s="4"/>
      <c r="F15" s="4"/>
      <c r="G15" s="21" t="s">
        <v>16</v>
      </c>
      <c r="H15" s="37">
        <f>CEILING(H14,0.5)</f>
        <v>755.5</v>
      </c>
      <c r="I15" s="38" t="str">
        <f>CONCATENATE("per ",C4)</f>
        <v>per cum</v>
      </c>
      <c r="J15" s="707"/>
      <c r="K15" s="708"/>
      <c r="L15" s="708"/>
      <c r="M15" s="708"/>
      <c r="N15" s="708"/>
      <c r="O15" s="708"/>
      <c r="P15" s="708"/>
      <c r="Q15" s="708"/>
      <c r="R15" s="709"/>
    </row>
    <row r="16" spans="1:18">
      <c r="A16" s="23"/>
      <c r="B16" s="11"/>
      <c r="C16" s="4"/>
      <c r="D16" s="4"/>
      <c r="E16" s="4"/>
      <c r="F16" s="4"/>
      <c r="G16" s="24" t="s">
        <v>17</v>
      </c>
      <c r="H16" s="37">
        <f>H15/exr</f>
        <v>5.8115384615384613</v>
      </c>
      <c r="I16" s="38" t="str">
        <f>CONCATENATE("per ",C4)</f>
        <v>per cum</v>
      </c>
      <c r="J16" s="710"/>
      <c r="K16" s="711"/>
      <c r="L16" s="711"/>
      <c r="M16" s="711"/>
      <c r="N16" s="711"/>
      <c r="O16" s="711"/>
      <c r="P16" s="711"/>
      <c r="Q16" s="711"/>
      <c r="R16" s="712"/>
    </row>
    <row r="17" spans="1:18">
      <c r="A17" s="39"/>
      <c r="B17" s="40"/>
      <c r="C17" s="41"/>
      <c r="D17" s="41"/>
      <c r="E17" s="41"/>
      <c r="F17" s="41"/>
      <c r="G17" s="149" t="s">
        <v>460</v>
      </c>
      <c r="H17" s="150">
        <f>CEILING(0,0.0025)</f>
        <v>0</v>
      </c>
      <c r="I17" s="42"/>
      <c r="J17" s="43"/>
      <c r="K17" s="43"/>
      <c r="L17" s="43"/>
      <c r="M17" s="43"/>
      <c r="N17" s="43"/>
      <c r="O17" s="43"/>
      <c r="P17" s="43"/>
      <c r="Q17" s="43"/>
      <c r="R17" s="44"/>
    </row>
    <row r="18" spans="1:18">
      <c r="A18" s="22"/>
      <c r="B18" s="22"/>
      <c r="C18" s="22"/>
      <c r="D18" s="22"/>
      <c r="E18" s="22"/>
      <c r="F18" s="22"/>
      <c r="G18" s="22"/>
      <c r="H18" s="22"/>
      <c r="I18" s="22"/>
      <c r="J18" s="22"/>
      <c r="K18" s="22"/>
      <c r="L18" s="22"/>
      <c r="M18" s="22"/>
      <c r="N18" s="22"/>
      <c r="O18" s="22"/>
      <c r="P18" s="22"/>
      <c r="Q18" s="22"/>
      <c r="R18" s="22"/>
    </row>
    <row r="19" spans="1:18">
      <c r="A19" s="693" t="s">
        <v>0</v>
      </c>
      <c r="B19" s="695" t="s">
        <v>1</v>
      </c>
      <c r="C19" s="695" t="s">
        <v>2</v>
      </c>
      <c r="D19" s="697" t="s">
        <v>3</v>
      </c>
      <c r="E19" s="698"/>
      <c r="F19" s="698"/>
      <c r="G19" s="698"/>
      <c r="H19" s="698"/>
      <c r="I19" s="699" t="s">
        <v>4</v>
      </c>
      <c r="J19" s="700"/>
      <c r="K19" s="700"/>
      <c r="L19" s="700"/>
      <c r="M19" s="700"/>
      <c r="N19" s="698" t="s">
        <v>5</v>
      </c>
      <c r="O19" s="698"/>
      <c r="P19" s="698"/>
      <c r="Q19" s="698"/>
      <c r="R19" s="698"/>
    </row>
    <row r="20" spans="1:18">
      <c r="A20" s="694"/>
      <c r="B20" s="696"/>
      <c r="C20" s="696"/>
      <c r="D20" s="45" t="s">
        <v>6</v>
      </c>
      <c r="E20" s="46" t="s">
        <v>2</v>
      </c>
      <c r="F20" s="46" t="s">
        <v>7</v>
      </c>
      <c r="G20" s="46" t="s">
        <v>8</v>
      </c>
      <c r="H20" s="46" t="s">
        <v>9</v>
      </c>
      <c r="I20" s="46" t="s">
        <v>10</v>
      </c>
      <c r="J20" s="46" t="s">
        <v>2</v>
      </c>
      <c r="K20" s="46" t="s">
        <v>7</v>
      </c>
      <c r="L20" s="46" t="s">
        <v>8</v>
      </c>
      <c r="M20" s="47" t="s">
        <v>9</v>
      </c>
      <c r="N20" s="46" t="s">
        <v>10</v>
      </c>
      <c r="O20" s="46" t="s">
        <v>2</v>
      </c>
      <c r="P20" s="46" t="s">
        <v>7</v>
      </c>
      <c r="Q20" s="46" t="s">
        <v>8</v>
      </c>
      <c r="R20" s="46" t="s">
        <v>9</v>
      </c>
    </row>
    <row r="21" spans="1:18">
      <c r="A21" s="33" t="s">
        <v>23</v>
      </c>
      <c r="B21" s="73" t="s">
        <v>155</v>
      </c>
      <c r="C21" s="31"/>
      <c r="D21" s="31"/>
      <c r="E21" s="31"/>
      <c r="F21" s="31"/>
      <c r="G21" s="31"/>
      <c r="H21" s="31"/>
      <c r="I21" s="31"/>
      <c r="J21" s="31"/>
      <c r="K21" s="31"/>
      <c r="L21" s="31"/>
      <c r="M21" s="31"/>
      <c r="N21" s="31"/>
      <c r="O21" s="31"/>
      <c r="P21" s="31"/>
      <c r="Q21" s="31"/>
      <c r="R21" s="32"/>
    </row>
    <row r="22" spans="1:18" ht="15.75" customHeight="1">
      <c r="A22" s="34">
        <f>A4+1</f>
        <v>2</v>
      </c>
      <c r="B22" s="727" t="s">
        <v>153</v>
      </c>
      <c r="C22" s="6" t="s">
        <v>11</v>
      </c>
      <c r="D22" s="4"/>
      <c r="E22" s="6"/>
      <c r="F22" s="29"/>
      <c r="G22" s="26"/>
      <c r="H22" s="26"/>
      <c r="I22" s="6"/>
      <c r="J22" s="6"/>
      <c r="K22" s="29"/>
      <c r="L22" s="26"/>
      <c r="M22" s="26"/>
      <c r="N22" s="6"/>
      <c r="O22" s="6"/>
      <c r="P22" s="29"/>
      <c r="Q22" s="26"/>
      <c r="R22" s="26"/>
    </row>
    <row r="23" spans="1:18">
      <c r="A23" s="2"/>
      <c r="B23" s="728"/>
      <c r="C23" s="6"/>
      <c r="D23" s="4" t="s">
        <v>97</v>
      </c>
      <c r="E23" s="6" t="s">
        <v>81</v>
      </c>
      <c r="F23" s="29">
        <v>1</v>
      </c>
      <c r="G23" s="26">
        <f>ur</f>
        <v>850</v>
      </c>
      <c r="H23" s="26">
        <f>F23*G23</f>
        <v>850</v>
      </c>
      <c r="I23" s="7" t="s">
        <v>988</v>
      </c>
      <c r="J23" s="8" t="s">
        <v>989</v>
      </c>
      <c r="K23" s="29">
        <v>0.34</v>
      </c>
      <c r="L23" s="28"/>
      <c r="M23" s="28"/>
      <c r="N23" s="8" t="s">
        <v>128</v>
      </c>
      <c r="O23" s="6"/>
      <c r="P23" s="29"/>
      <c r="Q23" s="28"/>
      <c r="R23" s="28">
        <f>3%*H28</f>
        <v>25.5</v>
      </c>
    </row>
    <row r="24" spans="1:18">
      <c r="A24" s="2"/>
      <c r="B24" s="728"/>
      <c r="C24" s="6"/>
      <c r="D24" s="4"/>
      <c r="E24" s="6"/>
      <c r="F24" s="29"/>
      <c r="G24" s="26"/>
      <c r="H24" s="26"/>
      <c r="I24" s="7"/>
      <c r="J24" s="8"/>
      <c r="K24" s="29"/>
      <c r="L24" s="28"/>
      <c r="M24" s="28"/>
      <c r="N24" s="8"/>
      <c r="O24" s="6"/>
      <c r="P24" s="29"/>
      <c r="Q24" s="28"/>
      <c r="R24" s="28"/>
    </row>
    <row r="25" spans="1:18">
      <c r="A25" s="2"/>
      <c r="B25" s="728"/>
      <c r="C25" s="6"/>
      <c r="D25" s="4"/>
      <c r="E25" s="6"/>
      <c r="F25" s="29"/>
      <c r="G25" s="26"/>
      <c r="H25" s="26"/>
      <c r="I25" s="7"/>
      <c r="J25" s="8"/>
      <c r="K25" s="29"/>
      <c r="L25" s="28"/>
      <c r="M25" s="28"/>
      <c r="N25" s="8"/>
      <c r="O25" s="6"/>
      <c r="P25" s="29"/>
      <c r="Q25" s="28"/>
      <c r="R25" s="28"/>
    </row>
    <row r="26" spans="1:18">
      <c r="A26" s="2"/>
      <c r="B26" s="728"/>
      <c r="C26" s="6"/>
      <c r="D26" s="4"/>
      <c r="E26" s="6"/>
      <c r="F26" s="29"/>
      <c r="G26" s="26"/>
      <c r="H26" s="26"/>
      <c r="I26" s="7"/>
      <c r="J26" s="8"/>
      <c r="K26" s="29"/>
      <c r="L26" s="28"/>
      <c r="M26" s="28"/>
      <c r="N26" s="8"/>
      <c r="O26" s="6"/>
      <c r="P26" s="29"/>
      <c r="Q26" s="28"/>
      <c r="R26" s="28"/>
    </row>
    <row r="27" spans="1:18">
      <c r="A27" s="2"/>
      <c r="B27" s="84"/>
      <c r="C27" s="6"/>
      <c r="D27" s="4"/>
      <c r="E27" s="9"/>
      <c r="F27" s="30"/>
      <c r="G27" s="27"/>
      <c r="H27" s="27"/>
      <c r="I27" s="9"/>
      <c r="J27" s="10"/>
      <c r="K27" s="30"/>
      <c r="L27" s="28"/>
      <c r="M27" s="28"/>
      <c r="N27" s="8"/>
      <c r="O27" s="6"/>
      <c r="P27" s="30"/>
      <c r="Q27" s="28"/>
      <c r="R27" s="28"/>
    </row>
    <row r="28" spans="1:18">
      <c r="A28" s="2"/>
      <c r="B28" s="11"/>
      <c r="C28" s="6"/>
      <c r="D28" s="12"/>
      <c r="E28" s="59"/>
      <c r="F28" s="13"/>
      <c r="G28" s="13" t="s">
        <v>20</v>
      </c>
      <c r="H28" s="25">
        <f>SUM(H22:H27)</f>
        <v>850</v>
      </c>
      <c r="I28" s="703"/>
      <c r="J28" s="703"/>
      <c r="K28" s="14"/>
      <c r="L28" s="13" t="s">
        <v>21</v>
      </c>
      <c r="M28" s="25">
        <f>SUM(M22:M27)</f>
        <v>0</v>
      </c>
      <c r="N28" s="3"/>
      <c r="O28" s="14"/>
      <c r="P28" s="14"/>
      <c r="Q28" s="13" t="s">
        <v>22</v>
      </c>
      <c r="R28" s="25">
        <f>SUM(R22:R27)</f>
        <v>25.5</v>
      </c>
    </row>
    <row r="29" spans="1:18">
      <c r="A29" s="2"/>
      <c r="B29" s="16" t="s">
        <v>13</v>
      </c>
      <c r="C29" s="14"/>
      <c r="D29" s="14"/>
      <c r="E29" s="14"/>
      <c r="F29" s="14"/>
      <c r="G29" s="13"/>
      <c r="H29" s="35">
        <f>M28+R28+H28</f>
        <v>875.5</v>
      </c>
      <c r="I29" s="17"/>
      <c r="J29" s="14"/>
      <c r="K29" s="14"/>
      <c r="L29" s="13"/>
      <c r="M29" s="15"/>
      <c r="N29" s="14"/>
      <c r="O29" s="14"/>
      <c r="P29" s="14"/>
      <c r="Q29" s="14"/>
      <c r="R29" s="17"/>
    </row>
    <row r="30" spans="1:18">
      <c r="A30" s="2"/>
      <c r="B30" s="11" t="s">
        <v>25</v>
      </c>
      <c r="C30" s="4"/>
      <c r="D30" s="4"/>
      <c r="E30" s="4"/>
      <c r="F30" s="4"/>
      <c r="G30" s="18"/>
      <c r="H30" s="36">
        <v>0</v>
      </c>
      <c r="I30" s="20"/>
      <c r="J30" s="4" t="s">
        <v>26</v>
      </c>
      <c r="K30" s="4"/>
      <c r="L30" s="18"/>
      <c r="M30" s="19"/>
      <c r="N30" s="4"/>
      <c r="O30" s="4"/>
      <c r="P30" s="4"/>
      <c r="Q30" s="4"/>
      <c r="R30" s="20"/>
    </row>
    <row r="31" spans="1:18">
      <c r="A31" s="23"/>
      <c r="B31" s="11" t="s">
        <v>14</v>
      </c>
      <c r="C31" s="4"/>
      <c r="D31" s="4"/>
      <c r="E31" s="4"/>
      <c r="F31" s="4"/>
      <c r="G31" s="18"/>
      <c r="H31" s="36">
        <f>SUM(H29:H30)</f>
        <v>875.5</v>
      </c>
      <c r="I31" s="20"/>
      <c r="J31" s="704"/>
      <c r="K31" s="705"/>
      <c r="L31" s="705"/>
      <c r="M31" s="705"/>
      <c r="N31" s="705"/>
      <c r="O31" s="705"/>
      <c r="P31" s="705"/>
      <c r="Q31" s="705"/>
      <c r="R31" s="706"/>
    </row>
    <row r="32" spans="1:18">
      <c r="A32" s="23"/>
      <c r="B32" s="11" t="s">
        <v>24</v>
      </c>
      <c r="C32" s="4"/>
      <c r="D32" s="4"/>
      <c r="E32" s="4"/>
      <c r="F32" s="4"/>
      <c r="G32" s="18"/>
      <c r="H32" s="36">
        <f>H31*15%</f>
        <v>131.32499999999999</v>
      </c>
      <c r="I32" s="20"/>
      <c r="J32" s="707"/>
      <c r="K32" s="708"/>
      <c r="L32" s="708"/>
      <c r="M32" s="708"/>
      <c r="N32" s="708"/>
      <c r="O32" s="708"/>
      <c r="P32" s="708"/>
      <c r="Q32" s="708"/>
      <c r="R32" s="709"/>
    </row>
    <row r="33" spans="1:18">
      <c r="A33" s="23"/>
      <c r="B33" s="11" t="s">
        <v>15</v>
      </c>
      <c r="C33" s="4"/>
      <c r="D33" s="4"/>
      <c r="E33" s="4"/>
      <c r="F33" s="4"/>
      <c r="G33" s="21" t="s">
        <v>16</v>
      </c>
      <c r="H33" s="37">
        <f>H32+H31</f>
        <v>1006.825</v>
      </c>
      <c r="I33" s="38" t="str">
        <f>CONCATENATE("per ",C22)</f>
        <v>per cum</v>
      </c>
      <c r="J33" s="707"/>
      <c r="K33" s="708"/>
      <c r="L33" s="708"/>
      <c r="M33" s="708"/>
      <c r="N33" s="708"/>
      <c r="O33" s="708"/>
      <c r="P33" s="708"/>
      <c r="Q33" s="708"/>
      <c r="R33" s="709"/>
    </row>
    <row r="34" spans="1:18">
      <c r="A34" s="23"/>
      <c r="B34" s="11" t="s">
        <v>18</v>
      </c>
      <c r="C34" s="4" t="s">
        <v>19</v>
      </c>
      <c r="D34" s="4"/>
      <c r="E34" s="4"/>
      <c r="F34" s="4"/>
      <c r="G34" s="21" t="s">
        <v>16</v>
      </c>
      <c r="H34" s="37">
        <f>CEILING(H33,0.5)</f>
        <v>1007</v>
      </c>
      <c r="I34" s="38" t="str">
        <f>CONCATENATE("per ",C22)</f>
        <v>per cum</v>
      </c>
      <c r="J34" s="707"/>
      <c r="K34" s="708"/>
      <c r="L34" s="708"/>
      <c r="M34" s="708"/>
      <c r="N34" s="708"/>
      <c r="O34" s="708"/>
      <c r="P34" s="708"/>
      <c r="Q34" s="708"/>
      <c r="R34" s="709"/>
    </row>
    <row r="35" spans="1:18">
      <c r="A35" s="23"/>
      <c r="B35" s="11"/>
      <c r="C35" s="4"/>
      <c r="D35" s="4"/>
      <c r="E35" s="4"/>
      <c r="F35" s="4"/>
      <c r="G35" s="24" t="s">
        <v>17</v>
      </c>
      <c r="H35" s="37">
        <f>H34/exr</f>
        <v>7.7461538461538462</v>
      </c>
      <c r="I35" s="38" t="str">
        <f>CONCATENATE("per ",C22)</f>
        <v>per cum</v>
      </c>
      <c r="J35" s="710"/>
      <c r="K35" s="711"/>
      <c r="L35" s="711"/>
      <c r="M35" s="711"/>
      <c r="N35" s="711"/>
      <c r="O35" s="711"/>
      <c r="P35" s="711"/>
      <c r="Q35" s="711"/>
      <c r="R35" s="712"/>
    </row>
    <row r="36" spans="1:18">
      <c r="A36" s="39"/>
      <c r="B36" s="40"/>
      <c r="C36" s="41"/>
      <c r="D36" s="41"/>
      <c r="E36" s="41"/>
      <c r="F36" s="41"/>
      <c r="G36" s="149" t="s">
        <v>460</v>
      </c>
      <c r="H36" s="150">
        <f>CEILING(0,0.0025)</f>
        <v>0</v>
      </c>
      <c r="I36" s="42"/>
      <c r="J36" s="43"/>
      <c r="K36" s="43"/>
      <c r="L36" s="43"/>
      <c r="M36" s="43"/>
      <c r="N36" s="43"/>
      <c r="O36" s="43"/>
      <c r="P36" s="43"/>
      <c r="Q36" s="43"/>
      <c r="R36" s="44"/>
    </row>
    <row r="38" spans="1:18">
      <c r="A38" s="693" t="s">
        <v>0</v>
      </c>
      <c r="B38" s="695" t="s">
        <v>1</v>
      </c>
      <c r="C38" s="695" t="s">
        <v>2</v>
      </c>
      <c r="D38" s="697" t="s">
        <v>3</v>
      </c>
      <c r="E38" s="698"/>
      <c r="F38" s="698"/>
      <c r="G38" s="698"/>
      <c r="H38" s="698"/>
      <c r="I38" s="699" t="s">
        <v>4</v>
      </c>
      <c r="J38" s="700"/>
      <c r="K38" s="700"/>
      <c r="L38" s="700"/>
      <c r="M38" s="700"/>
      <c r="N38" s="698" t="s">
        <v>5</v>
      </c>
      <c r="O38" s="698"/>
      <c r="P38" s="698"/>
      <c r="Q38" s="698"/>
      <c r="R38" s="698"/>
    </row>
    <row r="39" spans="1:18">
      <c r="A39" s="694"/>
      <c r="B39" s="696"/>
      <c r="C39" s="696"/>
      <c r="D39" s="45" t="s">
        <v>6</v>
      </c>
      <c r="E39" s="46" t="s">
        <v>2</v>
      </c>
      <c r="F39" s="46" t="s">
        <v>7</v>
      </c>
      <c r="G39" s="46" t="s">
        <v>8</v>
      </c>
      <c r="H39" s="46" t="s">
        <v>9</v>
      </c>
      <c r="I39" s="46" t="s">
        <v>10</v>
      </c>
      <c r="J39" s="46" t="s">
        <v>2</v>
      </c>
      <c r="K39" s="46" t="s">
        <v>7</v>
      </c>
      <c r="L39" s="46" t="s">
        <v>8</v>
      </c>
      <c r="M39" s="47" t="s">
        <v>9</v>
      </c>
      <c r="N39" s="46" t="s">
        <v>10</v>
      </c>
      <c r="O39" s="46" t="s">
        <v>2</v>
      </c>
      <c r="P39" s="46" t="s">
        <v>7</v>
      </c>
      <c r="Q39" s="46" t="s">
        <v>8</v>
      </c>
      <c r="R39" s="46" t="s">
        <v>9</v>
      </c>
    </row>
    <row r="40" spans="1:18">
      <c r="A40" s="33" t="s">
        <v>23</v>
      </c>
      <c r="B40" s="73" t="s">
        <v>993</v>
      </c>
      <c r="C40" s="31"/>
      <c r="D40" s="31"/>
      <c r="E40" s="31"/>
      <c r="F40" s="31"/>
      <c r="G40" s="31"/>
      <c r="H40" s="31"/>
      <c r="I40" s="31"/>
      <c r="J40" s="31"/>
      <c r="K40" s="31"/>
      <c r="L40" s="31"/>
      <c r="M40" s="31"/>
      <c r="N40" s="31"/>
      <c r="O40" s="31"/>
      <c r="P40" s="31"/>
      <c r="Q40" s="31"/>
      <c r="R40" s="32"/>
    </row>
    <row r="41" spans="1:18" ht="15.75" customHeight="1">
      <c r="A41" s="34">
        <v>3</v>
      </c>
      <c r="B41" s="727" t="s">
        <v>994</v>
      </c>
      <c r="C41" s="6" t="s">
        <v>11</v>
      </c>
      <c r="D41" s="4"/>
      <c r="E41" s="6"/>
      <c r="F41" s="29"/>
      <c r="G41" s="26"/>
      <c r="H41" s="26"/>
      <c r="I41" s="6"/>
      <c r="J41" s="6"/>
      <c r="K41" s="29"/>
      <c r="L41" s="26"/>
      <c r="M41" s="26"/>
      <c r="N41" s="6"/>
      <c r="O41" s="6"/>
      <c r="P41" s="29"/>
      <c r="Q41" s="26"/>
      <c r="R41" s="26"/>
    </row>
    <row r="42" spans="1:18">
      <c r="A42" s="2"/>
      <c r="B42" s="728"/>
      <c r="C42" s="6"/>
      <c r="D42" s="4" t="s">
        <v>97</v>
      </c>
      <c r="E42" s="6" t="s">
        <v>81</v>
      </c>
      <c r="F42" s="29">
        <v>6.0000000000000001E-3</v>
      </c>
      <c r="G42" s="26">
        <f>ur</f>
        <v>850</v>
      </c>
      <c r="H42" s="26">
        <f>F42*G42</f>
        <v>5.1000000000000005</v>
      </c>
      <c r="I42" s="7" t="s">
        <v>990</v>
      </c>
      <c r="J42" s="8" t="s">
        <v>989</v>
      </c>
      <c r="K42" s="29">
        <v>0.34</v>
      </c>
      <c r="L42" s="28">
        <f>diesel</f>
        <v>177.6</v>
      </c>
      <c r="M42" s="28">
        <f>K42*L42</f>
        <v>60.384</v>
      </c>
      <c r="N42" s="8" t="s">
        <v>992</v>
      </c>
      <c r="O42" s="6" t="s">
        <v>101</v>
      </c>
      <c r="P42" s="29">
        <v>1.7000000000000001E-2</v>
      </c>
      <c r="Q42" s="28">
        <f>excavator</f>
        <v>1946.88</v>
      </c>
      <c r="R42" s="28">
        <f>P42*Q42</f>
        <v>33.096960000000003</v>
      </c>
    </row>
    <row r="43" spans="1:18">
      <c r="A43" s="2"/>
      <c r="B43" s="728"/>
      <c r="C43" s="6"/>
      <c r="D43" s="4"/>
      <c r="E43" s="6"/>
      <c r="F43" s="29"/>
      <c r="G43" s="26"/>
      <c r="H43" s="26"/>
      <c r="I43" s="7" t="s">
        <v>991</v>
      </c>
      <c r="J43" s="8" t="s">
        <v>989</v>
      </c>
      <c r="K43" s="29">
        <v>0.13200000000000001</v>
      </c>
      <c r="L43" s="28">
        <f>diesel</f>
        <v>177.6</v>
      </c>
      <c r="M43" s="28">
        <f>K43*L43</f>
        <v>23.443200000000001</v>
      </c>
      <c r="N43" s="8" t="s">
        <v>204</v>
      </c>
      <c r="O43" s="6" t="s">
        <v>101</v>
      </c>
      <c r="P43" s="29">
        <v>4.3999999999999997E-2</v>
      </c>
      <c r="Q43" s="28">
        <f>'Basic Rates'!$I$139</f>
        <v>486.72</v>
      </c>
      <c r="R43" s="28">
        <f>P43*Q43</f>
        <v>21.415679999999998</v>
      </c>
    </row>
    <row r="44" spans="1:18">
      <c r="A44" s="2"/>
      <c r="B44" s="728"/>
      <c r="C44" s="6"/>
      <c r="D44" s="4"/>
      <c r="E44" s="6"/>
      <c r="F44" s="29"/>
      <c r="G44" s="26"/>
      <c r="H44" s="26"/>
      <c r="I44" s="7"/>
      <c r="J44" s="8"/>
      <c r="K44" s="29"/>
      <c r="L44" s="28"/>
      <c r="M44" s="28"/>
      <c r="N44" s="8"/>
      <c r="O44" s="6"/>
      <c r="P44" s="29"/>
      <c r="Q44" s="28"/>
      <c r="R44" s="28"/>
    </row>
    <row r="45" spans="1:18" ht="75" customHeight="1">
      <c r="A45" s="2"/>
      <c r="B45" s="728"/>
      <c r="C45" s="6"/>
      <c r="D45" s="4"/>
      <c r="E45" s="6"/>
      <c r="F45" s="29"/>
      <c r="G45" s="26"/>
      <c r="H45" s="26"/>
      <c r="I45" s="7"/>
      <c r="J45" s="8"/>
      <c r="K45" s="29"/>
      <c r="L45" s="28"/>
      <c r="M45" s="28"/>
      <c r="N45" s="8"/>
      <c r="O45" s="6"/>
      <c r="P45" s="29"/>
      <c r="Q45" s="28"/>
      <c r="R45" s="28"/>
    </row>
    <row r="46" spans="1:18">
      <c r="A46" s="2"/>
      <c r="B46" s="84"/>
      <c r="C46" s="6"/>
      <c r="D46" s="4"/>
      <c r="E46" s="9"/>
      <c r="F46" s="30"/>
      <c r="G46" s="27"/>
      <c r="H46" s="27"/>
      <c r="I46" s="9"/>
      <c r="J46" s="10"/>
      <c r="K46" s="30"/>
      <c r="L46" s="28"/>
      <c r="M46" s="28"/>
      <c r="N46" s="8"/>
      <c r="O46" s="6"/>
      <c r="P46" s="30"/>
      <c r="Q46" s="28"/>
      <c r="R46" s="28"/>
    </row>
    <row r="47" spans="1:18">
      <c r="A47" s="2"/>
      <c r="B47" s="11"/>
      <c r="C47" s="6"/>
      <c r="D47" s="12"/>
      <c r="E47" s="578"/>
      <c r="F47" s="13"/>
      <c r="G47" s="13" t="s">
        <v>20</v>
      </c>
      <c r="H47" s="25">
        <f>SUM(H41:H46)</f>
        <v>5.1000000000000005</v>
      </c>
      <c r="I47" s="703"/>
      <c r="J47" s="703"/>
      <c r="K47" s="14"/>
      <c r="L47" s="13" t="s">
        <v>21</v>
      </c>
      <c r="M47" s="25">
        <f>SUM(M41:M46)</f>
        <v>83.827200000000005</v>
      </c>
      <c r="N47" s="3"/>
      <c r="O47" s="14"/>
      <c r="P47" s="14"/>
      <c r="Q47" s="13" t="s">
        <v>22</v>
      </c>
      <c r="R47" s="25">
        <f>SUM(R41:R46)</f>
        <v>54.512640000000005</v>
      </c>
    </row>
    <row r="48" spans="1:18">
      <c r="A48" s="2"/>
      <c r="B48" s="16" t="s">
        <v>13</v>
      </c>
      <c r="C48" s="14"/>
      <c r="D48" s="14"/>
      <c r="E48" s="14"/>
      <c r="F48" s="14"/>
      <c r="G48" s="13"/>
      <c r="H48" s="35">
        <f>M47+R47+H47</f>
        <v>143.43984</v>
      </c>
      <c r="I48" s="17"/>
      <c r="J48" s="14"/>
      <c r="K48" s="14"/>
      <c r="L48" s="13"/>
      <c r="M48" s="15"/>
      <c r="N48" s="14"/>
      <c r="O48" s="14"/>
      <c r="P48" s="14"/>
      <c r="Q48" s="14"/>
      <c r="R48" s="17"/>
    </row>
    <row r="49" spans="1:19">
      <c r="A49" s="2"/>
      <c r="B49" s="11" t="s">
        <v>25</v>
      </c>
      <c r="C49" s="4"/>
      <c r="D49" s="4"/>
      <c r="E49" s="4"/>
      <c r="F49" s="4"/>
      <c r="G49" s="18"/>
      <c r="H49" s="36">
        <v>0</v>
      </c>
      <c r="I49" s="20"/>
      <c r="J49" s="4" t="s">
        <v>26</v>
      </c>
      <c r="K49" s="4"/>
      <c r="L49" s="18"/>
      <c r="M49" s="19"/>
      <c r="N49" s="4"/>
      <c r="O49" s="4"/>
      <c r="P49" s="4"/>
      <c r="Q49" s="4"/>
      <c r="R49" s="20"/>
    </row>
    <row r="50" spans="1:19">
      <c r="A50" s="23"/>
      <c r="B50" s="11" t="s">
        <v>14</v>
      </c>
      <c r="C50" s="4"/>
      <c r="D50" s="4"/>
      <c r="E50" s="4"/>
      <c r="F50" s="4"/>
      <c r="G50" s="18"/>
      <c r="H50" s="36">
        <f>SUM(H48:H49)</f>
        <v>143.43984</v>
      </c>
      <c r="I50" s="20"/>
      <c r="J50" s="704" t="s">
        <v>997</v>
      </c>
      <c r="K50" s="705"/>
      <c r="L50" s="705"/>
      <c r="M50" s="705"/>
      <c r="N50" s="705"/>
      <c r="O50" s="705"/>
      <c r="P50" s="705"/>
      <c r="Q50" s="705"/>
      <c r="R50" s="706"/>
    </row>
    <row r="51" spans="1:19">
      <c r="A51" s="23"/>
      <c r="B51" s="11" t="s">
        <v>24</v>
      </c>
      <c r="C51" s="4"/>
      <c r="D51" s="4"/>
      <c r="E51" s="4"/>
      <c r="F51" s="4"/>
      <c r="G51" s="18"/>
      <c r="H51" s="36">
        <f>H50*15%</f>
        <v>21.515975999999998</v>
      </c>
      <c r="I51" s="20"/>
      <c r="J51" s="707"/>
      <c r="K51" s="708"/>
      <c r="L51" s="708"/>
      <c r="M51" s="708"/>
      <c r="N51" s="708"/>
      <c r="O51" s="708"/>
      <c r="P51" s="708"/>
      <c r="Q51" s="708"/>
      <c r="R51" s="709"/>
    </row>
    <row r="52" spans="1:19">
      <c r="A52" s="23"/>
      <c r="B52" s="11" t="s">
        <v>15</v>
      </c>
      <c r="C52" s="4"/>
      <c r="D52" s="4"/>
      <c r="E52" s="4"/>
      <c r="F52" s="4"/>
      <c r="G52" s="21" t="s">
        <v>16</v>
      </c>
      <c r="H52" s="37">
        <f>H51+H50</f>
        <v>164.955816</v>
      </c>
      <c r="I52" s="38" t="str">
        <f>CONCATENATE("per ",C41)</f>
        <v>per cum</v>
      </c>
      <c r="J52" s="707"/>
      <c r="K52" s="708"/>
      <c r="L52" s="708"/>
      <c r="M52" s="708"/>
      <c r="N52" s="708"/>
      <c r="O52" s="708"/>
      <c r="P52" s="708"/>
      <c r="Q52" s="708"/>
      <c r="R52" s="709"/>
      <c r="S52" s="155"/>
    </row>
    <row r="53" spans="1:19">
      <c r="A53" s="23"/>
      <c r="B53" s="11" t="s">
        <v>18</v>
      </c>
      <c r="C53" s="4" t="s">
        <v>19</v>
      </c>
      <c r="D53" s="4"/>
      <c r="E53" s="4"/>
      <c r="F53" s="4"/>
      <c r="G53" s="21" t="s">
        <v>16</v>
      </c>
      <c r="H53" s="37">
        <f>CEILING(H52,0.5)</f>
        <v>165</v>
      </c>
      <c r="I53" s="38" t="str">
        <f>CONCATENATE("per ",C41)</f>
        <v>per cum</v>
      </c>
      <c r="J53" s="707"/>
      <c r="K53" s="708"/>
      <c r="L53" s="708"/>
      <c r="M53" s="708"/>
      <c r="N53" s="708"/>
      <c r="O53" s="708"/>
      <c r="P53" s="708"/>
      <c r="Q53" s="708"/>
      <c r="R53" s="709"/>
    </row>
    <row r="54" spans="1:19">
      <c r="A54" s="23"/>
      <c r="B54" s="11"/>
      <c r="C54" s="4"/>
      <c r="D54" s="4"/>
      <c r="E54" s="4"/>
      <c r="F54" s="4"/>
      <c r="G54" s="24" t="s">
        <v>17</v>
      </c>
      <c r="H54" s="37">
        <f>H53/exr</f>
        <v>1.2692307692307692</v>
      </c>
      <c r="I54" s="38" t="str">
        <f>CONCATENATE("per ",C41)</f>
        <v>per cum</v>
      </c>
      <c r="J54" s="710"/>
      <c r="K54" s="711"/>
      <c r="L54" s="711"/>
      <c r="M54" s="711"/>
      <c r="N54" s="711"/>
      <c r="O54" s="711"/>
      <c r="P54" s="711"/>
      <c r="Q54" s="711"/>
      <c r="R54" s="712"/>
    </row>
    <row r="55" spans="1:19">
      <c r="A55" s="39"/>
      <c r="B55" s="40"/>
      <c r="C55" s="41"/>
      <c r="D55" s="41"/>
      <c r="E55" s="41"/>
      <c r="F55" s="41"/>
      <c r="G55" s="149" t="s">
        <v>460</v>
      </c>
      <c r="H55" s="150">
        <f>CEILING(0,0.0025)</f>
        <v>0</v>
      </c>
      <c r="I55" s="42"/>
      <c r="J55" s="43"/>
      <c r="K55" s="43"/>
      <c r="L55" s="43"/>
      <c r="M55" s="43"/>
      <c r="N55" s="43"/>
      <c r="O55" s="43"/>
      <c r="P55" s="43"/>
      <c r="Q55" s="43"/>
      <c r="R55" s="44"/>
    </row>
    <row r="57" spans="1:19">
      <c r="A57" s="693" t="s">
        <v>0</v>
      </c>
      <c r="B57" s="695" t="s">
        <v>1</v>
      </c>
      <c r="C57" s="695" t="s">
        <v>2</v>
      </c>
      <c r="D57" s="697" t="s">
        <v>3</v>
      </c>
      <c r="E57" s="698"/>
      <c r="F57" s="698"/>
      <c r="G57" s="698"/>
      <c r="H57" s="698"/>
      <c r="I57" s="699" t="s">
        <v>4</v>
      </c>
      <c r="J57" s="700"/>
      <c r="K57" s="700"/>
      <c r="L57" s="700"/>
      <c r="M57" s="700"/>
      <c r="N57" s="698" t="s">
        <v>5</v>
      </c>
      <c r="O57" s="698"/>
      <c r="P57" s="698"/>
      <c r="Q57" s="698"/>
      <c r="R57" s="698"/>
    </row>
    <row r="58" spans="1:19">
      <c r="A58" s="694"/>
      <c r="B58" s="696"/>
      <c r="C58" s="696"/>
      <c r="D58" s="45" t="s">
        <v>6</v>
      </c>
      <c r="E58" s="46" t="s">
        <v>2</v>
      </c>
      <c r="F58" s="46" t="s">
        <v>7</v>
      </c>
      <c r="G58" s="46" t="s">
        <v>8</v>
      </c>
      <c r="H58" s="46" t="s">
        <v>9</v>
      </c>
      <c r="I58" s="46" t="s">
        <v>10</v>
      </c>
      <c r="J58" s="46" t="s">
        <v>2</v>
      </c>
      <c r="K58" s="46" t="s">
        <v>7</v>
      </c>
      <c r="L58" s="46" t="s">
        <v>8</v>
      </c>
      <c r="M58" s="47" t="s">
        <v>9</v>
      </c>
      <c r="N58" s="46" t="s">
        <v>10</v>
      </c>
      <c r="O58" s="46" t="s">
        <v>2</v>
      </c>
      <c r="P58" s="46" t="s">
        <v>7</v>
      </c>
      <c r="Q58" s="46" t="s">
        <v>8</v>
      </c>
      <c r="R58" s="46" t="s">
        <v>9</v>
      </c>
    </row>
    <row r="59" spans="1:19">
      <c r="A59" s="33" t="s">
        <v>23</v>
      </c>
      <c r="B59" s="73" t="s">
        <v>995</v>
      </c>
      <c r="C59" s="31"/>
      <c r="D59" s="31"/>
      <c r="E59" s="31"/>
      <c r="F59" s="31"/>
      <c r="G59" s="31"/>
      <c r="H59" s="31"/>
      <c r="I59" s="31"/>
      <c r="J59" s="31"/>
      <c r="K59" s="31"/>
      <c r="L59" s="31"/>
      <c r="M59" s="31"/>
      <c r="N59" s="31"/>
      <c r="O59" s="31"/>
      <c r="P59" s="31"/>
      <c r="Q59" s="31"/>
      <c r="R59" s="32"/>
    </row>
    <row r="60" spans="1:19" ht="15.75" customHeight="1">
      <c r="A60" s="34">
        <v>4</v>
      </c>
      <c r="B60" s="727" t="s">
        <v>996</v>
      </c>
      <c r="C60" s="6" t="s">
        <v>11</v>
      </c>
      <c r="D60" s="4"/>
      <c r="E60" s="6"/>
      <c r="F60" s="29"/>
      <c r="G60" s="26"/>
      <c r="H60" s="26"/>
      <c r="I60" s="6"/>
      <c r="J60" s="6"/>
      <c r="K60" s="29"/>
      <c r="L60" s="26"/>
      <c r="M60" s="26"/>
      <c r="N60" s="6"/>
      <c r="O60" s="6"/>
      <c r="P60" s="29"/>
      <c r="Q60" s="26"/>
      <c r="R60" s="26"/>
    </row>
    <row r="61" spans="1:19">
      <c r="A61" s="2"/>
      <c r="B61" s="728"/>
      <c r="C61" s="6"/>
      <c r="D61" s="4" t="s">
        <v>97</v>
      </c>
      <c r="E61" s="6" t="s">
        <v>81</v>
      </c>
      <c r="F61" s="29">
        <v>6.0000000000000001E-3</v>
      </c>
      <c r="G61" s="26">
        <f>ur</f>
        <v>850</v>
      </c>
      <c r="H61" s="26">
        <f>F61*G61</f>
        <v>5.1000000000000005</v>
      </c>
      <c r="I61" s="7" t="s">
        <v>990</v>
      </c>
      <c r="J61" s="8" t="s">
        <v>989</v>
      </c>
      <c r="K61" s="29">
        <v>0.5</v>
      </c>
      <c r="L61" s="28">
        <f>diesel</f>
        <v>177.6</v>
      </c>
      <c r="M61" s="28">
        <f>K61*L61</f>
        <v>88.8</v>
      </c>
      <c r="N61" s="8" t="s">
        <v>992</v>
      </c>
      <c r="O61" s="6" t="s">
        <v>101</v>
      </c>
      <c r="P61" s="29">
        <v>2.5000000000000001E-2</v>
      </c>
      <c r="Q61" s="28">
        <f>excavator</f>
        <v>1946.88</v>
      </c>
      <c r="R61" s="28">
        <f>P61*Q61</f>
        <v>48.672000000000004</v>
      </c>
    </row>
    <row r="62" spans="1:19">
      <c r="A62" s="2"/>
      <c r="B62" s="728"/>
      <c r="C62" s="6"/>
      <c r="D62" s="4"/>
      <c r="E62" s="6"/>
      <c r="F62" s="29"/>
      <c r="G62" s="26"/>
      <c r="H62" s="26"/>
      <c r="I62" s="7" t="s">
        <v>991</v>
      </c>
      <c r="J62" s="8" t="s">
        <v>989</v>
      </c>
      <c r="K62" s="29">
        <v>0.13500000000000001</v>
      </c>
      <c r="L62" s="28">
        <f>diesel</f>
        <v>177.6</v>
      </c>
      <c r="M62" s="28">
        <f>K62*L62</f>
        <v>23.975999999999999</v>
      </c>
      <c r="N62" s="8" t="s">
        <v>204</v>
      </c>
      <c r="O62" s="6" t="s">
        <v>101</v>
      </c>
      <c r="P62" s="29">
        <v>4.4999999999999998E-2</v>
      </c>
      <c r="Q62" s="28">
        <f>'Basic Rates'!$I$139</f>
        <v>486.72</v>
      </c>
      <c r="R62" s="28">
        <f>P62*Q62</f>
        <v>21.9024</v>
      </c>
    </row>
    <row r="63" spans="1:19">
      <c r="A63" s="2"/>
      <c r="B63" s="728"/>
      <c r="C63" s="6"/>
      <c r="D63" s="4"/>
      <c r="E63" s="6"/>
      <c r="F63" s="29"/>
      <c r="G63" s="26"/>
      <c r="H63" s="26"/>
      <c r="I63" s="7"/>
      <c r="J63" s="8"/>
      <c r="K63" s="29"/>
      <c r="L63" s="28"/>
      <c r="M63" s="28"/>
      <c r="N63" s="8"/>
      <c r="O63" s="6"/>
      <c r="P63" s="29"/>
      <c r="Q63" s="28"/>
      <c r="R63" s="28"/>
    </row>
    <row r="64" spans="1:19" ht="75" customHeight="1">
      <c r="A64" s="2"/>
      <c r="B64" s="728"/>
      <c r="C64" s="6"/>
      <c r="D64" s="4"/>
      <c r="E64" s="6"/>
      <c r="F64" s="29"/>
      <c r="G64" s="26"/>
      <c r="H64" s="26"/>
      <c r="I64" s="7"/>
      <c r="J64" s="8"/>
      <c r="K64" s="29"/>
      <c r="L64" s="28"/>
      <c r="M64" s="28"/>
      <c r="N64" s="8"/>
      <c r="O64" s="6"/>
      <c r="P64" s="29"/>
      <c r="Q64" s="28"/>
      <c r="R64" s="28"/>
    </row>
    <row r="65" spans="1:18">
      <c r="A65" s="2"/>
      <c r="B65" s="84"/>
      <c r="C65" s="6"/>
      <c r="D65" s="4"/>
      <c r="E65" s="9"/>
      <c r="F65" s="30"/>
      <c r="G65" s="27"/>
      <c r="H65" s="27"/>
      <c r="I65" s="9"/>
      <c r="J65" s="10"/>
      <c r="K65" s="30"/>
      <c r="L65" s="28"/>
      <c r="M65" s="28"/>
      <c r="N65" s="8"/>
      <c r="O65" s="6"/>
      <c r="P65" s="30"/>
      <c r="Q65" s="28"/>
      <c r="R65" s="28"/>
    </row>
    <row r="66" spans="1:18">
      <c r="A66" s="2"/>
      <c r="B66" s="11"/>
      <c r="C66" s="6"/>
      <c r="D66" s="12"/>
      <c r="E66" s="578"/>
      <c r="F66" s="13"/>
      <c r="G66" s="13" t="s">
        <v>20</v>
      </c>
      <c r="H66" s="25">
        <f>SUM(H60:H65)</f>
        <v>5.1000000000000005</v>
      </c>
      <c r="I66" s="703"/>
      <c r="J66" s="703"/>
      <c r="K66" s="14"/>
      <c r="L66" s="13" t="s">
        <v>21</v>
      </c>
      <c r="M66" s="25">
        <f>SUM(M60:M65)</f>
        <v>112.776</v>
      </c>
      <c r="N66" s="3"/>
      <c r="O66" s="14"/>
      <c r="P66" s="14"/>
      <c r="Q66" s="13" t="s">
        <v>22</v>
      </c>
      <c r="R66" s="25">
        <f>SUM(R60:R65)</f>
        <v>70.574399999999997</v>
      </c>
    </row>
    <row r="67" spans="1:18">
      <c r="A67" s="2"/>
      <c r="B67" s="16" t="s">
        <v>13</v>
      </c>
      <c r="C67" s="14"/>
      <c r="D67" s="14"/>
      <c r="E67" s="14"/>
      <c r="F67" s="14"/>
      <c r="G67" s="13"/>
      <c r="H67" s="35">
        <f>M66+R66+H66</f>
        <v>188.45039999999997</v>
      </c>
      <c r="I67" s="17"/>
      <c r="J67" s="14"/>
      <c r="K67" s="14"/>
      <c r="L67" s="13"/>
      <c r="M67" s="15"/>
      <c r="N67" s="14"/>
      <c r="O67" s="14"/>
      <c r="P67" s="14"/>
      <c r="Q67" s="14"/>
      <c r="R67" s="17"/>
    </row>
    <row r="68" spans="1:18">
      <c r="A68" s="2"/>
      <c r="B68" s="11" t="s">
        <v>25</v>
      </c>
      <c r="C68" s="4"/>
      <c r="D68" s="4"/>
      <c r="E68" s="4"/>
      <c r="F68" s="4"/>
      <c r="G68" s="18"/>
      <c r="H68" s="36">
        <v>0</v>
      </c>
      <c r="I68" s="20"/>
      <c r="J68" s="4" t="s">
        <v>26</v>
      </c>
      <c r="K68" s="4"/>
      <c r="L68" s="18"/>
      <c r="M68" s="19"/>
      <c r="N68" s="4"/>
      <c r="O68" s="4"/>
      <c r="P68" s="4"/>
      <c r="Q68" s="4"/>
      <c r="R68" s="20"/>
    </row>
    <row r="69" spans="1:18">
      <c r="A69" s="23"/>
      <c r="B69" s="11" t="s">
        <v>14</v>
      </c>
      <c r="C69" s="4"/>
      <c r="D69" s="4"/>
      <c r="E69" s="4"/>
      <c r="F69" s="4"/>
      <c r="G69" s="18"/>
      <c r="H69" s="36">
        <f>SUM(H67:H68)</f>
        <v>188.45039999999997</v>
      </c>
      <c r="I69" s="20"/>
      <c r="J69" s="704" t="s">
        <v>997</v>
      </c>
      <c r="K69" s="705"/>
      <c r="L69" s="705"/>
      <c r="M69" s="705"/>
      <c r="N69" s="705"/>
      <c r="O69" s="705"/>
      <c r="P69" s="705"/>
      <c r="Q69" s="705"/>
      <c r="R69" s="706"/>
    </row>
    <row r="70" spans="1:18">
      <c r="A70" s="23"/>
      <c r="B70" s="11" t="s">
        <v>24</v>
      </c>
      <c r="C70" s="4"/>
      <c r="D70" s="4"/>
      <c r="E70" s="4"/>
      <c r="F70" s="4"/>
      <c r="G70" s="18"/>
      <c r="H70" s="36">
        <f>H69*15%</f>
        <v>28.267559999999996</v>
      </c>
      <c r="I70" s="20"/>
      <c r="J70" s="707"/>
      <c r="K70" s="708"/>
      <c r="L70" s="708"/>
      <c r="M70" s="708"/>
      <c r="N70" s="708"/>
      <c r="O70" s="708"/>
      <c r="P70" s="708"/>
      <c r="Q70" s="708"/>
      <c r="R70" s="709"/>
    </row>
    <row r="71" spans="1:18">
      <c r="A71" s="23"/>
      <c r="B71" s="11" t="s">
        <v>15</v>
      </c>
      <c r="C71" s="4"/>
      <c r="D71" s="4"/>
      <c r="E71" s="4"/>
      <c r="F71" s="4"/>
      <c r="G71" s="21" t="s">
        <v>16</v>
      </c>
      <c r="H71" s="37">
        <f>H70+H69</f>
        <v>216.71795999999998</v>
      </c>
      <c r="I71" s="38" t="str">
        <f>CONCATENATE("per ",C60)</f>
        <v>per cum</v>
      </c>
      <c r="J71" s="707"/>
      <c r="K71" s="708"/>
      <c r="L71" s="708"/>
      <c r="M71" s="708"/>
      <c r="N71" s="708"/>
      <c r="O71" s="708"/>
      <c r="P71" s="708"/>
      <c r="Q71" s="708"/>
      <c r="R71" s="709"/>
    </row>
    <row r="72" spans="1:18">
      <c r="A72" s="23"/>
      <c r="B72" s="11" t="s">
        <v>18</v>
      </c>
      <c r="C72" s="4" t="s">
        <v>19</v>
      </c>
      <c r="D72" s="4"/>
      <c r="E72" s="4"/>
      <c r="F72" s="4"/>
      <c r="G72" s="21" t="s">
        <v>16</v>
      </c>
      <c r="H72" s="37">
        <f>CEILING(H71,0.5)</f>
        <v>217</v>
      </c>
      <c r="I72" s="38" t="str">
        <f>CONCATENATE("per ",C60)</f>
        <v>per cum</v>
      </c>
      <c r="J72" s="707"/>
      <c r="K72" s="708"/>
      <c r="L72" s="708"/>
      <c r="M72" s="708"/>
      <c r="N72" s="708"/>
      <c r="O72" s="708"/>
      <c r="P72" s="708"/>
      <c r="Q72" s="708"/>
      <c r="R72" s="709"/>
    </row>
    <row r="73" spans="1:18">
      <c r="A73" s="23"/>
      <c r="B73" s="11"/>
      <c r="C73" s="4"/>
      <c r="D73" s="4"/>
      <c r="E73" s="4"/>
      <c r="F73" s="4"/>
      <c r="G73" s="24" t="s">
        <v>17</v>
      </c>
      <c r="H73" s="37">
        <f>H72/exr</f>
        <v>1.6692307692307693</v>
      </c>
      <c r="I73" s="38" t="str">
        <f>CONCATENATE("per ",C60)</f>
        <v>per cum</v>
      </c>
      <c r="J73" s="710"/>
      <c r="K73" s="711"/>
      <c r="L73" s="711"/>
      <c r="M73" s="711"/>
      <c r="N73" s="711"/>
      <c r="O73" s="711"/>
      <c r="P73" s="711"/>
      <c r="Q73" s="711"/>
      <c r="R73" s="712"/>
    </row>
    <row r="74" spans="1:18">
      <c r="A74" s="39"/>
      <c r="B74" s="40"/>
      <c r="C74" s="41"/>
      <c r="D74" s="41"/>
      <c r="E74" s="41"/>
      <c r="F74" s="41"/>
      <c r="G74" s="149" t="s">
        <v>460</v>
      </c>
      <c r="H74" s="150">
        <f>CEILING(0,0.0025)</f>
        <v>0</v>
      </c>
      <c r="I74" s="42"/>
      <c r="J74" s="43"/>
      <c r="K74" s="43"/>
      <c r="L74" s="43"/>
      <c r="M74" s="43"/>
      <c r="N74" s="43"/>
      <c r="O74" s="43"/>
      <c r="P74" s="43"/>
      <c r="Q74" s="43"/>
      <c r="R74" s="44"/>
    </row>
    <row r="76" spans="1:18">
      <c r="A76" s="693" t="s">
        <v>0</v>
      </c>
      <c r="B76" s="695" t="s">
        <v>1</v>
      </c>
      <c r="C76" s="695" t="s">
        <v>2</v>
      </c>
      <c r="D76" s="697" t="s">
        <v>3</v>
      </c>
      <c r="E76" s="698"/>
      <c r="F76" s="698"/>
      <c r="G76" s="698"/>
      <c r="H76" s="698"/>
      <c r="I76" s="699" t="s">
        <v>4</v>
      </c>
      <c r="J76" s="700"/>
      <c r="K76" s="700"/>
      <c r="L76" s="700"/>
      <c r="M76" s="700"/>
      <c r="N76" s="698" t="s">
        <v>5</v>
      </c>
      <c r="O76" s="698"/>
      <c r="P76" s="698"/>
      <c r="Q76" s="698"/>
      <c r="R76" s="698"/>
    </row>
    <row r="77" spans="1:18">
      <c r="A77" s="694"/>
      <c r="B77" s="696"/>
      <c r="C77" s="696"/>
      <c r="D77" s="45" t="s">
        <v>6</v>
      </c>
      <c r="E77" s="46" t="s">
        <v>2</v>
      </c>
      <c r="F77" s="46" t="s">
        <v>7</v>
      </c>
      <c r="G77" s="46" t="s">
        <v>8</v>
      </c>
      <c r="H77" s="46" t="s">
        <v>9</v>
      </c>
      <c r="I77" s="46" t="s">
        <v>10</v>
      </c>
      <c r="J77" s="46" t="s">
        <v>2</v>
      </c>
      <c r="K77" s="46" t="s">
        <v>7</v>
      </c>
      <c r="L77" s="46" t="s">
        <v>8</v>
      </c>
      <c r="M77" s="47" t="s">
        <v>9</v>
      </c>
      <c r="N77" s="46" t="s">
        <v>10</v>
      </c>
      <c r="O77" s="46" t="s">
        <v>2</v>
      </c>
      <c r="P77" s="46" t="s">
        <v>7</v>
      </c>
      <c r="Q77" s="46" t="s">
        <v>8</v>
      </c>
      <c r="R77" s="46" t="s">
        <v>9</v>
      </c>
    </row>
    <row r="78" spans="1:18">
      <c r="A78" s="33" t="s">
        <v>23</v>
      </c>
      <c r="B78" s="73" t="s">
        <v>998</v>
      </c>
      <c r="C78" s="31"/>
      <c r="D78" s="31"/>
      <c r="E78" s="31"/>
      <c r="F78" s="31"/>
      <c r="G78" s="31"/>
      <c r="H78" s="31"/>
      <c r="I78" s="31"/>
      <c r="J78" s="31"/>
      <c r="K78" s="31"/>
      <c r="L78" s="31"/>
      <c r="M78" s="31"/>
      <c r="N78" s="31"/>
      <c r="O78" s="31"/>
      <c r="P78" s="31"/>
      <c r="Q78" s="31"/>
      <c r="R78" s="32"/>
    </row>
    <row r="79" spans="1:18" ht="15.75" customHeight="1">
      <c r="A79" s="34">
        <v>5</v>
      </c>
      <c r="B79" s="727" t="s">
        <v>999</v>
      </c>
      <c r="C79" s="6" t="s">
        <v>11</v>
      </c>
      <c r="D79" s="4"/>
      <c r="E79" s="6"/>
      <c r="F79" s="29"/>
      <c r="G79" s="26"/>
      <c r="H79" s="26"/>
      <c r="I79" s="6"/>
      <c r="J79" s="6"/>
      <c r="K79" s="29"/>
      <c r="L79" s="26"/>
      <c r="M79" s="26"/>
      <c r="N79" s="6"/>
      <c r="O79" s="6"/>
      <c r="P79" s="29"/>
      <c r="Q79" s="26"/>
      <c r="R79" s="26"/>
    </row>
    <row r="80" spans="1:18">
      <c r="A80" s="2"/>
      <c r="B80" s="728"/>
      <c r="C80" s="6"/>
      <c r="D80" s="4" t="s">
        <v>97</v>
      </c>
      <c r="E80" s="6" t="s">
        <v>81</v>
      </c>
      <c r="F80" s="29">
        <v>0.3</v>
      </c>
      <c r="G80" s="26">
        <f>ur</f>
        <v>850</v>
      </c>
      <c r="H80" s="26">
        <f>F80*G80</f>
        <v>255</v>
      </c>
      <c r="I80" s="7" t="s">
        <v>990</v>
      </c>
      <c r="J80" s="8" t="s">
        <v>989</v>
      </c>
      <c r="K80" s="29">
        <v>0.5</v>
      </c>
      <c r="L80" s="28">
        <f>diesel</f>
        <v>177.6</v>
      </c>
      <c r="M80" s="28">
        <f>K80*L80</f>
        <v>88.8</v>
      </c>
      <c r="N80" s="8" t="s">
        <v>992</v>
      </c>
      <c r="O80" s="6" t="s">
        <v>101</v>
      </c>
      <c r="P80" s="29">
        <v>0.17</v>
      </c>
      <c r="Q80" s="28">
        <f>excavator</f>
        <v>1946.88</v>
      </c>
      <c r="R80" s="28">
        <f>P80*Q80</f>
        <v>330.96960000000001</v>
      </c>
    </row>
    <row r="81" spans="1:18">
      <c r="A81" s="2"/>
      <c r="B81" s="728"/>
      <c r="C81" s="6"/>
      <c r="D81" s="4" t="s">
        <v>96</v>
      </c>
      <c r="E81" s="6" t="s">
        <v>81</v>
      </c>
      <c r="F81" s="29">
        <v>0.01</v>
      </c>
      <c r="G81" s="26">
        <f>sr</f>
        <v>1100</v>
      </c>
      <c r="H81" s="26">
        <f>F81*G81</f>
        <v>11</v>
      </c>
      <c r="I81" s="7" t="s">
        <v>991</v>
      </c>
      <c r="J81" s="8" t="s">
        <v>989</v>
      </c>
      <c r="K81" s="29">
        <v>0.13</v>
      </c>
      <c r="L81" s="28">
        <f>diesel</f>
        <v>177.6</v>
      </c>
      <c r="M81" s="28">
        <f>K81*L81</f>
        <v>23.088000000000001</v>
      </c>
      <c r="N81" s="8" t="s">
        <v>204</v>
      </c>
      <c r="O81" s="6" t="s">
        <v>101</v>
      </c>
      <c r="P81" s="29">
        <v>0.18</v>
      </c>
      <c r="Q81" s="28">
        <f>'Basic Rates'!$I$139</f>
        <v>486.72</v>
      </c>
      <c r="R81" s="28">
        <f>P81*Q81</f>
        <v>87.6096</v>
      </c>
    </row>
    <row r="82" spans="1:18">
      <c r="A82" s="2"/>
      <c r="B82" s="728"/>
      <c r="C82" s="6"/>
      <c r="D82" s="4"/>
      <c r="E82" s="6"/>
      <c r="F82" s="29"/>
      <c r="G82" s="26"/>
      <c r="H82" s="26"/>
      <c r="I82" s="7"/>
      <c r="J82" s="8"/>
      <c r="K82" s="29"/>
      <c r="L82" s="28"/>
      <c r="M82" s="28"/>
      <c r="N82" s="8"/>
      <c r="O82" s="6"/>
      <c r="P82" s="29"/>
      <c r="Q82" s="28"/>
      <c r="R82" s="28"/>
    </row>
    <row r="83" spans="1:18" ht="75" customHeight="1">
      <c r="A83" s="2"/>
      <c r="B83" s="728"/>
      <c r="C83" s="6"/>
      <c r="D83" s="4"/>
      <c r="E83" s="6"/>
      <c r="F83" s="29"/>
      <c r="G83" s="26"/>
      <c r="H83" s="26"/>
      <c r="I83" s="7"/>
      <c r="J83" s="8"/>
      <c r="K83" s="29"/>
      <c r="L83" s="28"/>
      <c r="M83" s="28"/>
      <c r="N83" s="8"/>
      <c r="O83" s="6"/>
      <c r="P83" s="29"/>
      <c r="Q83" s="28"/>
      <c r="R83" s="28"/>
    </row>
    <row r="84" spans="1:18">
      <c r="A84" s="2"/>
      <c r="B84" s="84"/>
      <c r="C84" s="6"/>
      <c r="D84" s="4"/>
      <c r="E84" s="9"/>
      <c r="F84" s="30"/>
      <c r="G84" s="27"/>
      <c r="H84" s="27"/>
      <c r="I84" s="9"/>
      <c r="J84" s="10"/>
      <c r="K84" s="30"/>
      <c r="L84" s="28"/>
      <c r="M84" s="28"/>
      <c r="N84" s="8"/>
      <c r="O84" s="6"/>
      <c r="P84" s="30"/>
      <c r="Q84" s="28"/>
      <c r="R84" s="28"/>
    </row>
    <row r="85" spans="1:18">
      <c r="A85" s="2"/>
      <c r="B85" s="11"/>
      <c r="C85" s="6"/>
      <c r="D85" s="12"/>
      <c r="E85" s="578"/>
      <c r="F85" s="13"/>
      <c r="G85" s="13" t="s">
        <v>20</v>
      </c>
      <c r="H85" s="25">
        <f>SUM(H79:H84)</f>
        <v>266</v>
      </c>
      <c r="I85" s="703"/>
      <c r="J85" s="703"/>
      <c r="K85" s="14"/>
      <c r="L85" s="13" t="s">
        <v>21</v>
      </c>
      <c r="M85" s="25">
        <f>SUM(M79:M84)</f>
        <v>111.88800000000001</v>
      </c>
      <c r="N85" s="3"/>
      <c r="O85" s="14"/>
      <c r="P85" s="14"/>
      <c r="Q85" s="13" t="s">
        <v>22</v>
      </c>
      <c r="R85" s="25">
        <f>SUM(R79:R84)</f>
        <v>418.57920000000001</v>
      </c>
    </row>
    <row r="86" spans="1:18">
      <c r="A86" s="2"/>
      <c r="B86" s="16" t="s">
        <v>13</v>
      </c>
      <c r="C86" s="14"/>
      <c r="D86" s="14"/>
      <c r="E86" s="14"/>
      <c r="F86" s="14"/>
      <c r="G86" s="13"/>
      <c r="H86" s="35">
        <f>M85+R85+H85</f>
        <v>796.46720000000005</v>
      </c>
      <c r="I86" s="17"/>
      <c r="J86" s="14"/>
      <c r="K86" s="14"/>
      <c r="L86" s="13"/>
      <c r="M86" s="15"/>
      <c r="N86" s="14"/>
      <c r="O86" s="14"/>
      <c r="P86" s="14"/>
      <c r="Q86" s="14"/>
      <c r="R86" s="17"/>
    </row>
    <row r="87" spans="1:18">
      <c r="A87" s="2"/>
      <c r="B87" s="11" t="s">
        <v>25</v>
      </c>
      <c r="C87" s="4"/>
      <c r="D87" s="4"/>
      <c r="E87" s="4"/>
      <c r="F87" s="4"/>
      <c r="G87" s="18"/>
      <c r="H87" s="36">
        <v>0</v>
      </c>
      <c r="I87" s="20"/>
      <c r="J87" s="4" t="s">
        <v>26</v>
      </c>
      <c r="K87" s="4"/>
      <c r="L87" s="18"/>
      <c r="M87" s="19"/>
      <c r="N87" s="4"/>
      <c r="O87" s="4"/>
      <c r="P87" s="4"/>
      <c r="Q87" s="4"/>
      <c r="R87" s="20"/>
    </row>
    <row r="88" spans="1:18">
      <c r="A88" s="23"/>
      <c r="B88" s="11" t="s">
        <v>14</v>
      </c>
      <c r="C88" s="4"/>
      <c r="D88" s="4"/>
      <c r="E88" s="4"/>
      <c r="F88" s="4"/>
      <c r="G88" s="18"/>
      <c r="H88" s="36">
        <f>SUM(H86:H87)</f>
        <v>796.46720000000005</v>
      </c>
      <c r="I88" s="20"/>
      <c r="J88" s="704" t="s">
        <v>997</v>
      </c>
      <c r="K88" s="705"/>
      <c r="L88" s="705"/>
      <c r="M88" s="705"/>
      <c r="N88" s="705"/>
      <c r="O88" s="705"/>
      <c r="P88" s="705"/>
      <c r="Q88" s="705"/>
      <c r="R88" s="706"/>
    </row>
    <row r="89" spans="1:18">
      <c r="A89" s="23"/>
      <c r="B89" s="11" t="s">
        <v>24</v>
      </c>
      <c r="C89" s="4"/>
      <c r="D89" s="4"/>
      <c r="E89" s="4"/>
      <c r="F89" s="4"/>
      <c r="G89" s="18"/>
      <c r="H89" s="36">
        <f>H88*15%</f>
        <v>119.47008</v>
      </c>
      <c r="I89" s="20"/>
      <c r="J89" s="707"/>
      <c r="K89" s="708"/>
      <c r="L89" s="708"/>
      <c r="M89" s="708"/>
      <c r="N89" s="708"/>
      <c r="O89" s="708"/>
      <c r="P89" s="708"/>
      <c r="Q89" s="708"/>
      <c r="R89" s="709"/>
    </row>
    <row r="90" spans="1:18">
      <c r="A90" s="23"/>
      <c r="B90" s="11" t="s">
        <v>15</v>
      </c>
      <c r="C90" s="4"/>
      <c r="D90" s="4"/>
      <c r="E90" s="4"/>
      <c r="F90" s="4"/>
      <c r="G90" s="21" t="s">
        <v>16</v>
      </c>
      <c r="H90" s="37">
        <f>H89+H88</f>
        <v>915.9372800000001</v>
      </c>
      <c r="I90" s="38" t="str">
        <f>CONCATENATE("per ",C79)</f>
        <v>per cum</v>
      </c>
      <c r="J90" s="707"/>
      <c r="K90" s="708"/>
      <c r="L90" s="708"/>
      <c r="M90" s="708"/>
      <c r="N90" s="708"/>
      <c r="O90" s="708"/>
      <c r="P90" s="708"/>
      <c r="Q90" s="708"/>
      <c r="R90" s="709"/>
    </row>
    <row r="91" spans="1:18">
      <c r="A91" s="23"/>
      <c r="B91" s="11" t="s">
        <v>18</v>
      </c>
      <c r="C91" s="4" t="s">
        <v>19</v>
      </c>
      <c r="D91" s="4"/>
      <c r="E91" s="4"/>
      <c r="F91" s="4"/>
      <c r="G91" s="21" t="s">
        <v>16</v>
      </c>
      <c r="H91" s="37">
        <f>CEILING(H90,0.5)</f>
        <v>916</v>
      </c>
      <c r="I91" s="38" t="str">
        <f>CONCATENATE("per ",C79)</f>
        <v>per cum</v>
      </c>
      <c r="J91" s="707"/>
      <c r="K91" s="708"/>
      <c r="L91" s="708"/>
      <c r="M91" s="708"/>
      <c r="N91" s="708"/>
      <c r="O91" s="708"/>
      <c r="P91" s="708"/>
      <c r="Q91" s="708"/>
      <c r="R91" s="709"/>
    </row>
    <row r="92" spans="1:18">
      <c r="A92" s="23"/>
      <c r="B92" s="11"/>
      <c r="C92" s="4"/>
      <c r="D92" s="4"/>
      <c r="E92" s="4"/>
      <c r="F92" s="4"/>
      <c r="G92" s="24" t="s">
        <v>17</v>
      </c>
      <c r="H92" s="37">
        <f>H91/exr</f>
        <v>7.046153846153846</v>
      </c>
      <c r="I92" s="38" t="str">
        <f>CONCATENATE("per ",C79)</f>
        <v>per cum</v>
      </c>
      <c r="J92" s="710"/>
      <c r="K92" s="711"/>
      <c r="L92" s="711"/>
      <c r="M92" s="711"/>
      <c r="N92" s="711"/>
      <c r="O92" s="711"/>
      <c r="P92" s="711"/>
      <c r="Q92" s="711"/>
      <c r="R92" s="712"/>
    </row>
    <row r="93" spans="1:18">
      <c r="A93" s="39"/>
      <c r="B93" s="40"/>
      <c r="C93" s="41"/>
      <c r="D93" s="41"/>
      <c r="E93" s="41"/>
      <c r="F93" s="41"/>
      <c r="G93" s="149" t="s">
        <v>460</v>
      </c>
      <c r="H93" s="150">
        <f>CEILING(0,0.0025)</f>
        <v>0</v>
      </c>
      <c r="I93" s="42"/>
      <c r="J93" s="43"/>
      <c r="K93" s="43"/>
      <c r="L93" s="43"/>
      <c r="M93" s="43"/>
      <c r="N93" s="43"/>
      <c r="O93" s="43"/>
      <c r="P93" s="43"/>
      <c r="Q93" s="43"/>
      <c r="R93" s="44"/>
    </row>
    <row r="95" spans="1:18">
      <c r="A95" s="693" t="s">
        <v>0</v>
      </c>
      <c r="B95" s="695" t="s">
        <v>1</v>
      </c>
      <c r="C95" s="695" t="s">
        <v>2</v>
      </c>
      <c r="D95" s="697" t="s">
        <v>3</v>
      </c>
      <c r="E95" s="698"/>
      <c r="F95" s="698"/>
      <c r="G95" s="698"/>
      <c r="H95" s="698"/>
      <c r="I95" s="699" t="s">
        <v>4</v>
      </c>
      <c r="J95" s="700"/>
      <c r="K95" s="700"/>
      <c r="L95" s="700"/>
      <c r="M95" s="700"/>
      <c r="N95" s="698" t="s">
        <v>5</v>
      </c>
      <c r="O95" s="698"/>
      <c r="P95" s="698"/>
      <c r="Q95" s="698"/>
      <c r="R95" s="698"/>
    </row>
    <row r="96" spans="1:18">
      <c r="A96" s="694"/>
      <c r="B96" s="696"/>
      <c r="C96" s="696"/>
      <c r="D96" s="45" t="s">
        <v>6</v>
      </c>
      <c r="E96" s="46" t="s">
        <v>2</v>
      </c>
      <c r="F96" s="46" t="s">
        <v>7</v>
      </c>
      <c r="G96" s="46" t="s">
        <v>8</v>
      </c>
      <c r="H96" s="46" t="s">
        <v>9</v>
      </c>
      <c r="I96" s="46" t="s">
        <v>10</v>
      </c>
      <c r="J96" s="46" t="s">
        <v>2</v>
      </c>
      <c r="K96" s="46" t="s">
        <v>7</v>
      </c>
      <c r="L96" s="46" t="s">
        <v>8</v>
      </c>
      <c r="M96" s="47" t="s">
        <v>9</v>
      </c>
      <c r="N96" s="46" t="s">
        <v>10</v>
      </c>
      <c r="O96" s="46" t="s">
        <v>2</v>
      </c>
      <c r="P96" s="46" t="s">
        <v>7</v>
      </c>
      <c r="Q96" s="46" t="s">
        <v>8</v>
      </c>
      <c r="R96" s="46" t="s">
        <v>9</v>
      </c>
    </row>
    <row r="97" spans="1:18">
      <c r="A97" s="33" t="s">
        <v>23</v>
      </c>
      <c r="B97" s="73" t="s">
        <v>157</v>
      </c>
      <c r="C97" s="31"/>
      <c r="D97" s="31"/>
      <c r="E97" s="31"/>
      <c r="F97" s="31"/>
      <c r="G97" s="31"/>
      <c r="H97" s="31"/>
      <c r="I97" s="31"/>
      <c r="J97" s="31"/>
      <c r="K97" s="31"/>
      <c r="L97" s="31"/>
      <c r="M97" s="31"/>
      <c r="N97" s="31"/>
      <c r="O97" s="31"/>
      <c r="P97" s="31"/>
      <c r="Q97" s="31"/>
      <c r="R97" s="32"/>
    </row>
    <row r="98" spans="1:18">
      <c r="A98" s="34">
        <v>6</v>
      </c>
      <c r="B98" s="727" t="s">
        <v>156</v>
      </c>
      <c r="C98" s="6" t="s">
        <v>11</v>
      </c>
      <c r="D98" s="4"/>
      <c r="E98" s="6"/>
      <c r="F98" s="29"/>
      <c r="G98" s="26"/>
      <c r="H98" s="26"/>
      <c r="I98" s="6"/>
      <c r="J98" s="6"/>
      <c r="K98" s="29"/>
      <c r="L98" s="26"/>
      <c r="M98" s="26"/>
      <c r="N98" s="6"/>
      <c r="O98" s="6"/>
      <c r="P98" s="29"/>
      <c r="Q98" s="26"/>
      <c r="R98" s="26"/>
    </row>
    <row r="99" spans="1:18">
      <c r="A99" s="2"/>
      <c r="B99" s="728"/>
      <c r="C99" s="6"/>
      <c r="D99" s="4" t="s">
        <v>97</v>
      </c>
      <c r="E99" s="6" t="s">
        <v>81</v>
      </c>
      <c r="F99" s="29">
        <v>2.75</v>
      </c>
      <c r="G99" s="26">
        <f>ur</f>
        <v>850</v>
      </c>
      <c r="H99" s="26">
        <f>F99*G99</f>
        <v>2337.5</v>
      </c>
      <c r="I99" s="7"/>
      <c r="J99" s="8"/>
      <c r="K99" s="29"/>
      <c r="L99" s="28"/>
      <c r="M99" s="28"/>
      <c r="N99" s="8" t="s">
        <v>128</v>
      </c>
      <c r="O99" s="6"/>
      <c r="P99" s="29"/>
      <c r="Q99" s="28"/>
      <c r="R99" s="28">
        <f>3%*H104</f>
        <v>70.125</v>
      </c>
    </row>
    <row r="100" spans="1:18">
      <c r="A100" s="2"/>
      <c r="B100" s="728"/>
      <c r="C100" s="6"/>
      <c r="D100" s="4"/>
      <c r="E100" s="6"/>
      <c r="F100" s="29"/>
      <c r="G100" s="26"/>
      <c r="H100" s="26"/>
      <c r="I100" s="7"/>
      <c r="J100" s="8"/>
      <c r="K100" s="29"/>
      <c r="L100" s="28"/>
      <c r="M100" s="28"/>
      <c r="N100" s="8"/>
      <c r="O100" s="6"/>
      <c r="P100" s="29"/>
      <c r="Q100" s="28"/>
      <c r="R100" s="28"/>
    </row>
    <row r="101" spans="1:18">
      <c r="A101" s="2"/>
      <c r="B101" s="728"/>
      <c r="C101" s="6"/>
      <c r="D101" s="4"/>
      <c r="E101" s="6"/>
      <c r="F101" s="29"/>
      <c r="G101" s="26"/>
      <c r="H101" s="26"/>
      <c r="I101" s="7"/>
      <c r="J101" s="8"/>
      <c r="K101" s="29"/>
      <c r="L101" s="28"/>
      <c r="M101" s="28"/>
      <c r="N101" s="8"/>
      <c r="O101" s="6"/>
      <c r="P101" s="29"/>
      <c r="Q101" s="28"/>
      <c r="R101" s="28"/>
    </row>
    <row r="102" spans="1:18">
      <c r="A102" s="2"/>
      <c r="B102" s="728"/>
      <c r="C102" s="6"/>
      <c r="D102" s="4"/>
      <c r="E102" s="6"/>
      <c r="F102" s="29"/>
      <c r="G102" s="26"/>
      <c r="H102" s="26"/>
      <c r="I102" s="7"/>
      <c r="J102" s="8"/>
      <c r="K102" s="29"/>
      <c r="L102" s="28"/>
      <c r="M102" s="28"/>
      <c r="N102" s="8"/>
      <c r="O102" s="6"/>
      <c r="P102" s="29"/>
      <c r="Q102" s="28"/>
      <c r="R102" s="28"/>
    </row>
    <row r="103" spans="1:18">
      <c r="A103" s="2"/>
      <c r="B103" s="84"/>
      <c r="C103" s="6"/>
      <c r="D103" s="4"/>
      <c r="E103" s="9"/>
      <c r="F103" s="30"/>
      <c r="G103" s="27"/>
      <c r="H103" s="27"/>
      <c r="I103" s="9"/>
      <c r="J103" s="10"/>
      <c r="K103" s="30"/>
      <c r="L103" s="28"/>
      <c r="M103" s="28"/>
      <c r="N103" s="8"/>
      <c r="O103" s="6"/>
      <c r="P103" s="30"/>
      <c r="Q103" s="28"/>
      <c r="R103" s="28"/>
    </row>
    <row r="104" spans="1:18">
      <c r="A104" s="2"/>
      <c r="B104" s="11"/>
      <c r="C104" s="6"/>
      <c r="D104" s="12"/>
      <c r="E104" s="59"/>
      <c r="F104" s="13"/>
      <c r="G104" s="13" t="s">
        <v>20</v>
      </c>
      <c r="H104" s="25">
        <f>SUM(H98:H103)</f>
        <v>2337.5</v>
      </c>
      <c r="I104" s="703"/>
      <c r="J104" s="703"/>
      <c r="K104" s="14"/>
      <c r="L104" s="13" t="s">
        <v>21</v>
      </c>
      <c r="M104" s="25">
        <f>SUM(M98:M103)</f>
        <v>0</v>
      </c>
      <c r="N104" s="3"/>
      <c r="O104" s="14"/>
      <c r="P104" s="14"/>
      <c r="Q104" s="13" t="s">
        <v>22</v>
      </c>
      <c r="R104" s="25">
        <f>SUM(R98:R103)</f>
        <v>70.125</v>
      </c>
    </row>
    <row r="105" spans="1:18">
      <c r="A105" s="2"/>
      <c r="B105" s="16" t="s">
        <v>13</v>
      </c>
      <c r="C105" s="14"/>
      <c r="D105" s="14"/>
      <c r="E105" s="14"/>
      <c r="F105" s="14"/>
      <c r="G105" s="13"/>
      <c r="H105" s="35">
        <f>M104+R104+H104</f>
        <v>2407.625</v>
      </c>
      <c r="I105" s="17"/>
      <c r="J105" s="14"/>
      <c r="K105" s="14"/>
      <c r="L105" s="13"/>
      <c r="M105" s="15"/>
      <c r="N105" s="14"/>
      <c r="O105" s="14"/>
      <c r="P105" s="14"/>
      <c r="Q105" s="14"/>
      <c r="R105" s="17"/>
    </row>
    <row r="106" spans="1:18">
      <c r="A106" s="2"/>
      <c r="B106" s="11" t="s">
        <v>25</v>
      </c>
      <c r="C106" s="4"/>
      <c r="D106" s="4"/>
      <c r="E106" s="4"/>
      <c r="F106" s="4"/>
      <c r="G106" s="18"/>
      <c r="H106" s="36">
        <v>0</v>
      </c>
      <c r="I106" s="20"/>
      <c r="J106" s="4" t="s">
        <v>26</v>
      </c>
      <c r="K106" s="4"/>
      <c r="L106" s="18"/>
      <c r="M106" s="19"/>
      <c r="N106" s="4"/>
      <c r="O106" s="4"/>
      <c r="P106" s="4"/>
      <c r="Q106" s="4"/>
      <c r="R106" s="20"/>
    </row>
    <row r="107" spans="1:18">
      <c r="A107" s="23"/>
      <c r="B107" s="11" t="s">
        <v>14</v>
      </c>
      <c r="C107" s="4"/>
      <c r="D107" s="4"/>
      <c r="E107" s="4"/>
      <c r="F107" s="4"/>
      <c r="G107" s="18"/>
      <c r="H107" s="36">
        <f>SUM(H105:H106)</f>
        <v>2407.625</v>
      </c>
      <c r="I107" s="20"/>
      <c r="J107" s="704"/>
      <c r="K107" s="705"/>
      <c r="L107" s="705"/>
      <c r="M107" s="705"/>
      <c r="N107" s="705"/>
      <c r="O107" s="705"/>
      <c r="P107" s="705"/>
      <c r="Q107" s="705"/>
      <c r="R107" s="706"/>
    </row>
    <row r="108" spans="1:18">
      <c r="A108" s="23"/>
      <c r="B108" s="11" t="s">
        <v>24</v>
      </c>
      <c r="C108" s="4"/>
      <c r="D108" s="4"/>
      <c r="E108" s="4"/>
      <c r="F108" s="4"/>
      <c r="G108" s="18"/>
      <c r="H108" s="36">
        <f>H107*15%</f>
        <v>361.14375000000001</v>
      </c>
      <c r="I108" s="20"/>
      <c r="J108" s="707"/>
      <c r="K108" s="708"/>
      <c r="L108" s="708"/>
      <c r="M108" s="708"/>
      <c r="N108" s="708"/>
      <c r="O108" s="708"/>
      <c r="P108" s="708"/>
      <c r="Q108" s="708"/>
      <c r="R108" s="709"/>
    </row>
    <row r="109" spans="1:18">
      <c r="A109" s="23"/>
      <c r="B109" s="11" t="s">
        <v>15</v>
      </c>
      <c r="C109" s="4"/>
      <c r="D109" s="4"/>
      <c r="E109" s="4"/>
      <c r="F109" s="4"/>
      <c r="G109" s="21" t="s">
        <v>16</v>
      </c>
      <c r="H109" s="37">
        <f>H108+H107</f>
        <v>2768.7687500000002</v>
      </c>
      <c r="I109" s="38" t="str">
        <f>CONCATENATE("per ",C98)</f>
        <v>per cum</v>
      </c>
      <c r="J109" s="707"/>
      <c r="K109" s="708"/>
      <c r="L109" s="708"/>
      <c r="M109" s="708"/>
      <c r="N109" s="708"/>
      <c r="O109" s="708"/>
      <c r="P109" s="708"/>
      <c r="Q109" s="708"/>
      <c r="R109" s="709"/>
    </row>
    <row r="110" spans="1:18">
      <c r="A110" s="23"/>
      <c r="B110" s="11" t="s">
        <v>18</v>
      </c>
      <c r="C110" s="4" t="s">
        <v>19</v>
      </c>
      <c r="D110" s="4"/>
      <c r="E110" s="4"/>
      <c r="F110" s="4"/>
      <c r="G110" s="21" t="s">
        <v>16</v>
      </c>
      <c r="H110" s="37">
        <f>CEILING(H109,0.5)</f>
        <v>2769</v>
      </c>
      <c r="I110" s="38" t="str">
        <f>CONCATENATE("per ",C98)</f>
        <v>per cum</v>
      </c>
      <c r="J110" s="707"/>
      <c r="K110" s="708"/>
      <c r="L110" s="708"/>
      <c r="M110" s="708"/>
      <c r="N110" s="708"/>
      <c r="O110" s="708"/>
      <c r="P110" s="708"/>
      <c r="Q110" s="708"/>
      <c r="R110" s="709"/>
    </row>
    <row r="111" spans="1:18">
      <c r="A111" s="23"/>
      <c r="B111" s="11"/>
      <c r="C111" s="4"/>
      <c r="D111" s="4"/>
      <c r="E111" s="4"/>
      <c r="F111" s="4"/>
      <c r="G111" s="24" t="s">
        <v>17</v>
      </c>
      <c r="H111" s="37">
        <f>H110/exr</f>
        <v>21.3</v>
      </c>
      <c r="I111" s="38" t="str">
        <f>CONCATENATE("per ",C98)</f>
        <v>per cum</v>
      </c>
      <c r="J111" s="710"/>
      <c r="K111" s="711"/>
      <c r="L111" s="711"/>
      <c r="M111" s="711"/>
      <c r="N111" s="711"/>
      <c r="O111" s="711"/>
      <c r="P111" s="711"/>
      <c r="Q111" s="711"/>
      <c r="R111" s="712"/>
    </row>
    <row r="112" spans="1:18">
      <c r="A112" s="39"/>
      <c r="B112" s="40"/>
      <c r="C112" s="41"/>
      <c r="D112" s="41"/>
      <c r="E112" s="41"/>
      <c r="F112" s="41"/>
      <c r="G112" s="149" t="s">
        <v>460</v>
      </c>
      <c r="H112" s="150">
        <f>CEILING(0,0.0025)</f>
        <v>0</v>
      </c>
      <c r="I112" s="42"/>
      <c r="J112" s="43"/>
      <c r="K112" s="43"/>
      <c r="L112" s="43"/>
      <c r="M112" s="43"/>
      <c r="N112" s="43"/>
      <c r="O112" s="43"/>
      <c r="P112" s="43"/>
      <c r="Q112" s="43"/>
      <c r="R112" s="44"/>
    </row>
    <row r="114" spans="1:18">
      <c r="A114" s="693" t="s">
        <v>0</v>
      </c>
      <c r="B114" s="695" t="s">
        <v>1</v>
      </c>
      <c r="C114" s="695" t="s">
        <v>2</v>
      </c>
      <c r="D114" s="697" t="s">
        <v>3</v>
      </c>
      <c r="E114" s="698"/>
      <c r="F114" s="698"/>
      <c r="G114" s="698"/>
      <c r="H114" s="698"/>
      <c r="I114" s="699" t="s">
        <v>4</v>
      </c>
      <c r="J114" s="700"/>
      <c r="K114" s="700"/>
      <c r="L114" s="700"/>
      <c r="M114" s="700"/>
      <c r="N114" s="698" t="s">
        <v>5</v>
      </c>
      <c r="O114" s="698"/>
      <c r="P114" s="698"/>
      <c r="Q114" s="698"/>
      <c r="R114" s="698"/>
    </row>
    <row r="115" spans="1:18">
      <c r="A115" s="694"/>
      <c r="B115" s="696"/>
      <c r="C115" s="696"/>
      <c r="D115" s="45" t="s">
        <v>6</v>
      </c>
      <c r="E115" s="46" t="s">
        <v>2</v>
      </c>
      <c r="F115" s="46" t="s">
        <v>7</v>
      </c>
      <c r="G115" s="46" t="s">
        <v>8</v>
      </c>
      <c r="H115" s="46"/>
      <c r="I115" s="46" t="s">
        <v>10</v>
      </c>
      <c r="J115" s="46" t="s">
        <v>2</v>
      </c>
      <c r="K115" s="46" t="s">
        <v>7</v>
      </c>
      <c r="L115" s="46" t="s">
        <v>8</v>
      </c>
      <c r="M115" s="47" t="s">
        <v>9</v>
      </c>
      <c r="N115" s="46" t="s">
        <v>10</v>
      </c>
      <c r="O115" s="46" t="s">
        <v>2</v>
      </c>
      <c r="P115" s="46" t="s">
        <v>7</v>
      </c>
      <c r="Q115" s="46" t="s">
        <v>8</v>
      </c>
      <c r="R115" s="46" t="s">
        <v>9</v>
      </c>
    </row>
    <row r="116" spans="1:18">
      <c r="A116" s="33" t="s">
        <v>23</v>
      </c>
      <c r="B116" s="73" t="s">
        <v>159</v>
      </c>
      <c r="C116" s="31"/>
      <c r="D116" s="31"/>
      <c r="E116" s="31"/>
      <c r="F116" s="31"/>
      <c r="G116" s="31"/>
      <c r="H116" s="31"/>
      <c r="I116" s="31"/>
      <c r="J116" s="31"/>
      <c r="K116" s="31"/>
      <c r="L116" s="31"/>
      <c r="M116" s="31"/>
      <c r="N116" s="31"/>
      <c r="O116" s="31"/>
      <c r="P116" s="31"/>
      <c r="Q116" s="31"/>
      <c r="R116" s="32"/>
    </row>
    <row r="117" spans="1:18">
      <c r="A117" s="34">
        <f>A98+1</f>
        <v>7</v>
      </c>
      <c r="B117" s="727" t="s">
        <v>158</v>
      </c>
      <c r="C117" s="6" t="s">
        <v>11</v>
      </c>
      <c r="D117" s="4"/>
      <c r="E117" s="6"/>
      <c r="F117" s="29"/>
      <c r="G117" s="26"/>
      <c r="H117" s="26"/>
      <c r="I117" s="6"/>
      <c r="J117" s="6"/>
      <c r="K117" s="29"/>
      <c r="L117" s="26"/>
      <c r="M117" s="26"/>
      <c r="N117" s="6"/>
      <c r="O117" s="6"/>
      <c r="P117" s="29"/>
      <c r="Q117" s="26"/>
      <c r="R117" s="26"/>
    </row>
    <row r="118" spans="1:18">
      <c r="A118" s="2"/>
      <c r="B118" s="728"/>
      <c r="C118" s="6"/>
      <c r="D118" s="4" t="s">
        <v>97</v>
      </c>
      <c r="E118" s="6" t="s">
        <v>81</v>
      </c>
      <c r="F118" s="29">
        <v>12</v>
      </c>
      <c r="G118" s="26">
        <f>ur</f>
        <v>850</v>
      </c>
      <c r="H118" s="26">
        <f>F118*G118</f>
        <v>10200</v>
      </c>
      <c r="I118" s="7"/>
      <c r="J118" s="8"/>
      <c r="K118" s="29"/>
      <c r="L118" s="28"/>
      <c r="M118" s="28"/>
      <c r="N118" s="8" t="s">
        <v>128</v>
      </c>
      <c r="O118" s="6"/>
      <c r="P118" s="29"/>
      <c r="Q118" s="28"/>
      <c r="R118" s="28">
        <f>3%*H123</f>
        <v>306</v>
      </c>
    </row>
    <row r="119" spans="1:18">
      <c r="A119" s="2"/>
      <c r="B119" s="728"/>
      <c r="C119" s="6"/>
      <c r="D119" s="4"/>
      <c r="E119" s="6"/>
      <c r="F119" s="29"/>
      <c r="G119" s="26"/>
      <c r="H119" s="26"/>
      <c r="I119" s="7"/>
      <c r="J119" s="8"/>
      <c r="K119" s="29"/>
      <c r="L119" s="28"/>
      <c r="M119" s="28"/>
      <c r="N119" s="8"/>
      <c r="O119" s="6"/>
      <c r="P119" s="29"/>
      <c r="Q119" s="28"/>
      <c r="R119" s="28"/>
    </row>
    <row r="120" spans="1:18">
      <c r="A120" s="2"/>
      <c r="B120" s="728"/>
      <c r="C120" s="6"/>
      <c r="D120" s="4"/>
      <c r="E120" s="6"/>
      <c r="F120" s="29"/>
      <c r="G120" s="26"/>
      <c r="H120" s="26"/>
      <c r="I120" s="7"/>
      <c r="J120" s="8"/>
      <c r="K120" s="29"/>
      <c r="L120" s="28"/>
      <c r="M120" s="28"/>
      <c r="N120" s="8"/>
      <c r="O120" s="6"/>
      <c r="P120" s="29"/>
      <c r="Q120" s="28"/>
      <c r="R120" s="28"/>
    </row>
    <row r="121" spans="1:18">
      <c r="A121" s="2"/>
      <c r="B121" s="728"/>
      <c r="C121" s="6"/>
      <c r="D121" s="4"/>
      <c r="E121" s="6"/>
      <c r="F121" s="29"/>
      <c r="G121" s="26"/>
      <c r="H121" s="26"/>
      <c r="I121" s="7"/>
      <c r="J121" s="8"/>
      <c r="K121" s="29"/>
      <c r="L121" s="28"/>
      <c r="M121" s="28"/>
      <c r="N121" s="8"/>
      <c r="O121" s="6"/>
      <c r="P121" s="29"/>
      <c r="Q121" s="28"/>
      <c r="R121" s="28"/>
    </row>
    <row r="122" spans="1:18">
      <c r="A122" s="2"/>
      <c r="B122" s="84"/>
      <c r="C122" s="6"/>
      <c r="D122" s="4"/>
      <c r="E122" s="9"/>
      <c r="F122" s="30"/>
      <c r="G122" s="27"/>
      <c r="H122" s="27"/>
      <c r="I122" s="9"/>
      <c r="J122" s="10"/>
      <c r="K122" s="30"/>
      <c r="L122" s="28"/>
      <c r="M122" s="28"/>
      <c r="N122" s="8"/>
      <c r="O122" s="6"/>
      <c r="P122" s="30"/>
      <c r="Q122" s="28"/>
      <c r="R122" s="28"/>
    </row>
    <row r="123" spans="1:18">
      <c r="A123" s="2"/>
      <c r="B123" s="11"/>
      <c r="C123" s="6"/>
      <c r="D123" s="12"/>
      <c r="E123" s="59"/>
      <c r="F123" s="13"/>
      <c r="G123" s="13" t="s">
        <v>20</v>
      </c>
      <c r="H123" s="25">
        <f>SUM(H117:H122)</f>
        <v>10200</v>
      </c>
      <c r="I123" s="703"/>
      <c r="J123" s="703"/>
      <c r="K123" s="14"/>
      <c r="L123" s="13" t="s">
        <v>21</v>
      </c>
      <c r="M123" s="25">
        <f>SUM(M117:M122)</f>
        <v>0</v>
      </c>
      <c r="N123" s="3"/>
      <c r="O123" s="14"/>
      <c r="P123" s="14"/>
      <c r="Q123" s="13" t="s">
        <v>22</v>
      </c>
      <c r="R123" s="25">
        <f>SUM(R117:R122)</f>
        <v>306</v>
      </c>
    </row>
    <row r="124" spans="1:18">
      <c r="A124" s="2"/>
      <c r="B124" s="16" t="s">
        <v>13</v>
      </c>
      <c r="C124" s="14"/>
      <c r="D124" s="14"/>
      <c r="E124" s="14"/>
      <c r="F124" s="14"/>
      <c r="G124" s="13"/>
      <c r="H124" s="35">
        <f>M123+R123+H123</f>
        <v>10506</v>
      </c>
      <c r="I124" s="17"/>
      <c r="J124" s="14"/>
      <c r="K124" s="14"/>
      <c r="L124" s="13"/>
      <c r="M124" s="15"/>
      <c r="N124" s="14"/>
      <c r="O124" s="14"/>
      <c r="P124" s="14"/>
      <c r="Q124" s="14"/>
      <c r="R124" s="17"/>
    </row>
    <row r="125" spans="1:18">
      <c r="A125" s="2"/>
      <c r="B125" s="11" t="s">
        <v>25</v>
      </c>
      <c r="C125" s="4"/>
      <c r="D125" s="4"/>
      <c r="E125" s="4"/>
      <c r="F125" s="4"/>
      <c r="G125" s="18"/>
      <c r="H125" s="36">
        <v>0</v>
      </c>
      <c r="I125" s="20"/>
      <c r="J125" s="4" t="s">
        <v>26</v>
      </c>
      <c r="K125" s="4"/>
      <c r="L125" s="18"/>
      <c r="M125" s="19"/>
      <c r="N125" s="4"/>
      <c r="O125" s="4"/>
      <c r="P125" s="4"/>
      <c r="Q125" s="4"/>
      <c r="R125" s="20"/>
    </row>
    <row r="126" spans="1:18">
      <c r="A126" s="23"/>
      <c r="B126" s="11" t="s">
        <v>14</v>
      </c>
      <c r="C126" s="4"/>
      <c r="D126" s="4"/>
      <c r="E126" s="4"/>
      <c r="F126" s="4"/>
      <c r="G126" s="18"/>
      <c r="H126" s="36">
        <f>SUM(H124:H125)</f>
        <v>10506</v>
      </c>
      <c r="I126" s="20"/>
      <c r="J126" s="704"/>
      <c r="K126" s="705"/>
      <c r="L126" s="705"/>
      <c r="M126" s="705"/>
      <c r="N126" s="705"/>
      <c r="O126" s="705"/>
      <c r="P126" s="705"/>
      <c r="Q126" s="705"/>
      <c r="R126" s="706"/>
    </row>
    <row r="127" spans="1:18">
      <c r="A127" s="23"/>
      <c r="B127" s="11" t="s">
        <v>24</v>
      </c>
      <c r="C127" s="4"/>
      <c r="D127" s="4"/>
      <c r="E127" s="4"/>
      <c r="F127" s="4"/>
      <c r="G127" s="18"/>
      <c r="H127" s="36">
        <f>H126*15%</f>
        <v>1575.8999999999999</v>
      </c>
      <c r="I127" s="20"/>
      <c r="J127" s="707"/>
      <c r="K127" s="708"/>
      <c r="L127" s="708"/>
      <c r="M127" s="708"/>
      <c r="N127" s="708"/>
      <c r="O127" s="708"/>
      <c r="P127" s="708"/>
      <c r="Q127" s="708"/>
      <c r="R127" s="709"/>
    </row>
    <row r="128" spans="1:18">
      <c r="A128" s="23"/>
      <c r="B128" s="11" t="s">
        <v>15</v>
      </c>
      <c r="C128" s="4"/>
      <c r="D128" s="4"/>
      <c r="E128" s="4"/>
      <c r="F128" s="4"/>
      <c r="G128" s="21" t="s">
        <v>16</v>
      </c>
      <c r="H128" s="37">
        <f>H127+H126</f>
        <v>12081.9</v>
      </c>
      <c r="I128" s="38" t="str">
        <f>CONCATENATE("per ",C117)</f>
        <v>per cum</v>
      </c>
      <c r="J128" s="707"/>
      <c r="K128" s="708"/>
      <c r="L128" s="708"/>
      <c r="M128" s="708"/>
      <c r="N128" s="708"/>
      <c r="O128" s="708"/>
      <c r="P128" s="708"/>
      <c r="Q128" s="708"/>
      <c r="R128" s="709"/>
    </row>
    <row r="129" spans="1:18">
      <c r="A129" s="23"/>
      <c r="B129" s="11" t="s">
        <v>18</v>
      </c>
      <c r="C129" s="4" t="s">
        <v>19</v>
      </c>
      <c r="D129" s="4"/>
      <c r="E129" s="4"/>
      <c r="F129" s="4"/>
      <c r="G129" s="21" t="s">
        <v>16</v>
      </c>
      <c r="H129" s="37">
        <f>CEILING(H128,0.5)</f>
        <v>12082</v>
      </c>
      <c r="I129" s="38" t="str">
        <f>CONCATENATE("per ",C117)</f>
        <v>per cum</v>
      </c>
      <c r="J129" s="707"/>
      <c r="K129" s="708"/>
      <c r="L129" s="708"/>
      <c r="M129" s="708"/>
      <c r="N129" s="708"/>
      <c r="O129" s="708"/>
      <c r="P129" s="708"/>
      <c r="Q129" s="708"/>
      <c r="R129" s="709"/>
    </row>
    <row r="130" spans="1:18">
      <c r="A130" s="23"/>
      <c r="B130" s="11"/>
      <c r="C130" s="4"/>
      <c r="D130" s="4"/>
      <c r="E130" s="4"/>
      <c r="F130" s="4"/>
      <c r="G130" s="24" t="s">
        <v>17</v>
      </c>
      <c r="H130" s="37">
        <f>H129/exr</f>
        <v>92.938461538461539</v>
      </c>
      <c r="I130" s="38" t="str">
        <f>CONCATENATE("per ",C117)</f>
        <v>per cum</v>
      </c>
      <c r="J130" s="710"/>
      <c r="K130" s="711"/>
      <c r="L130" s="711"/>
      <c r="M130" s="711"/>
      <c r="N130" s="711"/>
      <c r="O130" s="711"/>
      <c r="P130" s="711"/>
      <c r="Q130" s="711"/>
      <c r="R130" s="712"/>
    </row>
    <row r="131" spans="1:18">
      <c r="A131" s="39"/>
      <c r="B131" s="40"/>
      <c r="C131" s="41"/>
      <c r="D131" s="41"/>
      <c r="E131" s="41"/>
      <c r="F131" s="41"/>
      <c r="G131" s="149" t="s">
        <v>460</v>
      </c>
      <c r="H131" s="150">
        <f>CEILING(0,0.0025)</f>
        <v>0</v>
      </c>
      <c r="I131" s="42"/>
      <c r="J131" s="43"/>
      <c r="K131" s="43"/>
      <c r="L131" s="43"/>
      <c r="M131" s="43"/>
      <c r="N131" s="43"/>
      <c r="O131" s="43"/>
      <c r="P131" s="43"/>
      <c r="Q131" s="43"/>
      <c r="R131" s="44"/>
    </row>
    <row r="133" spans="1:18">
      <c r="A133" s="693" t="s">
        <v>0</v>
      </c>
      <c r="B133" s="695" t="s">
        <v>1</v>
      </c>
      <c r="C133" s="695" t="s">
        <v>2</v>
      </c>
      <c r="D133" s="697" t="s">
        <v>3</v>
      </c>
      <c r="E133" s="698"/>
      <c r="F133" s="698"/>
      <c r="G133" s="698"/>
      <c r="H133" s="698"/>
      <c r="I133" s="699" t="s">
        <v>4</v>
      </c>
      <c r="J133" s="700"/>
      <c r="K133" s="700"/>
      <c r="L133" s="700"/>
      <c r="M133" s="700"/>
      <c r="N133" s="698" t="s">
        <v>5</v>
      </c>
      <c r="O133" s="698"/>
      <c r="P133" s="698"/>
      <c r="Q133" s="698"/>
      <c r="R133" s="698"/>
    </row>
    <row r="134" spans="1:18">
      <c r="A134" s="694"/>
      <c r="B134" s="696"/>
      <c r="C134" s="696"/>
      <c r="D134" s="45" t="s">
        <v>6</v>
      </c>
      <c r="E134" s="46" t="s">
        <v>2</v>
      </c>
      <c r="F134" s="46" t="s">
        <v>7</v>
      </c>
      <c r="G134" s="46" t="s">
        <v>8</v>
      </c>
      <c r="H134" s="46" t="s">
        <v>9</v>
      </c>
      <c r="I134" s="46" t="s">
        <v>10</v>
      </c>
      <c r="J134" s="46" t="s">
        <v>2</v>
      </c>
      <c r="K134" s="46" t="s">
        <v>7</v>
      </c>
      <c r="L134" s="46" t="s">
        <v>8</v>
      </c>
      <c r="M134" s="47" t="s">
        <v>9</v>
      </c>
      <c r="N134" s="46" t="s">
        <v>10</v>
      </c>
      <c r="O134" s="46" t="s">
        <v>2</v>
      </c>
      <c r="P134" s="46" t="s">
        <v>7</v>
      </c>
      <c r="Q134" s="46" t="s">
        <v>8</v>
      </c>
      <c r="R134" s="46" t="s">
        <v>9</v>
      </c>
    </row>
    <row r="135" spans="1:18">
      <c r="A135" s="33" t="s">
        <v>23</v>
      </c>
      <c r="B135" s="73" t="s">
        <v>166</v>
      </c>
      <c r="C135" s="31"/>
      <c r="D135" s="31"/>
      <c r="E135" s="31"/>
      <c r="F135" s="31"/>
      <c r="G135" s="31"/>
      <c r="H135" s="31"/>
      <c r="I135" s="31"/>
      <c r="J135" s="31"/>
      <c r="K135" s="31"/>
      <c r="L135" s="31"/>
      <c r="M135" s="31"/>
      <c r="N135" s="31"/>
      <c r="O135" s="31"/>
      <c r="P135" s="31"/>
      <c r="Q135" s="31"/>
      <c r="R135" s="32"/>
    </row>
    <row r="136" spans="1:18">
      <c r="A136" s="34">
        <f>A117+1</f>
        <v>8</v>
      </c>
      <c r="B136" s="727" t="s">
        <v>160</v>
      </c>
      <c r="C136" s="6" t="s">
        <v>11</v>
      </c>
      <c r="D136" s="4"/>
      <c r="E136" s="6"/>
      <c r="F136" s="29"/>
      <c r="G136" s="26"/>
      <c r="H136" s="26"/>
      <c r="I136" s="6"/>
      <c r="J136" s="6"/>
      <c r="K136" s="29"/>
      <c r="L136" s="26"/>
      <c r="M136" s="26"/>
      <c r="N136" s="6"/>
      <c r="O136" s="6"/>
      <c r="P136" s="29"/>
      <c r="Q136" s="26"/>
      <c r="R136" s="26"/>
    </row>
    <row r="137" spans="1:18">
      <c r="A137" s="2"/>
      <c r="B137" s="728"/>
      <c r="C137" s="6"/>
      <c r="D137" s="4" t="s">
        <v>97</v>
      </c>
      <c r="E137" s="6" t="s">
        <v>81</v>
      </c>
      <c r="F137" s="29">
        <v>3.5</v>
      </c>
      <c r="G137" s="26">
        <f>ur</f>
        <v>850</v>
      </c>
      <c r="H137" s="26">
        <f>F137*G137</f>
        <v>2975</v>
      </c>
      <c r="I137" s="7" t="s">
        <v>162</v>
      </c>
      <c r="J137" s="8" t="s">
        <v>28</v>
      </c>
      <c r="K137" s="29">
        <v>0.25</v>
      </c>
      <c r="L137" s="28">
        <f>gelatine</f>
        <v>408.15999999999997</v>
      </c>
      <c r="M137" s="26">
        <f>K137*L137</f>
        <v>102.03999999999999</v>
      </c>
      <c r="N137" s="8" t="s">
        <v>128</v>
      </c>
      <c r="O137" s="6"/>
      <c r="P137" s="29"/>
      <c r="Q137" s="28"/>
      <c r="R137" s="28">
        <f>3%*H142</f>
        <v>92.55</v>
      </c>
    </row>
    <row r="138" spans="1:18">
      <c r="A138" s="2"/>
      <c r="B138" s="728"/>
      <c r="C138" s="6"/>
      <c r="D138" s="4" t="s">
        <v>161</v>
      </c>
      <c r="E138" s="6" t="s">
        <v>81</v>
      </c>
      <c r="F138" s="29">
        <v>0.1</v>
      </c>
      <c r="G138" s="26">
        <f>br</f>
        <v>1100</v>
      </c>
      <c r="H138" s="26">
        <f>F138*G138</f>
        <v>110</v>
      </c>
      <c r="I138" s="7" t="s">
        <v>44</v>
      </c>
      <c r="J138" s="8" t="s">
        <v>138</v>
      </c>
      <c r="K138" s="29">
        <v>2</v>
      </c>
      <c r="L138" s="28">
        <f>detonator</f>
        <v>11.95</v>
      </c>
      <c r="M138" s="26">
        <f>K138*L138</f>
        <v>23.9</v>
      </c>
      <c r="N138" s="8"/>
      <c r="O138" s="6"/>
      <c r="P138" s="29"/>
      <c r="Q138" s="28"/>
      <c r="R138" s="28"/>
    </row>
    <row r="139" spans="1:18">
      <c r="A139" s="2"/>
      <c r="B139" s="728"/>
      <c r="C139" s="6"/>
      <c r="D139" s="4"/>
      <c r="E139" s="6"/>
      <c r="F139" s="29"/>
      <c r="G139" s="26"/>
      <c r="H139" s="26"/>
      <c r="I139" s="7" t="s">
        <v>163</v>
      </c>
      <c r="J139" s="8" t="s">
        <v>47</v>
      </c>
      <c r="K139" s="29">
        <v>2</v>
      </c>
      <c r="L139" s="28">
        <f>Detonating_chord</f>
        <v>7.4</v>
      </c>
      <c r="M139" s="26">
        <f>K139*L139</f>
        <v>14.8</v>
      </c>
      <c r="N139" s="8"/>
      <c r="O139" s="6"/>
      <c r="P139" s="29"/>
      <c r="Q139" s="28"/>
      <c r="R139" s="28"/>
    </row>
    <row r="140" spans="1:18">
      <c r="A140" s="2"/>
      <c r="B140" s="728"/>
      <c r="C140" s="6"/>
      <c r="D140" s="4"/>
      <c r="E140" s="6"/>
      <c r="F140" s="29"/>
      <c r="G140" s="26"/>
      <c r="H140" s="26"/>
      <c r="I140" s="7"/>
      <c r="J140" s="8"/>
      <c r="K140" s="29"/>
      <c r="L140" s="28"/>
      <c r="M140" s="28"/>
      <c r="N140" s="8"/>
      <c r="O140" s="6"/>
      <c r="P140" s="29"/>
      <c r="Q140" s="28"/>
      <c r="R140" s="28"/>
    </row>
    <row r="141" spans="1:18">
      <c r="A141" s="2"/>
      <c r="B141" s="84"/>
      <c r="C141" s="6"/>
      <c r="D141" s="4"/>
      <c r="E141" s="9"/>
      <c r="F141" s="30"/>
      <c r="G141" s="27"/>
      <c r="H141" s="27"/>
      <c r="I141" s="9"/>
      <c r="J141" s="10"/>
      <c r="K141" s="30"/>
      <c r="L141" s="28"/>
      <c r="M141" s="28"/>
      <c r="N141" s="8"/>
      <c r="O141" s="6"/>
      <c r="P141" s="30"/>
      <c r="Q141" s="28"/>
      <c r="R141" s="28"/>
    </row>
    <row r="142" spans="1:18">
      <c r="A142" s="2"/>
      <c r="B142" s="11"/>
      <c r="C142" s="6"/>
      <c r="D142" s="12"/>
      <c r="E142" s="59"/>
      <c r="F142" s="13"/>
      <c r="G142" s="13" t="s">
        <v>20</v>
      </c>
      <c r="H142" s="25">
        <f>SUM(H136:H141)</f>
        <v>3085</v>
      </c>
      <c r="I142" s="703"/>
      <c r="J142" s="703"/>
      <c r="K142" s="14"/>
      <c r="L142" s="13" t="s">
        <v>21</v>
      </c>
      <c r="M142" s="25">
        <f>SUM(M136:M141)</f>
        <v>140.74</v>
      </c>
      <c r="N142" s="3"/>
      <c r="O142" s="14"/>
      <c r="P142" s="14"/>
      <c r="Q142" s="13" t="s">
        <v>22</v>
      </c>
      <c r="R142" s="25">
        <f>SUM(R136:R141)</f>
        <v>92.55</v>
      </c>
    </row>
    <row r="143" spans="1:18">
      <c r="A143" s="2"/>
      <c r="B143" s="16" t="s">
        <v>13</v>
      </c>
      <c r="C143" s="14"/>
      <c r="D143" s="14"/>
      <c r="E143" s="14"/>
      <c r="F143" s="14"/>
      <c r="G143" s="13"/>
      <c r="H143" s="35">
        <f>M142+R142+H142</f>
        <v>3318.29</v>
      </c>
      <c r="I143" s="17"/>
      <c r="J143" s="14"/>
      <c r="K143" s="14"/>
      <c r="L143" s="13"/>
      <c r="M143" s="15"/>
      <c r="N143" s="14"/>
      <c r="O143" s="14"/>
      <c r="P143" s="14"/>
      <c r="Q143" s="14"/>
      <c r="R143" s="17"/>
    </row>
    <row r="144" spans="1:18">
      <c r="A144" s="2"/>
      <c r="B144" s="11" t="s">
        <v>25</v>
      </c>
      <c r="C144" s="4"/>
      <c r="D144" s="4"/>
      <c r="E144" s="4"/>
      <c r="F144" s="4"/>
      <c r="G144" s="18"/>
      <c r="H144" s="36">
        <v>0</v>
      </c>
      <c r="I144" s="20"/>
      <c r="J144" s="4" t="s">
        <v>26</v>
      </c>
      <c r="K144" s="4"/>
      <c r="L144" s="18"/>
      <c r="M144" s="19"/>
      <c r="N144" s="4"/>
      <c r="O144" s="4"/>
      <c r="P144" s="4"/>
      <c r="Q144" s="4"/>
      <c r="R144" s="20"/>
    </row>
    <row r="145" spans="1:18">
      <c r="A145" s="23"/>
      <c r="B145" s="11" t="s">
        <v>14</v>
      </c>
      <c r="C145" s="4"/>
      <c r="D145" s="4"/>
      <c r="E145" s="4"/>
      <c r="F145" s="4"/>
      <c r="G145" s="18"/>
      <c r="H145" s="36">
        <f>SUM(H143:H144)</f>
        <v>3318.29</v>
      </c>
      <c r="I145" s="20"/>
      <c r="J145" s="704"/>
      <c r="K145" s="705"/>
      <c r="L145" s="705"/>
      <c r="M145" s="705"/>
      <c r="N145" s="705"/>
      <c r="O145" s="705"/>
      <c r="P145" s="705"/>
      <c r="Q145" s="705"/>
      <c r="R145" s="706"/>
    </row>
    <row r="146" spans="1:18">
      <c r="A146" s="23"/>
      <c r="B146" s="11" t="s">
        <v>24</v>
      </c>
      <c r="C146" s="4"/>
      <c r="D146" s="4"/>
      <c r="E146" s="4"/>
      <c r="F146" s="4"/>
      <c r="G146" s="18"/>
      <c r="H146" s="36">
        <f>H145*15%</f>
        <v>497.74349999999998</v>
      </c>
      <c r="I146" s="20"/>
      <c r="J146" s="707"/>
      <c r="K146" s="708"/>
      <c r="L146" s="708"/>
      <c r="M146" s="708"/>
      <c r="N146" s="708"/>
      <c r="O146" s="708"/>
      <c r="P146" s="708"/>
      <c r="Q146" s="708"/>
      <c r="R146" s="709"/>
    </row>
    <row r="147" spans="1:18">
      <c r="A147" s="23"/>
      <c r="B147" s="11" t="s">
        <v>15</v>
      </c>
      <c r="C147" s="4"/>
      <c r="D147" s="4"/>
      <c r="E147" s="4"/>
      <c r="F147" s="4"/>
      <c r="G147" s="21" t="s">
        <v>16</v>
      </c>
      <c r="H147" s="37">
        <f>H146+H145</f>
        <v>3816.0335</v>
      </c>
      <c r="I147" s="38" t="str">
        <f>CONCATENATE("per ",C136)</f>
        <v>per cum</v>
      </c>
      <c r="J147" s="707"/>
      <c r="K147" s="708"/>
      <c r="L147" s="708"/>
      <c r="M147" s="708"/>
      <c r="N147" s="708"/>
      <c r="O147" s="708"/>
      <c r="P147" s="708"/>
      <c r="Q147" s="708"/>
      <c r="R147" s="709"/>
    </row>
    <row r="148" spans="1:18">
      <c r="A148" s="23"/>
      <c r="B148" s="11" t="s">
        <v>18</v>
      </c>
      <c r="C148" s="4" t="s">
        <v>19</v>
      </c>
      <c r="D148" s="4"/>
      <c r="E148" s="4"/>
      <c r="F148" s="4"/>
      <c r="G148" s="21" t="s">
        <v>16</v>
      </c>
      <c r="H148" s="37">
        <f>CEILING(H147,0.5)</f>
        <v>3816.5</v>
      </c>
      <c r="I148" s="38" t="str">
        <f>CONCATENATE("per ",C136)</f>
        <v>per cum</v>
      </c>
      <c r="J148" s="707"/>
      <c r="K148" s="708"/>
      <c r="L148" s="708"/>
      <c r="M148" s="708"/>
      <c r="N148" s="708"/>
      <c r="O148" s="708"/>
      <c r="P148" s="708"/>
      <c r="Q148" s="708"/>
      <c r="R148" s="709"/>
    </row>
    <row r="149" spans="1:18">
      <c r="A149" s="23"/>
      <c r="B149" s="11"/>
      <c r="C149" s="4"/>
      <c r="D149" s="4"/>
      <c r="E149" s="4"/>
      <c r="F149" s="4"/>
      <c r="G149" s="24" t="s">
        <v>17</v>
      </c>
      <c r="H149" s="37">
        <f>H148/exr</f>
        <v>29.357692307692307</v>
      </c>
      <c r="I149" s="38" t="str">
        <f>CONCATENATE("per ",C136)</f>
        <v>per cum</v>
      </c>
      <c r="J149" s="710"/>
      <c r="K149" s="711"/>
      <c r="L149" s="711"/>
      <c r="M149" s="711"/>
      <c r="N149" s="711"/>
      <c r="O149" s="711"/>
      <c r="P149" s="711"/>
      <c r="Q149" s="711"/>
      <c r="R149" s="712"/>
    </row>
    <row r="150" spans="1:18">
      <c r="A150" s="39"/>
      <c r="B150" s="40"/>
      <c r="C150" s="41"/>
      <c r="D150" s="41"/>
      <c r="E150" s="41"/>
      <c r="F150" s="41"/>
      <c r="G150" s="149" t="s">
        <v>460</v>
      </c>
      <c r="H150" s="150">
        <f>CEILING(SUM(M137:M139)/H143,0.0025)</f>
        <v>4.2500000000000003E-2</v>
      </c>
      <c r="I150" s="42"/>
      <c r="J150" s="43"/>
      <c r="K150" s="43"/>
      <c r="L150" s="43"/>
      <c r="M150" s="43"/>
      <c r="N150" s="43"/>
      <c r="O150" s="43"/>
      <c r="P150" s="43"/>
      <c r="Q150" s="43"/>
      <c r="R150" s="44"/>
    </row>
    <row r="152" spans="1:18">
      <c r="A152" s="693" t="s">
        <v>0</v>
      </c>
      <c r="B152" s="695" t="s">
        <v>1</v>
      </c>
      <c r="C152" s="695" t="s">
        <v>2</v>
      </c>
      <c r="D152" s="697" t="s">
        <v>3</v>
      </c>
      <c r="E152" s="698"/>
      <c r="F152" s="698"/>
      <c r="G152" s="698"/>
      <c r="H152" s="698"/>
      <c r="I152" s="699" t="s">
        <v>4</v>
      </c>
      <c r="J152" s="700"/>
      <c r="K152" s="700"/>
      <c r="L152" s="700"/>
      <c r="M152" s="700"/>
      <c r="N152" s="698" t="s">
        <v>5</v>
      </c>
      <c r="O152" s="698"/>
      <c r="P152" s="698"/>
      <c r="Q152" s="698"/>
      <c r="R152" s="698"/>
    </row>
    <row r="153" spans="1:18">
      <c r="A153" s="694"/>
      <c r="B153" s="696"/>
      <c r="C153" s="696"/>
      <c r="D153" s="45" t="s">
        <v>6</v>
      </c>
      <c r="E153" s="46" t="s">
        <v>2</v>
      </c>
      <c r="F153" s="46" t="s">
        <v>7</v>
      </c>
      <c r="G153" s="46" t="s">
        <v>8</v>
      </c>
      <c r="H153" s="46" t="s">
        <v>9</v>
      </c>
      <c r="I153" s="46" t="s">
        <v>10</v>
      </c>
      <c r="J153" s="46" t="s">
        <v>2</v>
      </c>
      <c r="K153" s="46" t="s">
        <v>7</v>
      </c>
      <c r="L153" s="46" t="s">
        <v>8</v>
      </c>
      <c r="M153" s="47" t="s">
        <v>9</v>
      </c>
      <c r="N153" s="46" t="s">
        <v>10</v>
      </c>
      <c r="O153" s="46" t="s">
        <v>2</v>
      </c>
      <c r="P153" s="46" t="s">
        <v>7</v>
      </c>
      <c r="Q153" s="46" t="s">
        <v>8</v>
      </c>
      <c r="R153" s="46" t="s">
        <v>9</v>
      </c>
    </row>
    <row r="154" spans="1:18">
      <c r="A154" s="33" t="s">
        <v>23</v>
      </c>
      <c r="B154" s="73" t="s">
        <v>167</v>
      </c>
      <c r="C154" s="31"/>
      <c r="D154" s="31"/>
      <c r="E154" s="31"/>
      <c r="F154" s="31"/>
      <c r="G154" s="31"/>
      <c r="H154" s="31"/>
      <c r="I154" s="31"/>
      <c r="J154" s="31"/>
      <c r="K154" s="31"/>
      <c r="L154" s="31"/>
      <c r="M154" s="31"/>
      <c r="N154" s="31"/>
      <c r="O154" s="31"/>
      <c r="P154" s="31"/>
      <c r="Q154" s="31"/>
      <c r="R154" s="32"/>
    </row>
    <row r="155" spans="1:18">
      <c r="A155" s="34">
        <f>A136+1</f>
        <v>9</v>
      </c>
      <c r="B155" s="727" t="s">
        <v>164</v>
      </c>
      <c r="C155" s="6" t="s">
        <v>11</v>
      </c>
      <c r="D155" s="4"/>
      <c r="E155" s="6"/>
      <c r="F155" s="29"/>
      <c r="G155" s="26"/>
      <c r="H155" s="26"/>
      <c r="I155" s="6"/>
      <c r="J155" s="6"/>
      <c r="K155" s="29"/>
      <c r="L155" s="26"/>
      <c r="M155" s="26"/>
      <c r="N155" s="6"/>
      <c r="O155" s="6"/>
      <c r="P155" s="29"/>
      <c r="Q155" s="26"/>
      <c r="R155" s="26"/>
    </row>
    <row r="156" spans="1:18">
      <c r="A156" s="2"/>
      <c r="B156" s="728"/>
      <c r="C156" s="6"/>
      <c r="D156" s="4" t="s">
        <v>97</v>
      </c>
      <c r="E156" s="6" t="s">
        <v>81</v>
      </c>
      <c r="F156" s="29">
        <v>1.75</v>
      </c>
      <c r="G156" s="26">
        <f>ur</f>
        <v>850</v>
      </c>
      <c r="H156" s="26">
        <f>F156*G156</f>
        <v>1487.5</v>
      </c>
      <c r="I156" s="7" t="s">
        <v>162</v>
      </c>
      <c r="J156" s="8" t="s">
        <v>28</v>
      </c>
      <c r="K156" s="29">
        <v>0.25</v>
      </c>
      <c r="L156" s="28">
        <f>gelatine</f>
        <v>408.15999999999997</v>
      </c>
      <c r="M156" s="26">
        <f>K156*L156</f>
        <v>102.03999999999999</v>
      </c>
      <c r="N156" s="8" t="s">
        <v>165</v>
      </c>
      <c r="O156" s="6" t="s">
        <v>101</v>
      </c>
      <c r="P156" s="29">
        <v>0.4</v>
      </c>
      <c r="Q156" s="28">
        <f>compressor</f>
        <v>270.39999999999998</v>
      </c>
      <c r="R156" s="26">
        <f>P156*Q156</f>
        <v>108.16</v>
      </c>
    </row>
    <row r="157" spans="1:18">
      <c r="A157" s="2"/>
      <c r="B157" s="728"/>
      <c r="C157" s="6"/>
      <c r="D157" s="4" t="s">
        <v>161</v>
      </c>
      <c r="E157" s="6" t="s">
        <v>81</v>
      </c>
      <c r="F157" s="29">
        <v>0.12</v>
      </c>
      <c r="G157" s="26">
        <f>br</f>
        <v>1100</v>
      </c>
      <c r="H157" s="26">
        <f>F157*G157</f>
        <v>132</v>
      </c>
      <c r="I157" s="7" t="s">
        <v>44</v>
      </c>
      <c r="J157" s="8" t="s">
        <v>138</v>
      </c>
      <c r="K157" s="29">
        <v>2</v>
      </c>
      <c r="L157" s="28">
        <f>detonator</f>
        <v>11.95</v>
      </c>
      <c r="M157" s="26">
        <f>K157*L157</f>
        <v>23.9</v>
      </c>
      <c r="N157" s="8"/>
      <c r="O157" s="6"/>
      <c r="P157" s="29"/>
      <c r="Q157" s="28"/>
      <c r="R157" s="28"/>
    </row>
    <row r="158" spans="1:18">
      <c r="A158" s="2"/>
      <c r="B158" s="728"/>
      <c r="C158" s="6"/>
      <c r="D158" s="4"/>
      <c r="E158" s="6"/>
      <c r="F158" s="29"/>
      <c r="G158" s="26"/>
      <c r="H158" s="26"/>
      <c r="I158" s="7" t="s">
        <v>163</v>
      </c>
      <c r="J158" s="8" t="s">
        <v>47</v>
      </c>
      <c r="K158" s="29">
        <v>2</v>
      </c>
      <c r="L158" s="28">
        <f>Detonating_chord</f>
        <v>7.4</v>
      </c>
      <c r="M158" s="26">
        <f>K158*L158</f>
        <v>14.8</v>
      </c>
      <c r="N158" s="8"/>
      <c r="O158" s="6"/>
      <c r="P158" s="29"/>
      <c r="Q158" s="28"/>
      <c r="R158" s="28"/>
    </row>
    <row r="159" spans="1:18">
      <c r="A159" s="2"/>
      <c r="B159" s="728"/>
      <c r="C159" s="6"/>
      <c r="D159" s="4"/>
      <c r="E159" s="6"/>
      <c r="F159" s="29"/>
      <c r="G159" s="26"/>
      <c r="H159" s="26"/>
      <c r="I159" s="7"/>
      <c r="J159" s="8"/>
      <c r="K159" s="29"/>
      <c r="L159" s="28"/>
      <c r="M159" s="28"/>
      <c r="N159" s="8"/>
      <c r="O159" s="6"/>
      <c r="P159" s="29"/>
      <c r="Q159" s="28"/>
      <c r="R159" s="28"/>
    </row>
    <row r="160" spans="1:18">
      <c r="A160" s="2"/>
      <c r="B160" s="84"/>
      <c r="C160" s="6"/>
      <c r="D160" s="4"/>
      <c r="E160" s="9"/>
      <c r="F160" s="30"/>
      <c r="G160" s="27"/>
      <c r="H160" s="27"/>
      <c r="I160" s="9"/>
      <c r="J160" s="10"/>
      <c r="K160" s="30"/>
      <c r="L160" s="28"/>
      <c r="M160" s="28"/>
      <c r="N160" s="8"/>
      <c r="O160" s="6"/>
      <c r="P160" s="30"/>
      <c r="Q160" s="28"/>
      <c r="R160" s="28"/>
    </row>
    <row r="161" spans="1:18">
      <c r="A161" s="2"/>
      <c r="B161" s="11"/>
      <c r="C161" s="6"/>
      <c r="D161" s="12"/>
      <c r="E161" s="59"/>
      <c r="F161" s="13"/>
      <c r="G161" s="13" t="s">
        <v>20</v>
      </c>
      <c r="H161" s="25">
        <f>SUM(H155:H160)</f>
        <v>1619.5</v>
      </c>
      <c r="I161" s="703"/>
      <c r="J161" s="703"/>
      <c r="K161" s="14"/>
      <c r="L161" s="13" t="s">
        <v>21</v>
      </c>
      <c r="M161" s="25">
        <f>SUM(M155:M160)</f>
        <v>140.74</v>
      </c>
      <c r="N161" s="3"/>
      <c r="O161" s="14"/>
      <c r="P161" s="14"/>
      <c r="Q161" s="13" t="s">
        <v>22</v>
      </c>
      <c r="R161" s="25">
        <f>SUM(R155:R160)</f>
        <v>108.16</v>
      </c>
    </row>
    <row r="162" spans="1:18">
      <c r="A162" s="2"/>
      <c r="B162" s="16" t="s">
        <v>13</v>
      </c>
      <c r="C162" s="14"/>
      <c r="D162" s="14"/>
      <c r="E162" s="14"/>
      <c r="F162" s="14"/>
      <c r="G162" s="13"/>
      <c r="H162" s="35">
        <f>M161+R161+H161</f>
        <v>1868.4</v>
      </c>
      <c r="I162" s="17"/>
      <c r="J162" s="14"/>
      <c r="K162" s="14"/>
      <c r="L162" s="13"/>
      <c r="M162" s="15"/>
      <c r="N162" s="14"/>
      <c r="O162" s="14"/>
      <c r="P162" s="14"/>
      <c r="Q162" s="14"/>
      <c r="R162" s="17"/>
    </row>
    <row r="163" spans="1:18">
      <c r="A163" s="2"/>
      <c r="B163" s="11" t="s">
        <v>25</v>
      </c>
      <c r="C163" s="4"/>
      <c r="D163" s="4"/>
      <c r="E163" s="4"/>
      <c r="F163" s="4"/>
      <c r="G163" s="18"/>
      <c r="H163" s="36">
        <v>0</v>
      </c>
      <c r="I163" s="20"/>
      <c r="J163" s="4" t="s">
        <v>26</v>
      </c>
      <c r="K163" s="4"/>
      <c r="L163" s="18"/>
      <c r="M163" s="19"/>
      <c r="N163" s="4"/>
      <c r="O163" s="4"/>
      <c r="P163" s="4"/>
      <c r="Q163" s="4"/>
      <c r="R163" s="20"/>
    </row>
    <row r="164" spans="1:18">
      <c r="A164" s="23"/>
      <c r="B164" s="11" t="s">
        <v>14</v>
      </c>
      <c r="C164" s="4"/>
      <c r="D164" s="4"/>
      <c r="E164" s="4"/>
      <c r="F164" s="4"/>
      <c r="G164" s="18"/>
      <c r="H164" s="36">
        <f>SUM(H162:H163)</f>
        <v>1868.4</v>
      </c>
      <c r="I164" s="20"/>
      <c r="J164" s="704"/>
      <c r="K164" s="705"/>
      <c r="L164" s="705"/>
      <c r="M164" s="705"/>
      <c r="N164" s="705"/>
      <c r="O164" s="705"/>
      <c r="P164" s="705"/>
      <c r="Q164" s="705"/>
      <c r="R164" s="706"/>
    </row>
    <row r="165" spans="1:18">
      <c r="A165" s="23"/>
      <c r="B165" s="11" t="s">
        <v>24</v>
      </c>
      <c r="C165" s="4"/>
      <c r="D165" s="4"/>
      <c r="E165" s="4"/>
      <c r="F165" s="4"/>
      <c r="G165" s="18"/>
      <c r="H165" s="36">
        <f>H164*15%</f>
        <v>280.26</v>
      </c>
      <c r="I165" s="20"/>
      <c r="J165" s="707"/>
      <c r="K165" s="708"/>
      <c r="L165" s="708"/>
      <c r="M165" s="708"/>
      <c r="N165" s="708"/>
      <c r="O165" s="708"/>
      <c r="P165" s="708"/>
      <c r="Q165" s="708"/>
      <c r="R165" s="709"/>
    </row>
    <row r="166" spans="1:18">
      <c r="A166" s="23"/>
      <c r="B166" s="11" t="s">
        <v>15</v>
      </c>
      <c r="C166" s="4"/>
      <c r="D166" s="4"/>
      <c r="E166" s="4"/>
      <c r="F166" s="4"/>
      <c r="G166" s="21" t="s">
        <v>16</v>
      </c>
      <c r="H166" s="37">
        <f>H165+H164</f>
        <v>2148.66</v>
      </c>
      <c r="I166" s="38" t="str">
        <f>CONCATENATE("per ",C155)</f>
        <v>per cum</v>
      </c>
      <c r="J166" s="707"/>
      <c r="K166" s="708"/>
      <c r="L166" s="708"/>
      <c r="M166" s="708"/>
      <c r="N166" s="708"/>
      <c r="O166" s="708"/>
      <c r="P166" s="708"/>
      <c r="Q166" s="708"/>
      <c r="R166" s="709"/>
    </row>
    <row r="167" spans="1:18">
      <c r="A167" s="23"/>
      <c r="B167" s="11" t="s">
        <v>18</v>
      </c>
      <c r="C167" s="4" t="s">
        <v>19</v>
      </c>
      <c r="D167" s="4"/>
      <c r="E167" s="4"/>
      <c r="F167" s="4"/>
      <c r="G167" s="21" t="s">
        <v>16</v>
      </c>
      <c r="H167" s="37">
        <f>CEILING(H166,0.5)</f>
        <v>2149</v>
      </c>
      <c r="I167" s="38" t="str">
        <f>CONCATENATE("per ",C155)</f>
        <v>per cum</v>
      </c>
      <c r="J167" s="707"/>
      <c r="K167" s="708"/>
      <c r="L167" s="708"/>
      <c r="M167" s="708"/>
      <c r="N167" s="708"/>
      <c r="O167" s="708"/>
      <c r="P167" s="708"/>
      <c r="Q167" s="708"/>
      <c r="R167" s="709"/>
    </row>
    <row r="168" spans="1:18">
      <c r="A168" s="23"/>
      <c r="B168" s="11"/>
      <c r="C168" s="4"/>
      <c r="D168" s="4"/>
      <c r="E168" s="4"/>
      <c r="F168" s="4"/>
      <c r="G168" s="24" t="s">
        <v>17</v>
      </c>
      <c r="H168" s="37">
        <f>H167/exr</f>
        <v>16.530769230769231</v>
      </c>
      <c r="I168" s="38" t="str">
        <f>CONCATENATE("per ",C155)</f>
        <v>per cum</v>
      </c>
      <c r="J168" s="710"/>
      <c r="K168" s="711"/>
      <c r="L168" s="711"/>
      <c r="M168" s="711"/>
      <c r="N168" s="711"/>
      <c r="O168" s="711"/>
      <c r="P168" s="711"/>
      <c r="Q168" s="711"/>
      <c r="R168" s="712"/>
    </row>
    <row r="169" spans="1:18">
      <c r="A169" s="39"/>
      <c r="B169" s="40"/>
      <c r="C169" s="41"/>
      <c r="D169" s="41"/>
      <c r="E169" s="41"/>
      <c r="F169" s="41"/>
      <c r="G169" s="149" t="s">
        <v>460</v>
      </c>
      <c r="H169" s="150">
        <f>CEILING(SUM(M156,M157,M158,R156)/H162,0.0025)</f>
        <v>0.13500000000000001</v>
      </c>
      <c r="I169" s="42"/>
      <c r="J169" s="43"/>
      <c r="K169" s="43"/>
      <c r="L169" s="43"/>
      <c r="M169" s="43"/>
      <c r="N169" s="43"/>
      <c r="O169" s="43"/>
      <c r="P169" s="43"/>
      <c r="Q169" s="43"/>
      <c r="R169" s="44"/>
    </row>
    <row r="171" spans="1:18">
      <c r="A171" s="693" t="s">
        <v>0</v>
      </c>
      <c r="B171" s="695" t="s">
        <v>1</v>
      </c>
      <c r="C171" s="695" t="s">
        <v>2</v>
      </c>
      <c r="D171" s="697" t="s">
        <v>3</v>
      </c>
      <c r="E171" s="698"/>
      <c r="F171" s="698"/>
      <c r="G171" s="698"/>
      <c r="H171" s="698"/>
      <c r="I171" s="699" t="s">
        <v>4</v>
      </c>
      <c r="J171" s="700"/>
      <c r="K171" s="700"/>
      <c r="L171" s="700"/>
      <c r="M171" s="700"/>
      <c r="N171" s="698" t="s">
        <v>5</v>
      </c>
      <c r="O171" s="698"/>
      <c r="P171" s="698"/>
      <c r="Q171" s="698"/>
      <c r="R171" s="698"/>
    </row>
    <row r="172" spans="1:18">
      <c r="A172" s="694"/>
      <c r="B172" s="696"/>
      <c r="C172" s="696"/>
      <c r="D172" s="45" t="s">
        <v>6</v>
      </c>
      <c r="E172" s="46" t="s">
        <v>2</v>
      </c>
      <c r="F172" s="46" t="s">
        <v>7</v>
      </c>
      <c r="G172" s="46" t="s">
        <v>8</v>
      </c>
      <c r="H172" s="46" t="s">
        <v>9</v>
      </c>
      <c r="I172" s="46" t="s">
        <v>10</v>
      </c>
      <c r="J172" s="46" t="s">
        <v>2</v>
      </c>
      <c r="K172" s="46" t="s">
        <v>7</v>
      </c>
      <c r="L172" s="46" t="s">
        <v>8</v>
      </c>
      <c r="M172" s="47" t="s">
        <v>9</v>
      </c>
      <c r="N172" s="46" t="s">
        <v>10</v>
      </c>
      <c r="O172" s="46" t="s">
        <v>2</v>
      </c>
      <c r="P172" s="46" t="s">
        <v>7</v>
      </c>
      <c r="Q172" s="46" t="s">
        <v>8</v>
      </c>
      <c r="R172" s="46" t="s">
        <v>9</v>
      </c>
    </row>
    <row r="173" spans="1:18">
      <c r="A173" s="33" t="s">
        <v>23</v>
      </c>
      <c r="B173" s="73" t="s">
        <v>168</v>
      </c>
      <c r="C173" s="31"/>
      <c r="D173" s="31"/>
      <c r="E173" s="31"/>
      <c r="F173" s="31"/>
      <c r="G173" s="31"/>
      <c r="H173" s="31"/>
      <c r="I173" s="31"/>
      <c r="J173" s="31"/>
      <c r="K173" s="31"/>
      <c r="L173" s="31"/>
      <c r="M173" s="31"/>
      <c r="N173" s="31"/>
      <c r="O173" s="31"/>
      <c r="P173" s="31"/>
      <c r="Q173" s="31"/>
      <c r="R173" s="32"/>
    </row>
    <row r="174" spans="1:18">
      <c r="A174" s="34">
        <f>A155+1</f>
        <v>10</v>
      </c>
      <c r="B174" s="727" t="s">
        <v>169</v>
      </c>
      <c r="C174" s="6" t="s">
        <v>11</v>
      </c>
      <c r="D174" s="4"/>
      <c r="E174" s="6"/>
      <c r="F174" s="29"/>
      <c r="G174" s="26"/>
      <c r="H174" s="26"/>
      <c r="I174" s="6"/>
      <c r="J174" s="6"/>
      <c r="K174" s="29"/>
      <c r="L174" s="26"/>
      <c r="M174" s="26"/>
      <c r="N174" s="6"/>
      <c r="O174" s="6"/>
      <c r="P174" s="29"/>
      <c r="Q174" s="26"/>
      <c r="R174" s="26"/>
    </row>
    <row r="175" spans="1:18">
      <c r="A175" s="2"/>
      <c r="B175" s="728"/>
      <c r="C175" s="6"/>
      <c r="D175" s="4" t="s">
        <v>96</v>
      </c>
      <c r="E175" s="6" t="s">
        <v>81</v>
      </c>
      <c r="F175" s="29">
        <v>0.1</v>
      </c>
      <c r="G175" s="26">
        <f>sr</f>
        <v>1100</v>
      </c>
      <c r="H175" s="26">
        <f>F175*G175</f>
        <v>110</v>
      </c>
      <c r="I175" s="7" t="s">
        <v>170</v>
      </c>
      <c r="J175" s="8" t="s">
        <v>28</v>
      </c>
      <c r="K175" s="29">
        <v>5</v>
      </c>
      <c r="L175" s="28">
        <f>damite</f>
        <v>195.86</v>
      </c>
      <c r="M175" s="26">
        <f>K175*L175</f>
        <v>979.30000000000007</v>
      </c>
      <c r="N175" s="8" t="s">
        <v>128</v>
      </c>
      <c r="O175" s="6"/>
      <c r="P175" s="29"/>
      <c r="Q175" s="28"/>
      <c r="R175" s="28">
        <f>3%*H180</f>
        <v>105.3</v>
      </c>
    </row>
    <row r="176" spans="1:18">
      <c r="A176" s="2"/>
      <c r="B176" s="728"/>
      <c r="C176" s="6"/>
      <c r="D176" s="4" t="s">
        <v>97</v>
      </c>
      <c r="E176" s="6" t="s">
        <v>81</v>
      </c>
      <c r="F176" s="29">
        <v>4</v>
      </c>
      <c r="G176" s="26">
        <f>ur</f>
        <v>850</v>
      </c>
      <c r="H176" s="26">
        <f>F176*G176</f>
        <v>3400</v>
      </c>
      <c r="I176" s="7"/>
      <c r="J176" s="8"/>
      <c r="K176" s="29"/>
      <c r="L176" s="28"/>
      <c r="M176" s="26"/>
      <c r="N176" s="8"/>
      <c r="O176" s="6"/>
      <c r="P176" s="29"/>
      <c r="Q176" s="28"/>
      <c r="R176" s="28"/>
    </row>
    <row r="177" spans="1:18">
      <c r="A177" s="2"/>
      <c r="B177" s="728"/>
      <c r="C177" s="6"/>
      <c r="D177" s="4"/>
      <c r="E177" s="6"/>
      <c r="F177" s="29"/>
      <c r="G177" s="26"/>
      <c r="H177" s="26"/>
      <c r="I177" s="7"/>
      <c r="J177" s="8"/>
      <c r="K177" s="29"/>
      <c r="L177" s="28"/>
      <c r="M177" s="26"/>
      <c r="N177" s="8"/>
      <c r="O177" s="6"/>
      <c r="P177" s="29"/>
      <c r="Q177" s="28"/>
      <c r="R177" s="28"/>
    </row>
    <row r="178" spans="1:18">
      <c r="A178" s="2"/>
      <c r="B178" s="728"/>
      <c r="C178" s="6"/>
      <c r="D178" s="4"/>
      <c r="E178" s="6"/>
      <c r="F178" s="29"/>
      <c r="G178" s="26"/>
      <c r="H178" s="26"/>
      <c r="I178" s="7"/>
      <c r="J178" s="8"/>
      <c r="K178" s="29"/>
      <c r="L178" s="28"/>
      <c r="M178" s="28"/>
      <c r="N178" s="8"/>
      <c r="O178" s="6"/>
      <c r="P178" s="29"/>
      <c r="Q178" s="28"/>
      <c r="R178" s="28"/>
    </row>
    <row r="179" spans="1:18">
      <c r="A179" s="2"/>
      <c r="B179" s="84"/>
      <c r="C179" s="6"/>
      <c r="D179" s="4"/>
      <c r="E179" s="9"/>
      <c r="F179" s="30"/>
      <c r="G179" s="27"/>
      <c r="H179" s="27"/>
      <c r="I179" s="9"/>
      <c r="J179" s="10"/>
      <c r="K179" s="30"/>
      <c r="L179" s="28"/>
      <c r="M179" s="28"/>
      <c r="N179" s="8"/>
      <c r="O179" s="6"/>
      <c r="P179" s="30"/>
      <c r="Q179" s="28"/>
      <c r="R179" s="28"/>
    </row>
    <row r="180" spans="1:18">
      <c r="A180" s="2"/>
      <c r="B180" s="11"/>
      <c r="C180" s="6"/>
      <c r="D180" s="12"/>
      <c r="E180" s="59"/>
      <c r="F180" s="13"/>
      <c r="G180" s="13" t="s">
        <v>20</v>
      </c>
      <c r="H180" s="25">
        <f>SUM(H174:H179)</f>
        <v>3510</v>
      </c>
      <c r="I180" s="703"/>
      <c r="J180" s="703"/>
      <c r="K180" s="14"/>
      <c r="L180" s="13" t="s">
        <v>21</v>
      </c>
      <c r="M180" s="25">
        <f>SUM(M174:M179)</f>
        <v>979.30000000000007</v>
      </c>
      <c r="N180" s="3"/>
      <c r="O180" s="14"/>
      <c r="P180" s="14"/>
      <c r="Q180" s="13" t="s">
        <v>22</v>
      </c>
      <c r="R180" s="25">
        <f>SUM(R174:R179)</f>
        <v>105.3</v>
      </c>
    </row>
    <row r="181" spans="1:18">
      <c r="A181" s="2"/>
      <c r="B181" s="16" t="s">
        <v>13</v>
      </c>
      <c r="C181" s="14"/>
      <c r="D181" s="14"/>
      <c r="E181" s="14"/>
      <c r="F181" s="14"/>
      <c r="G181" s="13"/>
      <c r="H181" s="35">
        <f>M180+R180+H180</f>
        <v>4594.6000000000004</v>
      </c>
      <c r="I181" s="17"/>
      <c r="J181" s="14"/>
      <c r="K181" s="14"/>
      <c r="L181" s="13"/>
      <c r="M181" s="15"/>
      <c r="N181" s="14"/>
      <c r="O181" s="14"/>
      <c r="P181" s="14"/>
      <c r="Q181" s="14"/>
      <c r="R181" s="17"/>
    </row>
    <row r="182" spans="1:18">
      <c r="A182" s="2"/>
      <c r="B182" s="11" t="s">
        <v>25</v>
      </c>
      <c r="C182" s="4"/>
      <c r="D182" s="4"/>
      <c r="E182" s="4"/>
      <c r="F182" s="4"/>
      <c r="G182" s="18"/>
      <c r="H182" s="36">
        <v>0</v>
      </c>
      <c r="I182" s="20"/>
      <c r="J182" s="4" t="s">
        <v>26</v>
      </c>
      <c r="K182" s="4"/>
      <c r="L182" s="18"/>
      <c r="M182" s="19"/>
      <c r="N182" s="4"/>
      <c r="O182" s="4"/>
      <c r="P182" s="4"/>
      <c r="Q182" s="4"/>
      <c r="R182" s="20"/>
    </row>
    <row r="183" spans="1:18">
      <c r="A183" s="23"/>
      <c r="B183" s="11" t="s">
        <v>14</v>
      </c>
      <c r="C183" s="4"/>
      <c r="D183" s="4"/>
      <c r="E183" s="4"/>
      <c r="F183" s="4"/>
      <c r="G183" s="18"/>
      <c r="H183" s="36">
        <f>SUM(H181:H182)</f>
        <v>4594.6000000000004</v>
      </c>
      <c r="I183" s="20"/>
      <c r="J183" s="704"/>
      <c r="K183" s="705"/>
      <c r="L183" s="705"/>
      <c r="M183" s="705"/>
      <c r="N183" s="705"/>
      <c r="O183" s="705"/>
      <c r="P183" s="705"/>
      <c r="Q183" s="705"/>
      <c r="R183" s="706"/>
    </row>
    <row r="184" spans="1:18">
      <c r="A184" s="23"/>
      <c r="B184" s="11" t="s">
        <v>24</v>
      </c>
      <c r="C184" s="4"/>
      <c r="D184" s="4"/>
      <c r="E184" s="4"/>
      <c r="F184" s="4"/>
      <c r="G184" s="18"/>
      <c r="H184" s="36">
        <f>H183*15%</f>
        <v>689.19</v>
      </c>
      <c r="I184" s="20"/>
      <c r="J184" s="707"/>
      <c r="K184" s="708"/>
      <c r="L184" s="708"/>
      <c r="M184" s="708"/>
      <c r="N184" s="708"/>
      <c r="O184" s="708"/>
      <c r="P184" s="708"/>
      <c r="Q184" s="708"/>
      <c r="R184" s="709"/>
    </row>
    <row r="185" spans="1:18">
      <c r="A185" s="23"/>
      <c r="B185" s="11" t="s">
        <v>15</v>
      </c>
      <c r="C185" s="4"/>
      <c r="D185" s="4"/>
      <c r="E185" s="4"/>
      <c r="F185" s="4"/>
      <c r="G185" s="21" t="s">
        <v>16</v>
      </c>
      <c r="H185" s="37">
        <f>H184+H183</f>
        <v>5283.7900000000009</v>
      </c>
      <c r="I185" s="38" t="str">
        <f>CONCATENATE("per ",C174)</f>
        <v>per cum</v>
      </c>
      <c r="J185" s="707"/>
      <c r="K185" s="708"/>
      <c r="L185" s="708"/>
      <c r="M185" s="708"/>
      <c r="N185" s="708"/>
      <c r="O185" s="708"/>
      <c r="P185" s="708"/>
      <c r="Q185" s="708"/>
      <c r="R185" s="709"/>
    </row>
    <row r="186" spans="1:18">
      <c r="A186" s="23"/>
      <c r="B186" s="11" t="s">
        <v>18</v>
      </c>
      <c r="C186" s="4" t="s">
        <v>19</v>
      </c>
      <c r="D186" s="4"/>
      <c r="E186" s="4"/>
      <c r="F186" s="4"/>
      <c r="G186" s="21" t="s">
        <v>16</v>
      </c>
      <c r="H186" s="37">
        <f>CEILING(H185,0.5)</f>
        <v>5284</v>
      </c>
      <c r="I186" s="38" t="str">
        <f>CONCATENATE("per ",C174)</f>
        <v>per cum</v>
      </c>
      <c r="J186" s="707"/>
      <c r="K186" s="708"/>
      <c r="L186" s="708"/>
      <c r="M186" s="708"/>
      <c r="N186" s="708"/>
      <c r="O186" s="708"/>
      <c r="P186" s="708"/>
      <c r="Q186" s="708"/>
      <c r="R186" s="709"/>
    </row>
    <row r="187" spans="1:18">
      <c r="A187" s="23"/>
      <c r="B187" s="11"/>
      <c r="C187" s="4"/>
      <c r="D187" s="4"/>
      <c r="E187" s="4"/>
      <c r="F187" s="4"/>
      <c r="G187" s="24" t="s">
        <v>17</v>
      </c>
      <c r="H187" s="37">
        <f>H186/exr</f>
        <v>40.646153846153844</v>
      </c>
      <c r="I187" s="38" t="str">
        <f>CONCATENATE("per ",C174)</f>
        <v>per cum</v>
      </c>
      <c r="J187" s="710"/>
      <c r="K187" s="711"/>
      <c r="L187" s="711"/>
      <c r="M187" s="711"/>
      <c r="N187" s="711"/>
      <c r="O187" s="711"/>
      <c r="P187" s="711"/>
      <c r="Q187" s="711"/>
      <c r="R187" s="712"/>
    </row>
    <row r="188" spans="1:18">
      <c r="A188" s="39"/>
      <c r="B188" s="40"/>
      <c r="C188" s="41"/>
      <c r="D188" s="41"/>
      <c r="E188" s="41"/>
      <c r="F188" s="41"/>
      <c r="G188" s="149" t="s">
        <v>460</v>
      </c>
      <c r="H188" s="150">
        <f>CEILING(SUM(M175,R175)/H181,0.0025)</f>
        <v>0.23750000000000002</v>
      </c>
      <c r="I188" s="42"/>
      <c r="J188" s="43"/>
      <c r="K188" s="43"/>
      <c r="L188" s="43"/>
      <c r="M188" s="43"/>
      <c r="N188" s="43"/>
      <c r="O188" s="43"/>
      <c r="P188" s="43"/>
      <c r="Q188" s="43"/>
      <c r="R188" s="44"/>
    </row>
    <row r="190" spans="1:18">
      <c r="A190" s="693" t="s">
        <v>0</v>
      </c>
      <c r="B190" s="695" t="s">
        <v>1</v>
      </c>
      <c r="C190" s="695" t="s">
        <v>2</v>
      </c>
      <c r="D190" s="697" t="s">
        <v>3</v>
      </c>
      <c r="E190" s="698"/>
      <c r="F190" s="698"/>
      <c r="G190" s="698"/>
      <c r="H190" s="698"/>
      <c r="I190" s="699" t="s">
        <v>4</v>
      </c>
      <c r="J190" s="700"/>
      <c r="K190" s="700"/>
      <c r="L190" s="700"/>
      <c r="M190" s="700"/>
      <c r="N190" s="698" t="s">
        <v>5</v>
      </c>
      <c r="O190" s="698"/>
      <c r="P190" s="698"/>
      <c r="Q190" s="698"/>
      <c r="R190" s="698"/>
    </row>
    <row r="191" spans="1:18">
      <c r="A191" s="694"/>
      <c r="B191" s="696"/>
      <c r="C191" s="696"/>
      <c r="D191" s="45" t="s">
        <v>6</v>
      </c>
      <c r="E191" s="46" t="s">
        <v>2</v>
      </c>
      <c r="F191" s="46" t="s">
        <v>7</v>
      </c>
      <c r="G191" s="46" t="s">
        <v>8</v>
      </c>
      <c r="H191" s="46" t="s">
        <v>9</v>
      </c>
      <c r="I191" s="46" t="s">
        <v>10</v>
      </c>
      <c r="J191" s="46" t="s">
        <v>2</v>
      </c>
      <c r="K191" s="46" t="s">
        <v>7</v>
      </c>
      <c r="L191" s="46" t="s">
        <v>8</v>
      </c>
      <c r="M191" s="47" t="s">
        <v>9</v>
      </c>
      <c r="N191" s="46" t="s">
        <v>10</v>
      </c>
      <c r="O191" s="46" t="s">
        <v>2</v>
      </c>
      <c r="P191" s="46" t="s">
        <v>7</v>
      </c>
      <c r="Q191" s="46" t="s">
        <v>8</v>
      </c>
      <c r="R191" s="46" t="s">
        <v>9</v>
      </c>
    </row>
    <row r="192" spans="1:18">
      <c r="A192" s="33" t="s">
        <v>23</v>
      </c>
      <c r="B192" s="73" t="s">
        <v>171</v>
      </c>
      <c r="C192" s="31"/>
      <c r="D192" s="31"/>
      <c r="E192" s="31"/>
      <c r="F192" s="31"/>
      <c r="G192" s="31"/>
      <c r="H192" s="31"/>
      <c r="I192" s="31"/>
      <c r="J192" s="31"/>
      <c r="K192" s="31"/>
      <c r="L192" s="31"/>
      <c r="M192" s="31"/>
      <c r="N192" s="31"/>
      <c r="O192" s="31"/>
      <c r="P192" s="31"/>
      <c r="Q192" s="31"/>
      <c r="R192" s="32"/>
    </row>
    <row r="193" spans="1:18">
      <c r="A193" s="34">
        <f>A174+1</f>
        <v>11</v>
      </c>
      <c r="B193" s="727" t="s">
        <v>172</v>
      </c>
      <c r="C193" s="6" t="s">
        <v>11</v>
      </c>
      <c r="D193" s="4"/>
      <c r="E193" s="6"/>
      <c r="F193" s="29"/>
      <c r="G193" s="26"/>
      <c r="H193" s="26"/>
      <c r="I193" s="6"/>
      <c r="J193" s="6"/>
      <c r="K193" s="29"/>
      <c r="L193" s="26"/>
      <c r="M193" s="26"/>
      <c r="N193" s="6"/>
      <c r="O193" s="6"/>
      <c r="P193" s="29"/>
      <c r="Q193" s="26"/>
      <c r="R193" s="26"/>
    </row>
    <row r="194" spans="1:18">
      <c r="A194" s="2"/>
      <c r="B194" s="728"/>
      <c r="C194" s="6"/>
      <c r="D194" s="4" t="s">
        <v>96</v>
      </c>
      <c r="E194" s="6" t="s">
        <v>81</v>
      </c>
      <c r="F194" s="29">
        <v>0.1</v>
      </c>
      <c r="G194" s="26">
        <f>sr</f>
        <v>1100</v>
      </c>
      <c r="H194" s="26">
        <f>F194*G194</f>
        <v>110</v>
      </c>
      <c r="I194" s="7" t="s">
        <v>170</v>
      </c>
      <c r="J194" s="8" t="s">
        <v>28</v>
      </c>
      <c r="K194" s="29">
        <v>5</v>
      </c>
      <c r="L194" s="28">
        <f>damite</f>
        <v>195.86</v>
      </c>
      <c r="M194" s="26">
        <f>K194*L194</f>
        <v>979.30000000000007</v>
      </c>
      <c r="N194" s="8" t="s">
        <v>165</v>
      </c>
      <c r="O194" s="6" t="s">
        <v>101</v>
      </c>
      <c r="P194" s="29">
        <v>0.34</v>
      </c>
      <c r="Q194" s="28">
        <f>compressor</f>
        <v>270.39999999999998</v>
      </c>
      <c r="R194" s="26">
        <f>P194*Q194</f>
        <v>91.935999999999993</v>
      </c>
    </row>
    <row r="195" spans="1:18">
      <c r="A195" s="2"/>
      <c r="B195" s="728"/>
      <c r="C195" s="6"/>
      <c r="D195" s="4" t="s">
        <v>97</v>
      </c>
      <c r="E195" s="6" t="s">
        <v>81</v>
      </c>
      <c r="F195" s="29">
        <v>1.5</v>
      </c>
      <c r="G195" s="26">
        <f>ur</f>
        <v>850</v>
      </c>
      <c r="H195" s="26">
        <f>F195*G195</f>
        <v>1275</v>
      </c>
      <c r="I195" s="7"/>
      <c r="J195" s="8"/>
      <c r="K195" s="29"/>
      <c r="L195" s="28"/>
      <c r="M195" s="26"/>
      <c r="N195" s="8"/>
      <c r="O195" s="6"/>
      <c r="P195" s="29"/>
      <c r="Q195" s="28"/>
      <c r="R195" s="28"/>
    </row>
    <row r="196" spans="1:18">
      <c r="A196" s="2"/>
      <c r="B196" s="728"/>
      <c r="C196" s="6"/>
      <c r="D196" s="4"/>
      <c r="E196" s="6"/>
      <c r="F196" s="29"/>
      <c r="G196" s="26"/>
      <c r="H196" s="26"/>
      <c r="I196" s="7"/>
      <c r="J196" s="8"/>
      <c r="K196" s="29"/>
      <c r="L196" s="28"/>
      <c r="M196" s="26"/>
      <c r="N196" s="8"/>
      <c r="O196" s="6"/>
      <c r="P196" s="29"/>
      <c r="Q196" s="28"/>
      <c r="R196" s="28"/>
    </row>
    <row r="197" spans="1:18">
      <c r="A197" s="2"/>
      <c r="B197" s="728"/>
      <c r="C197" s="6"/>
      <c r="D197" s="4"/>
      <c r="E197" s="6"/>
      <c r="F197" s="29"/>
      <c r="G197" s="26"/>
      <c r="H197" s="26"/>
      <c r="I197" s="7"/>
      <c r="J197" s="8"/>
      <c r="K197" s="29"/>
      <c r="L197" s="28"/>
      <c r="M197" s="28"/>
      <c r="N197" s="8"/>
      <c r="O197" s="6"/>
      <c r="P197" s="29"/>
      <c r="Q197" s="28"/>
      <c r="R197" s="28"/>
    </row>
    <row r="198" spans="1:18">
      <c r="A198" s="2"/>
      <c r="B198" s="84"/>
      <c r="C198" s="6"/>
      <c r="D198" s="4"/>
      <c r="E198" s="9"/>
      <c r="F198" s="30"/>
      <c r="G198" s="27"/>
      <c r="H198" s="27"/>
      <c r="I198" s="9"/>
      <c r="J198" s="10"/>
      <c r="K198" s="30"/>
      <c r="L198" s="28"/>
      <c r="M198" s="28"/>
      <c r="N198" s="8"/>
      <c r="O198" s="6"/>
      <c r="P198" s="30"/>
      <c r="Q198" s="28"/>
      <c r="R198" s="28"/>
    </row>
    <row r="199" spans="1:18">
      <c r="A199" s="2"/>
      <c r="B199" s="11"/>
      <c r="C199" s="6"/>
      <c r="D199" s="12"/>
      <c r="E199" s="59"/>
      <c r="F199" s="13"/>
      <c r="G199" s="13" t="s">
        <v>20</v>
      </c>
      <c r="H199" s="25">
        <f>SUM(H193:H198)</f>
        <v>1385</v>
      </c>
      <c r="I199" s="703"/>
      <c r="J199" s="703"/>
      <c r="K199" s="14"/>
      <c r="L199" s="13" t="s">
        <v>21</v>
      </c>
      <c r="M199" s="25">
        <f>SUM(M193:M198)</f>
        <v>979.30000000000007</v>
      </c>
      <c r="N199" s="3"/>
      <c r="O199" s="14"/>
      <c r="P199" s="14"/>
      <c r="Q199" s="13" t="s">
        <v>22</v>
      </c>
      <c r="R199" s="25">
        <f>SUM(R193:R198)</f>
        <v>91.935999999999993</v>
      </c>
    </row>
    <row r="200" spans="1:18">
      <c r="A200" s="2"/>
      <c r="B200" s="16" t="s">
        <v>13</v>
      </c>
      <c r="C200" s="14"/>
      <c r="D200" s="14"/>
      <c r="E200" s="14"/>
      <c r="F200" s="14"/>
      <c r="G200" s="13"/>
      <c r="H200" s="35">
        <f>M199+R199+H199</f>
        <v>2456.2359999999999</v>
      </c>
      <c r="I200" s="17"/>
      <c r="J200" s="14"/>
      <c r="K200" s="14"/>
      <c r="L200" s="13"/>
      <c r="M200" s="15"/>
      <c r="N200" s="14"/>
      <c r="O200" s="14"/>
      <c r="P200" s="14"/>
      <c r="Q200" s="14"/>
      <c r="R200" s="17"/>
    </row>
    <row r="201" spans="1:18">
      <c r="A201" s="2"/>
      <c r="B201" s="11" t="s">
        <v>25</v>
      </c>
      <c r="C201" s="4"/>
      <c r="D201" s="4"/>
      <c r="E201" s="4"/>
      <c r="F201" s="4"/>
      <c r="G201" s="18"/>
      <c r="H201" s="36">
        <v>0</v>
      </c>
      <c r="I201" s="20"/>
      <c r="J201" s="4" t="s">
        <v>26</v>
      </c>
      <c r="K201" s="4"/>
      <c r="L201" s="18"/>
      <c r="M201" s="19"/>
      <c r="N201" s="4"/>
      <c r="O201" s="4"/>
      <c r="P201" s="4"/>
      <c r="Q201" s="4"/>
      <c r="R201" s="20"/>
    </row>
    <row r="202" spans="1:18">
      <c r="A202" s="23"/>
      <c r="B202" s="11" t="s">
        <v>14</v>
      </c>
      <c r="C202" s="4"/>
      <c r="D202" s="4"/>
      <c r="E202" s="4"/>
      <c r="F202" s="4"/>
      <c r="G202" s="18"/>
      <c r="H202" s="36">
        <f>SUM(H200:H201)</f>
        <v>2456.2359999999999</v>
      </c>
      <c r="I202" s="20"/>
      <c r="J202" s="704"/>
      <c r="K202" s="705"/>
      <c r="L202" s="705"/>
      <c r="M202" s="705"/>
      <c r="N202" s="705"/>
      <c r="O202" s="705"/>
      <c r="P202" s="705"/>
      <c r="Q202" s="705"/>
      <c r="R202" s="706"/>
    </row>
    <row r="203" spans="1:18">
      <c r="A203" s="23"/>
      <c r="B203" s="11" t="s">
        <v>24</v>
      </c>
      <c r="C203" s="4"/>
      <c r="D203" s="4"/>
      <c r="E203" s="4"/>
      <c r="F203" s="4"/>
      <c r="G203" s="18"/>
      <c r="H203" s="36">
        <f>H202*15%</f>
        <v>368.43539999999996</v>
      </c>
      <c r="I203" s="20"/>
      <c r="J203" s="707"/>
      <c r="K203" s="708"/>
      <c r="L203" s="708"/>
      <c r="M203" s="708"/>
      <c r="N203" s="708"/>
      <c r="O203" s="708"/>
      <c r="P203" s="708"/>
      <c r="Q203" s="708"/>
      <c r="R203" s="709"/>
    </row>
    <row r="204" spans="1:18">
      <c r="A204" s="23"/>
      <c r="B204" s="11" t="s">
        <v>15</v>
      </c>
      <c r="C204" s="4"/>
      <c r="D204" s="4"/>
      <c r="E204" s="4"/>
      <c r="F204" s="4"/>
      <c r="G204" s="21" t="s">
        <v>16</v>
      </c>
      <c r="H204" s="37">
        <f>H203+H202</f>
        <v>2824.6713999999997</v>
      </c>
      <c r="I204" s="38" t="str">
        <f>CONCATENATE("per ",C193)</f>
        <v>per cum</v>
      </c>
      <c r="J204" s="707"/>
      <c r="K204" s="708"/>
      <c r="L204" s="708"/>
      <c r="M204" s="708"/>
      <c r="N204" s="708"/>
      <c r="O204" s="708"/>
      <c r="P204" s="708"/>
      <c r="Q204" s="708"/>
      <c r="R204" s="709"/>
    </row>
    <row r="205" spans="1:18">
      <c r="A205" s="23"/>
      <c r="B205" s="11" t="s">
        <v>18</v>
      </c>
      <c r="C205" s="4" t="s">
        <v>19</v>
      </c>
      <c r="D205" s="4"/>
      <c r="E205" s="4"/>
      <c r="F205" s="4"/>
      <c r="G205" s="21" t="s">
        <v>16</v>
      </c>
      <c r="H205" s="37">
        <f>CEILING(H204,0.5)</f>
        <v>2825</v>
      </c>
      <c r="I205" s="38" t="str">
        <f>CONCATENATE("per ",C193)</f>
        <v>per cum</v>
      </c>
      <c r="J205" s="707"/>
      <c r="K205" s="708"/>
      <c r="L205" s="708"/>
      <c r="M205" s="708"/>
      <c r="N205" s="708"/>
      <c r="O205" s="708"/>
      <c r="P205" s="708"/>
      <c r="Q205" s="708"/>
      <c r="R205" s="709"/>
    </row>
    <row r="206" spans="1:18">
      <c r="A206" s="23"/>
      <c r="B206" s="11"/>
      <c r="C206" s="4"/>
      <c r="D206" s="4"/>
      <c r="E206" s="4"/>
      <c r="F206" s="4"/>
      <c r="G206" s="24" t="s">
        <v>17</v>
      </c>
      <c r="H206" s="37">
        <f>H205/exr</f>
        <v>21.73076923076923</v>
      </c>
      <c r="I206" s="38" t="str">
        <f>CONCATENATE("per ",C193)</f>
        <v>per cum</v>
      </c>
      <c r="J206" s="710"/>
      <c r="K206" s="711"/>
      <c r="L206" s="711"/>
      <c r="M206" s="711"/>
      <c r="N206" s="711"/>
      <c r="O206" s="711"/>
      <c r="P206" s="711"/>
      <c r="Q206" s="711"/>
      <c r="R206" s="712"/>
    </row>
    <row r="207" spans="1:18">
      <c r="A207" s="39"/>
      <c r="B207" s="40"/>
      <c r="C207" s="41"/>
      <c r="D207" s="41"/>
      <c r="E207" s="41"/>
      <c r="F207" s="41"/>
      <c r="G207" s="149" t="s">
        <v>460</v>
      </c>
      <c r="H207" s="150">
        <f>CEILING(SUM(M194,R194)/H200,0.0025)</f>
        <v>0.4375</v>
      </c>
      <c r="I207" s="42"/>
      <c r="J207" s="43"/>
      <c r="K207" s="43"/>
      <c r="L207" s="43"/>
      <c r="M207" s="43"/>
      <c r="N207" s="43"/>
      <c r="O207" s="43"/>
      <c r="P207" s="43"/>
      <c r="Q207" s="43"/>
      <c r="R207" s="44"/>
    </row>
    <row r="209" spans="1:18">
      <c r="A209" s="693" t="s">
        <v>0</v>
      </c>
      <c r="B209" s="695" t="s">
        <v>1</v>
      </c>
      <c r="C209" s="695" t="s">
        <v>2</v>
      </c>
      <c r="D209" s="697" t="s">
        <v>3</v>
      </c>
      <c r="E209" s="698"/>
      <c r="F209" s="698"/>
      <c r="G209" s="698"/>
      <c r="H209" s="698"/>
      <c r="I209" s="699" t="s">
        <v>4</v>
      </c>
      <c r="J209" s="700"/>
      <c r="K209" s="700"/>
      <c r="L209" s="700"/>
      <c r="M209" s="700"/>
      <c r="N209" s="698" t="s">
        <v>5</v>
      </c>
      <c r="O209" s="698"/>
      <c r="P209" s="698"/>
      <c r="Q209" s="698"/>
      <c r="R209" s="698"/>
    </row>
    <row r="210" spans="1:18">
      <c r="A210" s="694"/>
      <c r="B210" s="696"/>
      <c r="C210" s="696"/>
      <c r="D210" s="45" t="s">
        <v>6</v>
      </c>
      <c r="E210" s="46" t="s">
        <v>2</v>
      </c>
      <c r="F210" s="46" t="s">
        <v>7</v>
      </c>
      <c r="G210" s="46" t="s">
        <v>8</v>
      </c>
      <c r="H210" s="46" t="s">
        <v>9</v>
      </c>
      <c r="I210" s="46" t="s">
        <v>10</v>
      </c>
      <c r="J210" s="46" t="s">
        <v>2</v>
      </c>
      <c r="K210" s="46" t="s">
        <v>7</v>
      </c>
      <c r="L210" s="46" t="s">
        <v>8</v>
      </c>
      <c r="M210" s="47" t="s">
        <v>9</v>
      </c>
      <c r="N210" s="46" t="s">
        <v>10</v>
      </c>
      <c r="O210" s="46" t="s">
        <v>2</v>
      </c>
      <c r="P210" s="46" t="s">
        <v>7</v>
      </c>
      <c r="Q210" s="46" t="s">
        <v>8</v>
      </c>
      <c r="R210" s="46" t="s">
        <v>9</v>
      </c>
    </row>
    <row r="211" spans="1:18">
      <c r="A211" s="33" t="s">
        <v>23</v>
      </c>
      <c r="B211" s="73" t="s">
        <v>184</v>
      </c>
      <c r="C211" s="31"/>
      <c r="D211" s="31"/>
      <c r="E211" s="31"/>
      <c r="F211" s="31"/>
      <c r="G211" s="31"/>
      <c r="H211" s="31"/>
      <c r="I211" s="31"/>
      <c r="J211" s="31"/>
      <c r="K211" s="31"/>
      <c r="L211" s="31"/>
      <c r="M211" s="31"/>
      <c r="N211" s="31"/>
      <c r="O211" s="31"/>
      <c r="P211" s="31"/>
      <c r="Q211" s="31"/>
      <c r="R211" s="32"/>
    </row>
    <row r="212" spans="1:18">
      <c r="A212" s="34">
        <f>A193+1</f>
        <v>12</v>
      </c>
      <c r="B212" s="715" t="s">
        <v>560</v>
      </c>
      <c r="C212" s="8" t="s">
        <v>11</v>
      </c>
      <c r="D212" s="87"/>
      <c r="E212" s="8"/>
      <c r="F212" s="88"/>
      <c r="G212" s="28"/>
      <c r="H212" s="28"/>
      <c r="I212" s="8"/>
      <c r="J212" s="8"/>
      <c r="K212" s="88"/>
      <c r="L212" s="28"/>
      <c r="M212" s="28"/>
      <c r="N212" s="8"/>
      <c r="O212" s="8"/>
      <c r="P212" s="88"/>
      <c r="Q212" s="28"/>
      <c r="R212" s="28"/>
    </row>
    <row r="213" spans="1:18">
      <c r="A213" s="2"/>
      <c r="B213" s="716"/>
      <c r="C213" s="8"/>
      <c r="D213" s="87" t="s">
        <v>96</v>
      </c>
      <c r="E213" s="8" t="s">
        <v>81</v>
      </c>
      <c r="F213" s="88">
        <v>0.1</v>
      </c>
      <c r="G213" s="28">
        <f>sr</f>
        <v>1100</v>
      </c>
      <c r="H213" s="28">
        <f>F213*G213</f>
        <v>110</v>
      </c>
      <c r="I213" s="89" t="s">
        <v>181</v>
      </c>
      <c r="J213" s="8" t="s">
        <v>125</v>
      </c>
      <c r="K213" s="88">
        <v>0.02</v>
      </c>
      <c r="L213" s="28">
        <f>planks</f>
        <v>34635.06</v>
      </c>
      <c r="M213" s="28">
        <f>K213*L213</f>
        <v>692.70119999999997</v>
      </c>
      <c r="N213" s="8"/>
      <c r="O213" s="8"/>
      <c r="P213" s="88"/>
      <c r="Q213" s="28"/>
      <c r="R213" s="28"/>
    </row>
    <row r="214" spans="1:18">
      <c r="A214" s="2"/>
      <c r="B214" s="716"/>
      <c r="C214" s="8"/>
      <c r="D214" s="87" t="s">
        <v>97</v>
      </c>
      <c r="E214" s="8" t="s">
        <v>81</v>
      </c>
      <c r="F214" s="88">
        <v>0.1</v>
      </c>
      <c r="G214" s="28">
        <f>ur</f>
        <v>850</v>
      </c>
      <c r="H214" s="28">
        <f>F214*G214</f>
        <v>85</v>
      </c>
      <c r="I214" s="89" t="s">
        <v>182</v>
      </c>
      <c r="J214" s="8" t="s">
        <v>28</v>
      </c>
      <c r="K214" s="88">
        <v>0.12</v>
      </c>
      <c r="L214" s="28">
        <f>nails/1000</f>
        <v>124.14419000000001</v>
      </c>
      <c r="M214" s="28">
        <f>K214*L214</f>
        <v>14.8973028</v>
      </c>
      <c r="N214" s="8"/>
      <c r="O214" s="8"/>
      <c r="P214" s="88"/>
      <c r="Q214" s="28"/>
      <c r="R214" s="28"/>
    </row>
    <row r="215" spans="1:18">
      <c r="A215" s="2"/>
      <c r="B215" s="716"/>
      <c r="C215" s="8"/>
      <c r="D215" s="87"/>
      <c r="E215" s="8"/>
      <c r="F215" s="88"/>
      <c r="G215" s="28"/>
      <c r="H215" s="28"/>
      <c r="I215" s="89"/>
      <c r="J215" s="8"/>
      <c r="K215" s="88"/>
      <c r="L215" s="28"/>
      <c r="M215" s="28"/>
      <c r="N215" s="8"/>
      <c r="O215" s="8"/>
      <c r="P215" s="88"/>
      <c r="Q215" s="28"/>
      <c r="R215" s="28"/>
    </row>
    <row r="216" spans="1:18">
      <c r="A216" s="2"/>
      <c r="B216" s="716"/>
      <c r="C216" s="8"/>
      <c r="D216" s="87"/>
      <c r="E216" s="8"/>
      <c r="F216" s="88"/>
      <c r="G216" s="28"/>
      <c r="H216" s="28"/>
      <c r="I216" s="89"/>
      <c r="J216" s="8"/>
      <c r="K216" s="88"/>
      <c r="L216" s="28"/>
      <c r="M216" s="28"/>
      <c r="N216" s="8"/>
      <c r="O216" s="8"/>
      <c r="P216" s="88"/>
      <c r="Q216" s="28"/>
      <c r="R216" s="28"/>
    </row>
    <row r="217" spans="1:18">
      <c r="A217" s="2"/>
      <c r="B217" s="716"/>
      <c r="C217" s="8"/>
      <c r="D217" s="87"/>
      <c r="E217" s="8"/>
      <c r="F217" s="88"/>
      <c r="G217" s="28"/>
      <c r="H217" s="28"/>
      <c r="I217" s="89"/>
      <c r="J217" s="8"/>
      <c r="K217" s="88"/>
      <c r="L217" s="28"/>
      <c r="M217" s="28"/>
      <c r="N217" s="8"/>
      <c r="O217" s="8"/>
      <c r="P217" s="88"/>
      <c r="Q217" s="28"/>
      <c r="R217" s="28"/>
    </row>
    <row r="218" spans="1:18">
      <c r="A218" s="2"/>
      <c r="B218" s="716"/>
      <c r="C218" s="8"/>
      <c r="D218" s="87"/>
      <c r="E218" s="8"/>
      <c r="F218" s="88"/>
      <c r="G218" s="28"/>
      <c r="H218" s="28"/>
      <c r="I218" s="89"/>
      <c r="J218" s="8"/>
      <c r="K218" s="88"/>
      <c r="L218" s="28"/>
      <c r="M218" s="28"/>
      <c r="N218" s="8"/>
      <c r="O218" s="8"/>
      <c r="P218" s="88"/>
      <c r="Q218" s="28"/>
      <c r="R218" s="28"/>
    </row>
    <row r="219" spans="1:18">
      <c r="A219" s="2"/>
      <c r="B219" s="90"/>
      <c r="C219" s="8"/>
      <c r="D219" s="87"/>
      <c r="E219" s="10"/>
      <c r="F219" s="91"/>
      <c r="G219" s="92"/>
      <c r="H219" s="92"/>
      <c r="I219" s="10"/>
      <c r="J219" s="10"/>
      <c r="K219" s="91"/>
      <c r="L219" s="28"/>
      <c r="M219" s="28"/>
      <c r="N219" s="8"/>
      <c r="O219" s="8"/>
      <c r="P219" s="91"/>
      <c r="Q219" s="28"/>
      <c r="R219" s="28"/>
    </row>
    <row r="220" spans="1:18">
      <c r="A220" s="2"/>
      <c r="B220" s="2"/>
      <c r="C220" s="8"/>
      <c r="D220" s="93"/>
      <c r="E220" s="94"/>
      <c r="F220" s="95"/>
      <c r="G220" s="95" t="s">
        <v>20</v>
      </c>
      <c r="H220" s="96">
        <f>SUM(H212:H219)</f>
        <v>195</v>
      </c>
      <c r="I220" s="717"/>
      <c r="J220" s="717"/>
      <c r="K220" s="97"/>
      <c r="L220" s="95" t="s">
        <v>21</v>
      </c>
      <c r="M220" s="96">
        <f>SUM(M212:M219)</f>
        <v>707.59850280000001</v>
      </c>
      <c r="N220" s="98"/>
      <c r="O220" s="97"/>
      <c r="P220" s="97"/>
      <c r="Q220" s="95" t="s">
        <v>22</v>
      </c>
      <c r="R220" s="96">
        <f>SUM(R212:R219)</f>
        <v>0</v>
      </c>
    </row>
    <row r="221" spans="1:18">
      <c r="A221" s="2"/>
      <c r="B221" s="99" t="s">
        <v>13</v>
      </c>
      <c r="C221" s="97"/>
      <c r="D221" s="97"/>
      <c r="E221" s="97"/>
      <c r="F221" s="97"/>
      <c r="G221" s="95"/>
      <c r="H221" s="100">
        <f>M220+R220+H220</f>
        <v>902.59850280000001</v>
      </c>
      <c r="I221" s="101"/>
      <c r="J221" s="97"/>
      <c r="K221" s="97"/>
      <c r="L221" s="95"/>
      <c r="M221" s="102"/>
      <c r="N221" s="97"/>
      <c r="O221" s="97"/>
      <c r="P221" s="97"/>
      <c r="Q221" s="97"/>
      <c r="R221" s="101"/>
    </row>
    <row r="222" spans="1:18">
      <c r="A222" s="2"/>
      <c r="B222" s="2" t="s">
        <v>25</v>
      </c>
      <c r="C222" s="87"/>
      <c r="D222" s="87"/>
      <c r="E222" s="87"/>
      <c r="F222" s="87"/>
      <c r="G222" s="103"/>
      <c r="H222" s="104">
        <v>0</v>
      </c>
      <c r="I222" s="105"/>
      <c r="J222" s="87" t="s">
        <v>26</v>
      </c>
      <c r="K222" s="87"/>
      <c r="L222" s="103"/>
      <c r="M222" s="106"/>
      <c r="N222" s="87"/>
      <c r="O222" s="87"/>
      <c r="P222" s="87"/>
      <c r="Q222" s="87"/>
      <c r="R222" s="105"/>
    </row>
    <row r="223" spans="1:18">
      <c r="A223" s="23"/>
      <c r="B223" s="2" t="s">
        <v>14</v>
      </c>
      <c r="C223" s="87"/>
      <c r="D223" s="87"/>
      <c r="E223" s="87"/>
      <c r="F223" s="87"/>
      <c r="G223" s="103"/>
      <c r="H223" s="104">
        <f>SUM(H221:H222)</f>
        <v>902.59850280000001</v>
      </c>
      <c r="I223" s="105"/>
      <c r="J223" s="718"/>
      <c r="K223" s="719"/>
      <c r="L223" s="719"/>
      <c r="M223" s="719"/>
      <c r="N223" s="719"/>
      <c r="O223" s="719"/>
      <c r="P223" s="719"/>
      <c r="Q223" s="719"/>
      <c r="R223" s="720"/>
    </row>
    <row r="224" spans="1:18">
      <c r="A224" s="23"/>
      <c r="B224" s="2" t="s">
        <v>24</v>
      </c>
      <c r="C224" s="87"/>
      <c r="D224" s="87"/>
      <c r="E224" s="87"/>
      <c r="F224" s="87"/>
      <c r="G224" s="103"/>
      <c r="H224" s="144" t="s">
        <v>417</v>
      </c>
      <c r="I224" s="105"/>
      <c r="J224" s="721"/>
      <c r="K224" s="722"/>
      <c r="L224" s="722"/>
      <c r="M224" s="722"/>
      <c r="N224" s="722"/>
      <c r="O224" s="722"/>
      <c r="P224" s="722"/>
      <c r="Q224" s="722"/>
      <c r="R224" s="723"/>
    </row>
    <row r="225" spans="1:18">
      <c r="A225" s="23"/>
      <c r="B225" s="2" t="s">
        <v>15</v>
      </c>
      <c r="C225" s="87"/>
      <c r="D225" s="87"/>
      <c r="E225" s="87"/>
      <c r="F225" s="87"/>
      <c r="G225" s="107" t="s">
        <v>16</v>
      </c>
      <c r="H225" s="37">
        <f>H223</f>
        <v>902.59850280000001</v>
      </c>
      <c r="I225" s="108" t="str">
        <f>CONCATENATE("per ",C212)</f>
        <v>per cum</v>
      </c>
      <c r="J225" s="721"/>
      <c r="K225" s="722"/>
      <c r="L225" s="722"/>
      <c r="M225" s="722"/>
      <c r="N225" s="722"/>
      <c r="O225" s="722"/>
      <c r="P225" s="722"/>
      <c r="Q225" s="722"/>
      <c r="R225" s="723"/>
    </row>
    <row r="226" spans="1:18">
      <c r="A226" s="23"/>
      <c r="B226" s="2" t="s">
        <v>18</v>
      </c>
      <c r="C226" s="87" t="s">
        <v>19</v>
      </c>
      <c r="D226" s="87"/>
      <c r="E226" s="87"/>
      <c r="F226" s="87"/>
      <c r="G226" s="107" t="s">
        <v>16</v>
      </c>
      <c r="H226" s="37">
        <f>CEILING(H225,0.5)</f>
        <v>903</v>
      </c>
      <c r="I226" s="108" t="str">
        <f>CONCATENATE("per ",C212)</f>
        <v>per cum</v>
      </c>
      <c r="J226" s="721"/>
      <c r="K226" s="722"/>
      <c r="L226" s="722"/>
      <c r="M226" s="722"/>
      <c r="N226" s="722"/>
      <c r="O226" s="722"/>
      <c r="P226" s="722"/>
      <c r="Q226" s="722"/>
      <c r="R226" s="723"/>
    </row>
    <row r="227" spans="1:18">
      <c r="A227" s="23"/>
      <c r="B227" s="2"/>
      <c r="C227" s="87"/>
      <c r="D227" s="87"/>
      <c r="E227" s="87"/>
      <c r="F227" s="87"/>
      <c r="G227" s="109" t="s">
        <v>17</v>
      </c>
      <c r="H227" s="37">
        <f>H226/exr</f>
        <v>6.9461538461538463</v>
      </c>
      <c r="I227" s="108" t="str">
        <f>CONCATENATE("per ",C212)</f>
        <v>per cum</v>
      </c>
      <c r="J227" s="724"/>
      <c r="K227" s="725"/>
      <c r="L227" s="725"/>
      <c r="M227" s="725"/>
      <c r="N227" s="725"/>
      <c r="O227" s="725"/>
      <c r="P227" s="725"/>
      <c r="Q227" s="725"/>
      <c r="R227" s="726"/>
    </row>
    <row r="228" spans="1:18">
      <c r="A228" s="39"/>
      <c r="B228" s="40"/>
      <c r="C228" s="41"/>
      <c r="D228" s="41"/>
      <c r="E228" s="41"/>
      <c r="F228" s="41"/>
      <c r="G228" s="149" t="s">
        <v>460</v>
      </c>
      <c r="H228" s="150">
        <f>CEILING(SUM(M214)/H221,0.0025)</f>
        <v>1.7500000000000002E-2</v>
      </c>
      <c r="I228" s="42"/>
      <c r="J228" s="43"/>
      <c r="K228" s="43"/>
      <c r="L228" s="43"/>
      <c r="M228" s="43"/>
      <c r="N228" s="43"/>
      <c r="O228" s="43"/>
      <c r="P228" s="43"/>
      <c r="Q228" s="43"/>
      <c r="R228" s="44"/>
    </row>
    <row r="230" spans="1:18">
      <c r="A230" s="693" t="s">
        <v>0</v>
      </c>
      <c r="B230" s="695" t="s">
        <v>1</v>
      </c>
      <c r="C230" s="695" t="s">
        <v>2</v>
      </c>
      <c r="D230" s="697" t="s">
        <v>3</v>
      </c>
      <c r="E230" s="698"/>
      <c r="F230" s="698"/>
      <c r="G230" s="698"/>
      <c r="H230" s="698"/>
      <c r="I230" s="699" t="s">
        <v>4</v>
      </c>
      <c r="J230" s="700"/>
      <c r="K230" s="700"/>
      <c r="L230" s="700"/>
      <c r="M230" s="700"/>
      <c r="N230" s="698" t="s">
        <v>5</v>
      </c>
      <c r="O230" s="698"/>
      <c r="P230" s="698"/>
      <c r="Q230" s="698"/>
      <c r="R230" s="698"/>
    </row>
    <row r="231" spans="1:18">
      <c r="A231" s="694"/>
      <c r="B231" s="696"/>
      <c r="C231" s="696"/>
      <c r="D231" s="45" t="s">
        <v>6</v>
      </c>
      <c r="E231" s="46" t="s">
        <v>2</v>
      </c>
      <c r="F231" s="46" t="s">
        <v>7</v>
      </c>
      <c r="G231" s="46" t="s">
        <v>8</v>
      </c>
      <c r="H231" s="46" t="s">
        <v>9</v>
      </c>
      <c r="I231" s="46" t="s">
        <v>10</v>
      </c>
      <c r="J231" s="46" t="s">
        <v>2</v>
      </c>
      <c r="K231" s="46" t="s">
        <v>7</v>
      </c>
      <c r="L231" s="46" t="s">
        <v>8</v>
      </c>
      <c r="M231" s="47" t="s">
        <v>9</v>
      </c>
      <c r="N231" s="46" t="s">
        <v>10</v>
      </c>
      <c r="O231" s="46" t="s">
        <v>2</v>
      </c>
      <c r="P231" s="46" t="s">
        <v>7</v>
      </c>
      <c r="Q231" s="46" t="s">
        <v>8</v>
      </c>
      <c r="R231" s="46" t="s">
        <v>9</v>
      </c>
    </row>
    <row r="232" spans="1:18">
      <c r="A232" s="33" t="s">
        <v>23</v>
      </c>
      <c r="B232" s="73" t="s">
        <v>174</v>
      </c>
      <c r="C232" s="31"/>
      <c r="D232" s="31"/>
      <c r="E232" s="31"/>
      <c r="F232" s="31"/>
      <c r="G232" s="31"/>
      <c r="H232" s="31"/>
      <c r="I232" s="31"/>
      <c r="J232" s="31"/>
      <c r="K232" s="31"/>
      <c r="L232" s="31"/>
      <c r="M232" s="31"/>
      <c r="N232" s="31"/>
      <c r="O232" s="31"/>
      <c r="P232" s="31"/>
      <c r="Q232" s="31"/>
      <c r="R232" s="32"/>
    </row>
    <row r="233" spans="1:18">
      <c r="A233" s="34">
        <f>A212+1</f>
        <v>13</v>
      </c>
      <c r="B233" s="727" t="s">
        <v>173</v>
      </c>
      <c r="C233" s="6" t="s">
        <v>11</v>
      </c>
      <c r="D233" s="4"/>
      <c r="E233" s="6"/>
      <c r="F233" s="29"/>
      <c r="G233" s="26"/>
      <c r="H233" s="26"/>
      <c r="I233" s="6"/>
      <c r="J233" s="6"/>
      <c r="K233" s="29"/>
      <c r="L233" s="26"/>
      <c r="M233" s="26"/>
      <c r="N233" s="6"/>
      <c r="O233" s="6"/>
      <c r="P233" s="29"/>
      <c r="Q233" s="26"/>
      <c r="R233" s="26"/>
    </row>
    <row r="234" spans="1:18">
      <c r="A234" s="2"/>
      <c r="B234" s="728"/>
      <c r="C234" s="6"/>
      <c r="D234" s="4" t="s">
        <v>97</v>
      </c>
      <c r="E234" s="6" t="s">
        <v>81</v>
      </c>
      <c r="F234" s="29">
        <v>2</v>
      </c>
      <c r="G234" s="26">
        <f>ur</f>
        <v>850</v>
      </c>
      <c r="H234" s="26">
        <f>F234*G234</f>
        <v>1700</v>
      </c>
      <c r="I234" s="7"/>
      <c r="J234" s="8"/>
      <c r="K234" s="29"/>
      <c r="L234" s="28"/>
      <c r="M234" s="26"/>
      <c r="N234" s="8" t="s">
        <v>128</v>
      </c>
      <c r="O234" s="6"/>
      <c r="P234" s="29"/>
      <c r="Q234" s="28"/>
      <c r="R234" s="28">
        <f>3%*H239</f>
        <v>51</v>
      </c>
    </row>
    <row r="235" spans="1:18">
      <c r="A235" s="2"/>
      <c r="B235" s="728"/>
      <c r="C235" s="6"/>
      <c r="D235" s="4"/>
      <c r="E235" s="6"/>
      <c r="F235" s="29"/>
      <c r="G235" s="26"/>
      <c r="H235" s="26"/>
      <c r="I235" s="7"/>
      <c r="J235" s="8"/>
      <c r="K235" s="29"/>
      <c r="L235" s="28"/>
      <c r="M235" s="26"/>
      <c r="N235" s="8"/>
      <c r="O235" s="6"/>
      <c r="P235" s="29"/>
      <c r="Q235" s="28"/>
      <c r="R235" s="28"/>
    </row>
    <row r="236" spans="1:18">
      <c r="A236" s="2"/>
      <c r="B236" s="728"/>
      <c r="C236" s="6"/>
      <c r="D236" s="4"/>
      <c r="E236" s="6"/>
      <c r="F236" s="29"/>
      <c r="G236" s="26"/>
      <c r="H236" s="26"/>
      <c r="I236" s="7"/>
      <c r="J236" s="8"/>
      <c r="K236" s="29"/>
      <c r="L236" s="28"/>
      <c r="M236" s="26"/>
      <c r="N236" s="8"/>
      <c r="O236" s="6"/>
      <c r="P236" s="29"/>
      <c r="Q236" s="28"/>
      <c r="R236" s="28"/>
    </row>
    <row r="237" spans="1:18">
      <c r="A237" s="2"/>
      <c r="B237" s="728"/>
      <c r="C237" s="6"/>
      <c r="D237" s="4"/>
      <c r="E237" s="6"/>
      <c r="F237" s="29"/>
      <c r="G237" s="26"/>
      <c r="H237" s="26"/>
      <c r="I237" s="7"/>
      <c r="J237" s="8"/>
      <c r="K237" s="29"/>
      <c r="L237" s="28"/>
      <c r="M237" s="28"/>
      <c r="N237" s="8"/>
      <c r="O237" s="6"/>
      <c r="P237" s="29"/>
      <c r="Q237" s="28"/>
      <c r="R237" s="28"/>
    </row>
    <row r="238" spans="1:18">
      <c r="A238" s="2"/>
      <c r="B238" s="84"/>
      <c r="C238" s="6"/>
      <c r="D238" s="4"/>
      <c r="E238" s="9"/>
      <c r="F238" s="30"/>
      <c r="G238" s="27"/>
      <c r="H238" s="27"/>
      <c r="I238" s="9"/>
      <c r="J238" s="10"/>
      <c r="K238" s="30"/>
      <c r="L238" s="28"/>
      <c r="M238" s="28"/>
      <c r="N238" s="8"/>
      <c r="O238" s="6"/>
      <c r="P238" s="30"/>
      <c r="Q238" s="28"/>
      <c r="R238" s="28"/>
    </row>
    <row r="239" spans="1:18">
      <c r="A239" s="2"/>
      <c r="B239" s="11"/>
      <c r="C239" s="6"/>
      <c r="D239" s="12"/>
      <c r="E239" s="59"/>
      <c r="F239" s="13"/>
      <c r="G239" s="13" t="s">
        <v>20</v>
      </c>
      <c r="H239" s="25">
        <f>SUM(H233:H238)</f>
        <v>1700</v>
      </c>
      <c r="I239" s="703"/>
      <c r="J239" s="703"/>
      <c r="K239" s="14"/>
      <c r="L239" s="13" t="s">
        <v>21</v>
      </c>
      <c r="M239" s="25">
        <f>SUM(M233:M238)</f>
        <v>0</v>
      </c>
      <c r="N239" s="3"/>
      <c r="O239" s="14"/>
      <c r="P239" s="14"/>
      <c r="Q239" s="13" t="s">
        <v>22</v>
      </c>
      <c r="R239" s="25">
        <f>SUM(R233:R238)</f>
        <v>51</v>
      </c>
    </row>
    <row r="240" spans="1:18">
      <c r="A240" s="2"/>
      <c r="B240" s="16" t="s">
        <v>13</v>
      </c>
      <c r="C240" s="14"/>
      <c r="D240" s="14"/>
      <c r="E240" s="14"/>
      <c r="F240" s="14"/>
      <c r="G240" s="13"/>
      <c r="H240" s="35">
        <f>M239+R239+H239</f>
        <v>1751</v>
      </c>
      <c r="I240" s="17"/>
      <c r="J240" s="14"/>
      <c r="K240" s="14"/>
      <c r="L240" s="13"/>
      <c r="M240" s="15"/>
      <c r="N240" s="14"/>
      <c r="O240" s="14"/>
      <c r="P240" s="14"/>
      <c r="Q240" s="14"/>
      <c r="R240" s="17"/>
    </row>
    <row r="241" spans="1:18">
      <c r="A241" s="2"/>
      <c r="B241" s="11" t="s">
        <v>25</v>
      </c>
      <c r="C241" s="4" t="s">
        <v>189</v>
      </c>
      <c r="D241" s="4"/>
      <c r="E241" s="4"/>
      <c r="F241" s="4"/>
      <c r="G241" s="18"/>
      <c r="H241" s="36">
        <f>$H$226</f>
        <v>903</v>
      </c>
      <c r="I241" s="20"/>
      <c r="J241" s="4" t="s">
        <v>26</v>
      </c>
      <c r="K241" s="4"/>
      <c r="L241" s="18"/>
      <c r="M241" s="19"/>
      <c r="N241" s="4"/>
      <c r="O241" s="4"/>
      <c r="P241" s="4"/>
      <c r="Q241" s="4"/>
      <c r="R241" s="20"/>
    </row>
    <row r="242" spans="1:18">
      <c r="A242" s="23"/>
      <c r="B242" s="11" t="s">
        <v>14</v>
      </c>
      <c r="C242" s="4"/>
      <c r="D242" s="4"/>
      <c r="E242" s="4"/>
      <c r="F242" s="4"/>
      <c r="G242" s="18"/>
      <c r="H242" s="36">
        <f>SUM(H240:H241)</f>
        <v>2654</v>
      </c>
      <c r="I242" s="20"/>
      <c r="J242" s="704" t="s">
        <v>183</v>
      </c>
      <c r="K242" s="705"/>
      <c r="L242" s="705"/>
      <c r="M242" s="705"/>
      <c r="N242" s="705"/>
      <c r="O242" s="705"/>
      <c r="P242" s="705"/>
      <c r="Q242" s="705"/>
      <c r="R242" s="706"/>
    </row>
    <row r="243" spans="1:18">
      <c r="A243" s="23"/>
      <c r="B243" s="11" t="s">
        <v>24</v>
      </c>
      <c r="C243" s="4"/>
      <c r="D243" s="4"/>
      <c r="E243" s="4"/>
      <c r="F243" s="4"/>
      <c r="G243" s="18"/>
      <c r="H243" s="36">
        <f>H242*15%</f>
        <v>398.09999999999997</v>
      </c>
      <c r="I243" s="20"/>
      <c r="J243" s="707"/>
      <c r="K243" s="708"/>
      <c r="L243" s="708"/>
      <c r="M243" s="708"/>
      <c r="N243" s="708"/>
      <c r="O243" s="708"/>
      <c r="P243" s="708"/>
      <c r="Q243" s="708"/>
      <c r="R243" s="709"/>
    </row>
    <row r="244" spans="1:18">
      <c r="A244" s="23"/>
      <c r="B244" s="11" t="s">
        <v>15</v>
      </c>
      <c r="C244" s="4"/>
      <c r="D244" s="4"/>
      <c r="E244" s="4"/>
      <c r="F244" s="4"/>
      <c r="G244" s="21" t="s">
        <v>16</v>
      </c>
      <c r="H244" s="37">
        <f>H243+H242</f>
        <v>3052.1</v>
      </c>
      <c r="I244" s="38" t="str">
        <f>CONCATENATE("per ",C233)</f>
        <v>per cum</v>
      </c>
      <c r="J244" s="707"/>
      <c r="K244" s="708"/>
      <c r="L244" s="708"/>
      <c r="M244" s="708"/>
      <c r="N244" s="708"/>
      <c r="O244" s="708"/>
      <c r="P244" s="708"/>
      <c r="Q244" s="708"/>
      <c r="R244" s="709"/>
    </row>
    <row r="245" spans="1:18">
      <c r="A245" s="23"/>
      <c r="B245" s="11" t="s">
        <v>18</v>
      </c>
      <c r="C245" s="4" t="s">
        <v>19</v>
      </c>
      <c r="D245" s="4"/>
      <c r="E245" s="4"/>
      <c r="F245" s="4"/>
      <c r="G245" s="21" t="s">
        <v>16</v>
      </c>
      <c r="H245" s="37">
        <f>CEILING(H244,0.5)</f>
        <v>3052.5</v>
      </c>
      <c r="I245" s="38" t="str">
        <f>CONCATENATE("per ",C233)</f>
        <v>per cum</v>
      </c>
      <c r="J245" s="707"/>
      <c r="K245" s="708"/>
      <c r="L245" s="708"/>
      <c r="M245" s="708"/>
      <c r="N245" s="708"/>
      <c r="O245" s="708"/>
      <c r="P245" s="708"/>
      <c r="Q245" s="708"/>
      <c r="R245" s="709"/>
    </row>
    <row r="246" spans="1:18">
      <c r="A246" s="23"/>
      <c r="B246" s="11"/>
      <c r="C246" s="4"/>
      <c r="D246" s="4"/>
      <c r="E246" s="4"/>
      <c r="F246" s="4"/>
      <c r="G246" s="24" t="s">
        <v>17</v>
      </c>
      <c r="H246" s="37">
        <f>H245/exr</f>
        <v>23.48076923076923</v>
      </c>
      <c r="I246" s="38" t="str">
        <f>CONCATENATE("per ",C233)</f>
        <v>per cum</v>
      </c>
      <c r="J246" s="710"/>
      <c r="K246" s="711"/>
      <c r="L246" s="711"/>
      <c r="M246" s="711"/>
      <c r="N246" s="711"/>
      <c r="O246" s="711"/>
      <c r="P246" s="711"/>
      <c r="Q246" s="711"/>
      <c r="R246" s="712"/>
    </row>
    <row r="247" spans="1:18">
      <c r="A247" s="39"/>
      <c r="B247" s="40"/>
      <c r="C247" s="41"/>
      <c r="D247" s="41"/>
      <c r="E247" s="41"/>
      <c r="F247" s="41"/>
      <c r="G247" s="149" t="s">
        <v>460</v>
      </c>
      <c r="H247" s="150">
        <f>CEILING(SUM(0)/H240,0.0025)</f>
        <v>0</v>
      </c>
      <c r="I247" s="42"/>
      <c r="J247" s="43"/>
      <c r="K247" s="43"/>
      <c r="L247" s="43"/>
      <c r="M247" s="43"/>
      <c r="N247" s="43"/>
      <c r="O247" s="43"/>
      <c r="P247" s="43"/>
      <c r="Q247" s="43"/>
      <c r="R247" s="44"/>
    </row>
    <row r="249" spans="1:18">
      <c r="A249" s="693" t="s">
        <v>0</v>
      </c>
      <c r="B249" s="695" t="s">
        <v>1</v>
      </c>
      <c r="C249" s="695" t="s">
        <v>2</v>
      </c>
      <c r="D249" s="697" t="s">
        <v>3</v>
      </c>
      <c r="E249" s="698"/>
      <c r="F249" s="698"/>
      <c r="G249" s="698"/>
      <c r="H249" s="698"/>
      <c r="I249" s="699" t="s">
        <v>4</v>
      </c>
      <c r="J249" s="700"/>
      <c r="K249" s="700"/>
      <c r="L249" s="700"/>
      <c r="M249" s="700"/>
      <c r="N249" s="698" t="s">
        <v>5</v>
      </c>
      <c r="O249" s="698"/>
      <c r="P249" s="698"/>
      <c r="Q249" s="698"/>
      <c r="R249" s="698"/>
    </row>
    <row r="250" spans="1:18">
      <c r="A250" s="694"/>
      <c r="B250" s="696"/>
      <c r="C250" s="696"/>
      <c r="D250" s="45" t="s">
        <v>6</v>
      </c>
      <c r="E250" s="46" t="s">
        <v>2</v>
      </c>
      <c r="F250" s="46" t="s">
        <v>7</v>
      </c>
      <c r="G250" s="46" t="s">
        <v>8</v>
      </c>
      <c r="H250" s="46" t="s">
        <v>9</v>
      </c>
      <c r="I250" s="46" t="s">
        <v>10</v>
      </c>
      <c r="J250" s="46" t="s">
        <v>2</v>
      </c>
      <c r="K250" s="46" t="s">
        <v>7</v>
      </c>
      <c r="L250" s="46" t="s">
        <v>8</v>
      </c>
      <c r="M250" s="47" t="s">
        <v>9</v>
      </c>
      <c r="N250" s="46" t="s">
        <v>10</v>
      </c>
      <c r="O250" s="46" t="s">
        <v>2</v>
      </c>
      <c r="P250" s="46" t="s">
        <v>7</v>
      </c>
      <c r="Q250" s="46" t="s">
        <v>8</v>
      </c>
      <c r="R250" s="46" t="s">
        <v>9</v>
      </c>
    </row>
    <row r="251" spans="1:18">
      <c r="A251" s="33" t="s">
        <v>23</v>
      </c>
      <c r="B251" s="73" t="s">
        <v>174</v>
      </c>
      <c r="C251" s="31"/>
      <c r="D251" s="31"/>
      <c r="E251" s="31"/>
      <c r="F251" s="31"/>
      <c r="G251" s="31"/>
      <c r="H251" s="31"/>
      <c r="I251" s="31"/>
      <c r="J251" s="31"/>
      <c r="K251" s="31"/>
      <c r="L251" s="31"/>
      <c r="M251" s="31"/>
      <c r="N251" s="31"/>
      <c r="O251" s="31"/>
      <c r="P251" s="31"/>
      <c r="Q251" s="31"/>
      <c r="R251" s="32"/>
    </row>
    <row r="252" spans="1:18">
      <c r="A252" s="34">
        <f>A233+1</f>
        <v>14</v>
      </c>
      <c r="B252" s="715" t="s">
        <v>175</v>
      </c>
      <c r="C252" s="8" t="s">
        <v>11</v>
      </c>
      <c r="D252" s="87"/>
      <c r="E252" s="8"/>
      <c r="F252" s="88"/>
      <c r="G252" s="28"/>
      <c r="H252" s="28"/>
      <c r="I252" s="8"/>
      <c r="J252" s="8"/>
      <c r="K252" s="88"/>
      <c r="L252" s="28"/>
      <c r="M252" s="26"/>
      <c r="N252" s="6"/>
      <c r="O252" s="6"/>
      <c r="P252" s="29"/>
      <c r="Q252" s="26"/>
      <c r="R252" s="26"/>
    </row>
    <row r="253" spans="1:18">
      <c r="A253" s="2"/>
      <c r="B253" s="716"/>
      <c r="C253" s="8"/>
      <c r="D253" s="87" t="s">
        <v>97</v>
      </c>
      <c r="E253" s="8" t="s">
        <v>81</v>
      </c>
      <c r="F253" s="88">
        <v>3</v>
      </c>
      <c r="G253" s="28">
        <f>ur</f>
        <v>850</v>
      </c>
      <c r="H253" s="28">
        <f>F253*G253</f>
        <v>2550</v>
      </c>
      <c r="I253" s="89"/>
      <c r="J253" s="8"/>
      <c r="K253" s="88"/>
      <c r="L253" s="28"/>
      <c r="M253" s="26"/>
      <c r="N253" s="8" t="s">
        <v>128</v>
      </c>
      <c r="O253" s="6"/>
      <c r="P253" s="29"/>
      <c r="Q253" s="28"/>
      <c r="R253" s="28">
        <f>3%*H258</f>
        <v>76.5</v>
      </c>
    </row>
    <row r="254" spans="1:18">
      <c r="A254" s="2"/>
      <c r="B254" s="716"/>
      <c r="C254" s="8"/>
      <c r="D254" s="87"/>
      <c r="E254" s="8"/>
      <c r="F254" s="88"/>
      <c r="G254" s="28"/>
      <c r="H254" s="28"/>
      <c r="I254" s="89"/>
      <c r="J254" s="8"/>
      <c r="K254" s="88"/>
      <c r="L254" s="28"/>
      <c r="M254" s="26"/>
      <c r="N254" s="8"/>
      <c r="O254" s="6"/>
      <c r="P254" s="29"/>
      <c r="Q254" s="28"/>
      <c r="R254" s="28"/>
    </row>
    <row r="255" spans="1:18">
      <c r="A255" s="2"/>
      <c r="B255" s="716"/>
      <c r="C255" s="8"/>
      <c r="D255" s="87"/>
      <c r="E255" s="8"/>
      <c r="F255" s="88"/>
      <c r="G255" s="28"/>
      <c r="H255" s="28"/>
      <c r="I255" s="89"/>
      <c r="J255" s="8"/>
      <c r="K255" s="88"/>
      <c r="L255" s="28"/>
      <c r="M255" s="26"/>
      <c r="N255" s="8"/>
      <c r="O255" s="6"/>
      <c r="P255" s="29"/>
      <c r="Q255" s="28"/>
      <c r="R255" s="28"/>
    </row>
    <row r="256" spans="1:18">
      <c r="A256" s="2"/>
      <c r="B256" s="716"/>
      <c r="C256" s="8"/>
      <c r="D256" s="87"/>
      <c r="E256" s="8"/>
      <c r="F256" s="88"/>
      <c r="G256" s="28"/>
      <c r="H256" s="28"/>
      <c r="I256" s="89"/>
      <c r="J256" s="8"/>
      <c r="K256" s="88"/>
      <c r="L256" s="28"/>
      <c r="M256" s="28"/>
      <c r="N256" s="8"/>
      <c r="O256" s="6"/>
      <c r="P256" s="29"/>
      <c r="Q256" s="28"/>
      <c r="R256" s="28"/>
    </row>
    <row r="257" spans="1:18">
      <c r="A257" s="2"/>
      <c r="B257" s="90"/>
      <c r="C257" s="8"/>
      <c r="D257" s="87"/>
      <c r="E257" s="10"/>
      <c r="F257" s="91"/>
      <c r="G257" s="92"/>
      <c r="H257" s="92"/>
      <c r="I257" s="10"/>
      <c r="J257" s="10"/>
      <c r="K257" s="91"/>
      <c r="L257" s="28"/>
      <c r="M257" s="28"/>
      <c r="N257" s="8"/>
      <c r="O257" s="6"/>
      <c r="P257" s="30"/>
      <c r="Q257" s="28"/>
      <c r="R257" s="28"/>
    </row>
    <row r="258" spans="1:18">
      <c r="A258" s="2"/>
      <c r="B258" s="11"/>
      <c r="C258" s="6"/>
      <c r="D258" s="12"/>
      <c r="E258" s="59"/>
      <c r="F258" s="13"/>
      <c r="G258" s="13" t="s">
        <v>20</v>
      </c>
      <c r="H258" s="25">
        <f>SUM(H252:H257)</f>
        <v>2550</v>
      </c>
      <c r="I258" s="703"/>
      <c r="J258" s="703"/>
      <c r="K258" s="14"/>
      <c r="L258" s="13" t="s">
        <v>21</v>
      </c>
      <c r="M258" s="25">
        <f>SUM(M252:M257)</f>
        <v>0</v>
      </c>
      <c r="N258" s="3"/>
      <c r="O258" s="14"/>
      <c r="P258" s="14"/>
      <c r="Q258" s="13" t="s">
        <v>22</v>
      </c>
      <c r="R258" s="25">
        <f>SUM(R252:R257)</f>
        <v>76.5</v>
      </c>
    </row>
    <row r="259" spans="1:18">
      <c r="A259" s="2"/>
      <c r="B259" s="16" t="s">
        <v>13</v>
      </c>
      <c r="C259" s="14"/>
      <c r="D259" s="14"/>
      <c r="E259" s="14"/>
      <c r="F259" s="14"/>
      <c r="G259" s="13"/>
      <c r="H259" s="35">
        <f>M258+R258+H258</f>
        <v>2626.5</v>
      </c>
      <c r="I259" s="17"/>
      <c r="J259" s="14"/>
      <c r="K259" s="14"/>
      <c r="L259" s="13"/>
      <c r="M259" s="15"/>
      <c r="N259" s="14"/>
      <c r="O259" s="14"/>
      <c r="P259" s="14"/>
      <c r="Q259" s="14"/>
      <c r="R259" s="17"/>
    </row>
    <row r="260" spans="1:18">
      <c r="A260" s="2"/>
      <c r="B260" s="11" t="s">
        <v>25</v>
      </c>
      <c r="C260" s="4" t="s">
        <v>189</v>
      </c>
      <c r="D260" s="4"/>
      <c r="E260" s="4"/>
      <c r="F260" s="4"/>
      <c r="G260" s="18"/>
      <c r="H260" s="36">
        <f>$H$226</f>
        <v>903</v>
      </c>
      <c r="I260" s="20"/>
      <c r="J260" s="4" t="s">
        <v>26</v>
      </c>
      <c r="K260" s="4"/>
      <c r="L260" s="18"/>
      <c r="M260" s="19"/>
      <c r="N260" s="4"/>
      <c r="O260" s="4"/>
      <c r="P260" s="4"/>
      <c r="Q260" s="4"/>
      <c r="R260" s="20"/>
    </row>
    <row r="261" spans="1:18">
      <c r="A261" s="23"/>
      <c r="B261" s="11" t="s">
        <v>14</v>
      </c>
      <c r="C261" s="4"/>
      <c r="D261" s="4"/>
      <c r="E261" s="4"/>
      <c r="F261" s="4"/>
      <c r="G261" s="18"/>
      <c r="H261" s="36">
        <f>SUM(H259:H260)</f>
        <v>3529.5</v>
      </c>
      <c r="I261" s="20"/>
      <c r="J261" s="704" t="s">
        <v>183</v>
      </c>
      <c r="K261" s="705"/>
      <c r="L261" s="705"/>
      <c r="M261" s="705"/>
      <c r="N261" s="705"/>
      <c r="O261" s="705"/>
      <c r="P261" s="705"/>
      <c r="Q261" s="705"/>
      <c r="R261" s="706"/>
    </row>
    <row r="262" spans="1:18">
      <c r="A262" s="23"/>
      <c r="B262" s="11" t="s">
        <v>24</v>
      </c>
      <c r="C262" s="4"/>
      <c r="D262" s="4"/>
      <c r="E262" s="4"/>
      <c r="F262" s="4"/>
      <c r="G262" s="18"/>
      <c r="H262" s="36">
        <f>H261*15%</f>
        <v>529.42499999999995</v>
      </c>
      <c r="I262" s="20"/>
      <c r="J262" s="707"/>
      <c r="K262" s="708"/>
      <c r="L262" s="708"/>
      <c r="M262" s="708"/>
      <c r="N262" s="708"/>
      <c r="O262" s="708"/>
      <c r="P262" s="708"/>
      <c r="Q262" s="708"/>
      <c r="R262" s="709"/>
    </row>
    <row r="263" spans="1:18">
      <c r="A263" s="23"/>
      <c r="B263" s="11" t="s">
        <v>15</v>
      </c>
      <c r="C263" s="4"/>
      <c r="D263" s="4"/>
      <c r="E263" s="4"/>
      <c r="F263" s="4"/>
      <c r="G263" s="21" t="s">
        <v>16</v>
      </c>
      <c r="H263" s="37">
        <f>H262+H261</f>
        <v>4058.9250000000002</v>
      </c>
      <c r="I263" s="38" t="str">
        <f>CONCATENATE("per ",C252)</f>
        <v>per cum</v>
      </c>
      <c r="J263" s="707"/>
      <c r="K263" s="708"/>
      <c r="L263" s="708"/>
      <c r="M263" s="708"/>
      <c r="N263" s="708"/>
      <c r="O263" s="708"/>
      <c r="P263" s="708"/>
      <c r="Q263" s="708"/>
      <c r="R263" s="709"/>
    </row>
    <row r="264" spans="1:18">
      <c r="A264" s="23"/>
      <c r="B264" s="11" t="s">
        <v>18</v>
      </c>
      <c r="C264" s="4" t="s">
        <v>19</v>
      </c>
      <c r="D264" s="4"/>
      <c r="E264" s="4"/>
      <c r="F264" s="4"/>
      <c r="G264" s="21" t="s">
        <v>16</v>
      </c>
      <c r="H264" s="37">
        <f>CEILING(H263,0.5)</f>
        <v>4059</v>
      </c>
      <c r="I264" s="38" t="str">
        <f>CONCATENATE("per ",C252)</f>
        <v>per cum</v>
      </c>
      <c r="J264" s="707"/>
      <c r="K264" s="708"/>
      <c r="L264" s="708"/>
      <c r="M264" s="708"/>
      <c r="N264" s="708"/>
      <c r="O264" s="708"/>
      <c r="P264" s="708"/>
      <c r="Q264" s="708"/>
      <c r="R264" s="709"/>
    </row>
    <row r="265" spans="1:18">
      <c r="A265" s="23"/>
      <c r="B265" s="11"/>
      <c r="C265" s="4"/>
      <c r="D265" s="4"/>
      <c r="E265" s="4"/>
      <c r="F265" s="4"/>
      <c r="G265" s="24" t="s">
        <v>17</v>
      </c>
      <c r="H265" s="37">
        <f>H264/exr</f>
        <v>31.223076923076924</v>
      </c>
      <c r="I265" s="38" t="str">
        <f>CONCATENATE("per ",C252)</f>
        <v>per cum</v>
      </c>
      <c r="J265" s="710"/>
      <c r="K265" s="711"/>
      <c r="L265" s="711"/>
      <c r="M265" s="711"/>
      <c r="N265" s="711"/>
      <c r="O265" s="711"/>
      <c r="P265" s="711"/>
      <c r="Q265" s="711"/>
      <c r="R265" s="712"/>
    </row>
    <row r="266" spans="1:18">
      <c r="A266" s="39"/>
      <c r="B266" s="40"/>
      <c r="C266" s="41"/>
      <c r="D266" s="41"/>
      <c r="E266" s="41"/>
      <c r="F266" s="41"/>
      <c r="G266" s="149" t="s">
        <v>460</v>
      </c>
      <c r="H266" s="150">
        <f>CEILING(SUM(0)/H259,0.0025)</f>
        <v>0</v>
      </c>
      <c r="I266" s="42"/>
      <c r="J266" s="43"/>
      <c r="K266" s="43"/>
      <c r="L266" s="43"/>
      <c r="M266" s="43"/>
      <c r="N266" s="43"/>
      <c r="O266" s="43"/>
      <c r="P266" s="43"/>
      <c r="Q266" s="43"/>
      <c r="R266" s="44"/>
    </row>
    <row r="268" spans="1:18">
      <c r="A268" s="693" t="s">
        <v>0</v>
      </c>
      <c r="B268" s="695" t="s">
        <v>1</v>
      </c>
      <c r="C268" s="695" t="s">
        <v>2</v>
      </c>
      <c r="D268" s="697" t="s">
        <v>3</v>
      </c>
      <c r="E268" s="698"/>
      <c r="F268" s="698"/>
      <c r="G268" s="698"/>
      <c r="H268" s="698"/>
      <c r="I268" s="699" t="s">
        <v>4</v>
      </c>
      <c r="J268" s="700"/>
      <c r="K268" s="700"/>
      <c r="L268" s="700"/>
      <c r="M268" s="700"/>
      <c r="N268" s="698" t="s">
        <v>5</v>
      </c>
      <c r="O268" s="698"/>
      <c r="P268" s="698"/>
      <c r="Q268" s="698"/>
      <c r="R268" s="698"/>
    </row>
    <row r="269" spans="1:18">
      <c r="A269" s="694"/>
      <c r="B269" s="696"/>
      <c r="C269" s="696"/>
      <c r="D269" s="45" t="s">
        <v>6</v>
      </c>
      <c r="E269" s="46" t="s">
        <v>2</v>
      </c>
      <c r="F269" s="46" t="s">
        <v>7</v>
      </c>
      <c r="G269" s="46" t="s">
        <v>8</v>
      </c>
      <c r="H269" s="46" t="s">
        <v>9</v>
      </c>
      <c r="I269" s="46" t="s">
        <v>10</v>
      </c>
      <c r="J269" s="46" t="s">
        <v>2</v>
      </c>
      <c r="K269" s="46" t="s">
        <v>7</v>
      </c>
      <c r="L269" s="46" t="s">
        <v>8</v>
      </c>
      <c r="M269" s="47" t="s">
        <v>9</v>
      </c>
      <c r="N269" s="46" t="s">
        <v>10</v>
      </c>
      <c r="O269" s="46" t="s">
        <v>2</v>
      </c>
      <c r="P269" s="46" t="s">
        <v>7</v>
      </c>
      <c r="Q269" s="46" t="s">
        <v>8</v>
      </c>
      <c r="R269" s="46" t="s">
        <v>9</v>
      </c>
    </row>
    <row r="270" spans="1:18">
      <c r="A270" s="33" t="s">
        <v>23</v>
      </c>
      <c r="B270" s="73" t="s">
        <v>174</v>
      </c>
      <c r="C270" s="31"/>
      <c r="D270" s="31"/>
      <c r="E270" s="31"/>
      <c r="F270" s="31"/>
      <c r="G270" s="31"/>
      <c r="H270" s="31"/>
      <c r="I270" s="31"/>
      <c r="J270" s="31"/>
      <c r="K270" s="31"/>
      <c r="L270" s="31"/>
      <c r="M270" s="31"/>
      <c r="N270" s="31"/>
      <c r="O270" s="31"/>
      <c r="P270" s="31"/>
      <c r="Q270" s="31"/>
      <c r="R270" s="32"/>
    </row>
    <row r="271" spans="1:18">
      <c r="A271" s="34">
        <f>A252+1</f>
        <v>15</v>
      </c>
      <c r="B271" s="727" t="s">
        <v>176</v>
      </c>
      <c r="C271" s="6" t="s">
        <v>11</v>
      </c>
      <c r="D271" s="4"/>
      <c r="E271" s="6"/>
      <c r="F271" s="29"/>
      <c r="G271" s="26"/>
      <c r="H271" s="26"/>
      <c r="I271" s="6"/>
      <c r="J271" s="6"/>
      <c r="K271" s="29"/>
      <c r="L271" s="26"/>
      <c r="M271" s="26"/>
      <c r="N271" s="6"/>
      <c r="O271" s="6"/>
      <c r="P271" s="29"/>
      <c r="Q271" s="26"/>
      <c r="R271" s="26"/>
    </row>
    <row r="272" spans="1:18">
      <c r="A272" s="2"/>
      <c r="B272" s="728"/>
      <c r="C272" s="6"/>
      <c r="D272" s="4" t="s">
        <v>97</v>
      </c>
      <c r="E272" s="6" t="s">
        <v>81</v>
      </c>
      <c r="F272" s="29">
        <v>4</v>
      </c>
      <c r="G272" s="26">
        <f>ur</f>
        <v>850</v>
      </c>
      <c r="H272" s="26">
        <f>F272*G272</f>
        <v>3400</v>
      </c>
      <c r="I272" s="7"/>
      <c r="J272" s="8"/>
      <c r="K272" s="29"/>
      <c r="L272" s="28"/>
      <c r="M272" s="26"/>
      <c r="N272" s="8" t="s">
        <v>128</v>
      </c>
      <c r="O272" s="6"/>
      <c r="P272" s="29"/>
      <c r="Q272" s="28"/>
      <c r="R272" s="28">
        <f>3%*H277</f>
        <v>102</v>
      </c>
    </row>
    <row r="273" spans="1:18">
      <c r="A273" s="2"/>
      <c r="B273" s="728"/>
      <c r="C273" s="6"/>
      <c r="D273" s="4"/>
      <c r="E273" s="6"/>
      <c r="F273" s="29"/>
      <c r="G273" s="26"/>
      <c r="H273" s="26"/>
      <c r="I273" s="7"/>
      <c r="J273" s="8"/>
      <c r="K273" s="29"/>
      <c r="L273" s="28"/>
      <c r="M273" s="26"/>
      <c r="N273" s="8"/>
      <c r="O273" s="6"/>
      <c r="P273" s="29"/>
      <c r="Q273" s="28"/>
      <c r="R273" s="28"/>
    </row>
    <row r="274" spans="1:18">
      <c r="A274" s="2"/>
      <c r="B274" s="728"/>
      <c r="C274" s="6"/>
      <c r="D274" s="4"/>
      <c r="E274" s="6"/>
      <c r="F274" s="29"/>
      <c r="G274" s="26"/>
      <c r="H274" s="26"/>
      <c r="I274" s="7"/>
      <c r="J274" s="8"/>
      <c r="K274" s="29"/>
      <c r="L274" s="28"/>
      <c r="M274" s="26"/>
      <c r="N274" s="8"/>
      <c r="O274" s="6"/>
      <c r="P274" s="29"/>
      <c r="Q274" s="28"/>
      <c r="R274" s="28"/>
    </row>
    <row r="275" spans="1:18">
      <c r="A275" s="2"/>
      <c r="B275" s="728"/>
      <c r="C275" s="6"/>
      <c r="D275" s="4"/>
      <c r="E275" s="6"/>
      <c r="F275" s="29"/>
      <c r="G275" s="26"/>
      <c r="H275" s="26"/>
      <c r="I275" s="7"/>
      <c r="J275" s="8"/>
      <c r="K275" s="29"/>
      <c r="L275" s="28"/>
      <c r="M275" s="28"/>
      <c r="N275" s="8"/>
      <c r="O275" s="6"/>
      <c r="P275" s="29"/>
      <c r="Q275" s="28"/>
      <c r="R275" s="28"/>
    </row>
    <row r="276" spans="1:18">
      <c r="A276" s="2"/>
      <c r="B276" s="84"/>
      <c r="C276" s="6"/>
      <c r="D276" s="4"/>
      <c r="E276" s="9"/>
      <c r="F276" s="30"/>
      <c r="G276" s="27"/>
      <c r="H276" s="27"/>
      <c r="I276" s="9"/>
      <c r="J276" s="10"/>
      <c r="K276" s="30"/>
      <c r="L276" s="28"/>
      <c r="M276" s="28"/>
      <c r="N276" s="8"/>
      <c r="O276" s="6"/>
      <c r="P276" s="30"/>
      <c r="Q276" s="28"/>
      <c r="R276" s="28"/>
    </row>
    <row r="277" spans="1:18">
      <c r="A277" s="2"/>
      <c r="B277" s="11"/>
      <c r="C277" s="6"/>
      <c r="D277" s="12"/>
      <c r="E277" s="59"/>
      <c r="F277" s="13"/>
      <c r="G277" s="13" t="s">
        <v>20</v>
      </c>
      <c r="H277" s="25">
        <f>SUM(H271:H276)</f>
        <v>3400</v>
      </c>
      <c r="I277" s="703"/>
      <c r="J277" s="703"/>
      <c r="K277" s="14"/>
      <c r="L277" s="13" t="s">
        <v>21</v>
      </c>
      <c r="M277" s="25">
        <f>SUM(M271:M276)</f>
        <v>0</v>
      </c>
      <c r="N277" s="3"/>
      <c r="O277" s="14"/>
      <c r="P277" s="14"/>
      <c r="Q277" s="13" t="s">
        <v>22</v>
      </c>
      <c r="R277" s="25">
        <f>SUM(R271:R276)</f>
        <v>102</v>
      </c>
    </row>
    <row r="278" spans="1:18">
      <c r="A278" s="2"/>
      <c r="B278" s="16" t="s">
        <v>13</v>
      </c>
      <c r="C278" s="14"/>
      <c r="D278" s="14"/>
      <c r="E278" s="14"/>
      <c r="F278" s="14"/>
      <c r="G278" s="13"/>
      <c r="H278" s="35">
        <f>M277+R277+H277</f>
        <v>3502</v>
      </c>
      <c r="I278" s="17"/>
      <c r="J278" s="14"/>
      <c r="K278" s="14"/>
      <c r="L278" s="13"/>
      <c r="M278" s="15"/>
      <c r="N278" s="14"/>
      <c r="O278" s="14"/>
      <c r="P278" s="14"/>
      <c r="Q278" s="14"/>
      <c r="R278" s="17"/>
    </row>
    <row r="279" spans="1:18">
      <c r="A279" s="2"/>
      <c r="B279" s="11" t="s">
        <v>25</v>
      </c>
      <c r="C279" s="4" t="s">
        <v>189</v>
      </c>
      <c r="D279" s="4"/>
      <c r="E279" s="4"/>
      <c r="F279" s="4"/>
      <c r="G279" s="18"/>
      <c r="H279" s="36">
        <f>$H$226</f>
        <v>903</v>
      </c>
      <c r="I279" s="20"/>
      <c r="J279" s="4" t="s">
        <v>26</v>
      </c>
      <c r="K279" s="4"/>
      <c r="L279" s="18"/>
      <c r="M279" s="19"/>
      <c r="N279" s="4"/>
      <c r="O279" s="4"/>
      <c r="P279" s="4"/>
      <c r="Q279" s="4"/>
      <c r="R279" s="20"/>
    </row>
    <row r="280" spans="1:18">
      <c r="A280" s="23"/>
      <c r="B280" s="11" t="s">
        <v>14</v>
      </c>
      <c r="C280" s="4"/>
      <c r="D280" s="4"/>
      <c r="E280" s="4"/>
      <c r="F280" s="4"/>
      <c r="G280" s="18"/>
      <c r="H280" s="36">
        <f>SUM(H278:H279)</f>
        <v>4405</v>
      </c>
      <c r="I280" s="20"/>
      <c r="J280" s="704" t="s">
        <v>183</v>
      </c>
      <c r="K280" s="705"/>
      <c r="L280" s="705"/>
      <c r="M280" s="705"/>
      <c r="N280" s="705"/>
      <c r="O280" s="705"/>
      <c r="P280" s="705"/>
      <c r="Q280" s="705"/>
      <c r="R280" s="706"/>
    </row>
    <row r="281" spans="1:18">
      <c r="A281" s="23"/>
      <c r="B281" s="11" t="s">
        <v>24</v>
      </c>
      <c r="C281" s="4"/>
      <c r="D281" s="4"/>
      <c r="E281" s="4"/>
      <c r="F281" s="4"/>
      <c r="G281" s="18"/>
      <c r="H281" s="36">
        <f>H280*15%</f>
        <v>660.75</v>
      </c>
      <c r="I281" s="20"/>
      <c r="J281" s="707"/>
      <c r="K281" s="708"/>
      <c r="L281" s="708"/>
      <c r="M281" s="708"/>
      <c r="N281" s="708"/>
      <c r="O281" s="708"/>
      <c r="P281" s="708"/>
      <c r="Q281" s="708"/>
      <c r="R281" s="709"/>
    </row>
    <row r="282" spans="1:18">
      <c r="A282" s="23"/>
      <c r="B282" s="11" t="s">
        <v>15</v>
      </c>
      <c r="C282" s="4"/>
      <c r="D282" s="4"/>
      <c r="E282" s="4"/>
      <c r="F282" s="4"/>
      <c r="G282" s="21" t="s">
        <v>16</v>
      </c>
      <c r="H282" s="37">
        <f>H281+H280</f>
        <v>5065.75</v>
      </c>
      <c r="I282" s="38" t="str">
        <f>CONCATENATE("per ",C271)</f>
        <v>per cum</v>
      </c>
      <c r="J282" s="707"/>
      <c r="K282" s="708"/>
      <c r="L282" s="708"/>
      <c r="M282" s="708"/>
      <c r="N282" s="708"/>
      <c r="O282" s="708"/>
      <c r="P282" s="708"/>
      <c r="Q282" s="708"/>
      <c r="R282" s="709"/>
    </row>
    <row r="283" spans="1:18">
      <c r="A283" s="23"/>
      <c r="B283" s="11" t="s">
        <v>18</v>
      </c>
      <c r="C283" s="4" t="s">
        <v>19</v>
      </c>
      <c r="D283" s="4"/>
      <c r="E283" s="4"/>
      <c r="F283" s="4"/>
      <c r="G283" s="21" t="s">
        <v>16</v>
      </c>
      <c r="H283" s="37">
        <f>CEILING(H282,0.5)</f>
        <v>5066</v>
      </c>
      <c r="I283" s="38" t="str">
        <f>CONCATENATE("per ",C271)</f>
        <v>per cum</v>
      </c>
      <c r="J283" s="707"/>
      <c r="K283" s="708"/>
      <c r="L283" s="708"/>
      <c r="M283" s="708"/>
      <c r="N283" s="708"/>
      <c r="O283" s="708"/>
      <c r="P283" s="708"/>
      <c r="Q283" s="708"/>
      <c r="R283" s="709"/>
    </row>
    <row r="284" spans="1:18">
      <c r="A284" s="23"/>
      <c r="B284" s="11"/>
      <c r="C284" s="4"/>
      <c r="D284" s="4"/>
      <c r="E284" s="4"/>
      <c r="F284" s="4"/>
      <c r="G284" s="24" t="s">
        <v>17</v>
      </c>
      <c r="H284" s="37">
        <f>H283/exr</f>
        <v>38.969230769230769</v>
      </c>
      <c r="I284" s="38" t="str">
        <f>CONCATENATE("per ",C271)</f>
        <v>per cum</v>
      </c>
      <c r="J284" s="710"/>
      <c r="K284" s="711"/>
      <c r="L284" s="711"/>
      <c r="M284" s="711"/>
      <c r="N284" s="711"/>
      <c r="O284" s="711"/>
      <c r="P284" s="711"/>
      <c r="Q284" s="711"/>
      <c r="R284" s="712"/>
    </row>
    <row r="285" spans="1:18">
      <c r="A285" s="39"/>
      <c r="B285" s="40"/>
      <c r="C285" s="41"/>
      <c r="D285" s="41"/>
      <c r="E285" s="41"/>
      <c r="F285" s="41"/>
      <c r="G285" s="149" t="s">
        <v>460</v>
      </c>
      <c r="H285" s="150">
        <f>CEILING(SUM(0)/H278,0.0025)</f>
        <v>0</v>
      </c>
      <c r="I285" s="42"/>
      <c r="J285" s="43"/>
      <c r="K285" s="43"/>
      <c r="L285" s="43"/>
      <c r="M285" s="43"/>
      <c r="N285" s="43"/>
      <c r="O285" s="43"/>
      <c r="P285" s="43"/>
      <c r="Q285" s="43"/>
      <c r="R285" s="44"/>
    </row>
    <row r="287" spans="1:18">
      <c r="A287" s="693" t="s">
        <v>0</v>
      </c>
      <c r="B287" s="695" t="s">
        <v>1</v>
      </c>
      <c r="C287" s="695" t="s">
        <v>2</v>
      </c>
      <c r="D287" s="697" t="s">
        <v>3</v>
      </c>
      <c r="E287" s="698"/>
      <c r="F287" s="698"/>
      <c r="G287" s="698"/>
      <c r="H287" s="698"/>
      <c r="I287" s="699" t="s">
        <v>4</v>
      </c>
      <c r="J287" s="700"/>
      <c r="K287" s="700"/>
      <c r="L287" s="700"/>
      <c r="M287" s="700"/>
      <c r="N287" s="698" t="s">
        <v>5</v>
      </c>
      <c r="O287" s="698"/>
      <c r="P287" s="698"/>
      <c r="Q287" s="698"/>
      <c r="R287" s="698"/>
    </row>
    <row r="288" spans="1:18">
      <c r="A288" s="694"/>
      <c r="B288" s="696"/>
      <c r="C288" s="696"/>
      <c r="D288" s="45" t="s">
        <v>6</v>
      </c>
      <c r="E288" s="46" t="s">
        <v>2</v>
      </c>
      <c r="F288" s="46" t="s">
        <v>7</v>
      </c>
      <c r="G288" s="46" t="s">
        <v>8</v>
      </c>
      <c r="H288" s="46" t="s">
        <v>9</v>
      </c>
      <c r="I288" s="46" t="s">
        <v>10</v>
      </c>
      <c r="J288" s="46" t="s">
        <v>2</v>
      </c>
      <c r="K288" s="46" t="s">
        <v>7</v>
      </c>
      <c r="L288" s="46" t="s">
        <v>8</v>
      </c>
      <c r="M288" s="47" t="s">
        <v>9</v>
      </c>
      <c r="N288" s="46" t="s">
        <v>10</v>
      </c>
      <c r="O288" s="46" t="s">
        <v>2</v>
      </c>
      <c r="P288" s="46" t="s">
        <v>7</v>
      </c>
      <c r="Q288" s="46" t="s">
        <v>8</v>
      </c>
      <c r="R288" s="46" t="s">
        <v>9</v>
      </c>
    </row>
    <row r="289" spans="1:18">
      <c r="A289" s="33" t="s">
        <v>23</v>
      </c>
      <c r="B289" s="73" t="s">
        <v>174</v>
      </c>
      <c r="C289" s="31"/>
      <c r="D289" s="31"/>
      <c r="E289" s="31"/>
      <c r="F289" s="31"/>
      <c r="G289" s="31"/>
      <c r="H289" s="31"/>
      <c r="I289" s="31"/>
      <c r="J289" s="31"/>
      <c r="K289" s="31"/>
      <c r="L289" s="31"/>
      <c r="M289" s="31"/>
      <c r="N289" s="31"/>
      <c r="O289" s="31"/>
      <c r="P289" s="31"/>
      <c r="Q289" s="31"/>
      <c r="R289" s="32"/>
    </row>
    <row r="290" spans="1:18">
      <c r="A290" s="34">
        <f>A271+1</f>
        <v>16</v>
      </c>
      <c r="B290" s="727" t="s">
        <v>177</v>
      </c>
      <c r="C290" s="6" t="s">
        <v>11</v>
      </c>
      <c r="D290" s="4"/>
      <c r="E290" s="6"/>
      <c r="F290" s="29"/>
      <c r="G290" s="26"/>
      <c r="H290" s="26"/>
      <c r="I290" s="6"/>
      <c r="J290" s="6"/>
      <c r="K290" s="29"/>
      <c r="L290" s="26"/>
      <c r="M290" s="26"/>
      <c r="N290" s="6"/>
      <c r="O290" s="6"/>
      <c r="P290" s="29"/>
      <c r="Q290" s="26"/>
      <c r="R290" s="26"/>
    </row>
    <row r="291" spans="1:18">
      <c r="A291" s="2"/>
      <c r="B291" s="728"/>
      <c r="C291" s="6"/>
      <c r="D291" s="4" t="s">
        <v>97</v>
      </c>
      <c r="E291" s="6" t="s">
        <v>81</v>
      </c>
      <c r="F291" s="29">
        <v>4.75</v>
      </c>
      <c r="G291" s="26">
        <f>ur</f>
        <v>850</v>
      </c>
      <c r="H291" s="26">
        <f>F291*G291</f>
        <v>4037.5</v>
      </c>
      <c r="I291" s="7"/>
      <c r="J291" s="8"/>
      <c r="K291" s="29"/>
      <c r="L291" s="28"/>
      <c r="M291" s="26"/>
      <c r="N291" s="8" t="s">
        <v>128</v>
      </c>
      <c r="O291" s="6"/>
      <c r="P291" s="29"/>
      <c r="Q291" s="28"/>
      <c r="R291" s="28">
        <f>3%*H296</f>
        <v>121.125</v>
      </c>
    </row>
    <row r="292" spans="1:18">
      <c r="A292" s="2"/>
      <c r="B292" s="728"/>
      <c r="C292" s="6"/>
      <c r="D292" s="4"/>
      <c r="E292" s="6"/>
      <c r="F292" s="29"/>
      <c r="G292" s="26"/>
      <c r="H292" s="26"/>
      <c r="I292" s="7"/>
      <c r="J292" s="8"/>
      <c r="K292" s="29"/>
      <c r="L292" s="28"/>
      <c r="M292" s="26"/>
      <c r="N292" s="8"/>
      <c r="O292" s="6"/>
      <c r="P292" s="29"/>
      <c r="Q292" s="28"/>
      <c r="R292" s="28"/>
    </row>
    <row r="293" spans="1:18">
      <c r="A293" s="2"/>
      <c r="B293" s="728"/>
      <c r="C293" s="6"/>
      <c r="D293" s="4"/>
      <c r="E293" s="6"/>
      <c r="F293" s="29"/>
      <c r="G293" s="26"/>
      <c r="H293" s="26"/>
      <c r="I293" s="7"/>
      <c r="J293" s="8"/>
      <c r="K293" s="29"/>
      <c r="L293" s="28"/>
      <c r="M293" s="26"/>
      <c r="N293" s="8"/>
      <c r="O293" s="6"/>
      <c r="P293" s="29"/>
      <c r="Q293" s="28"/>
      <c r="R293" s="28"/>
    </row>
    <row r="294" spans="1:18">
      <c r="A294" s="2"/>
      <c r="B294" s="728"/>
      <c r="C294" s="6"/>
      <c r="D294" s="4"/>
      <c r="E294" s="6"/>
      <c r="F294" s="29"/>
      <c r="G294" s="26"/>
      <c r="H294" s="26"/>
      <c r="I294" s="7"/>
      <c r="J294" s="8"/>
      <c r="K294" s="29"/>
      <c r="L294" s="28"/>
      <c r="M294" s="28"/>
      <c r="N294" s="8"/>
      <c r="O294" s="6"/>
      <c r="P294" s="29"/>
      <c r="Q294" s="28"/>
      <c r="R294" s="28"/>
    </row>
    <row r="295" spans="1:18">
      <c r="A295" s="2"/>
      <c r="B295" s="84"/>
      <c r="C295" s="6"/>
      <c r="D295" s="4"/>
      <c r="E295" s="9"/>
      <c r="F295" s="30"/>
      <c r="G295" s="27"/>
      <c r="H295" s="27"/>
      <c r="I295" s="9"/>
      <c r="J295" s="10"/>
      <c r="K295" s="30"/>
      <c r="L295" s="28"/>
      <c r="M295" s="28"/>
      <c r="N295" s="8"/>
      <c r="O295" s="6"/>
      <c r="P295" s="30"/>
      <c r="Q295" s="28"/>
      <c r="R295" s="28"/>
    </row>
    <row r="296" spans="1:18">
      <c r="A296" s="2"/>
      <c r="B296" s="11"/>
      <c r="C296" s="6"/>
      <c r="D296" s="12"/>
      <c r="E296" s="59"/>
      <c r="F296" s="13"/>
      <c r="G296" s="13" t="s">
        <v>20</v>
      </c>
      <c r="H296" s="25">
        <f>SUM(H290:H295)</f>
        <v>4037.5</v>
      </c>
      <c r="I296" s="703"/>
      <c r="J296" s="703"/>
      <c r="K296" s="14"/>
      <c r="L296" s="13" t="s">
        <v>21</v>
      </c>
      <c r="M296" s="25">
        <f>SUM(M290:M295)</f>
        <v>0</v>
      </c>
      <c r="N296" s="3"/>
      <c r="O296" s="14"/>
      <c r="P296" s="14"/>
      <c r="Q296" s="13" t="s">
        <v>22</v>
      </c>
      <c r="R296" s="25">
        <f>SUM(R290:R295)</f>
        <v>121.125</v>
      </c>
    </row>
    <row r="297" spans="1:18">
      <c r="A297" s="2"/>
      <c r="B297" s="16" t="s">
        <v>13</v>
      </c>
      <c r="C297" s="14"/>
      <c r="D297" s="14"/>
      <c r="E297" s="14"/>
      <c r="F297" s="14"/>
      <c r="G297" s="13"/>
      <c r="H297" s="35">
        <f>M296+R296+H296</f>
        <v>4158.625</v>
      </c>
      <c r="I297" s="17"/>
      <c r="J297" s="14"/>
      <c r="K297" s="14"/>
      <c r="L297" s="13"/>
      <c r="M297" s="15"/>
      <c r="N297" s="14"/>
      <c r="O297" s="14"/>
      <c r="P297" s="14"/>
      <c r="Q297" s="14"/>
      <c r="R297" s="17"/>
    </row>
    <row r="298" spans="1:18">
      <c r="A298" s="2"/>
      <c r="B298" s="11" t="s">
        <v>25</v>
      </c>
      <c r="C298" s="4" t="s">
        <v>189</v>
      </c>
      <c r="D298" s="4"/>
      <c r="E298" s="4"/>
      <c r="F298" s="4"/>
      <c r="G298" s="18"/>
      <c r="H298" s="36">
        <f>$H$226</f>
        <v>903</v>
      </c>
      <c r="I298" s="20"/>
      <c r="J298" s="4" t="s">
        <v>26</v>
      </c>
      <c r="K298" s="4"/>
      <c r="L298" s="18"/>
      <c r="M298" s="19"/>
      <c r="N298" s="4"/>
      <c r="O298" s="4"/>
      <c r="P298" s="4"/>
      <c r="Q298" s="4"/>
      <c r="R298" s="20"/>
    </row>
    <row r="299" spans="1:18">
      <c r="A299" s="23"/>
      <c r="B299" s="11" t="s">
        <v>14</v>
      </c>
      <c r="C299" s="4"/>
      <c r="D299" s="4"/>
      <c r="E299" s="4"/>
      <c r="F299" s="4"/>
      <c r="G299" s="18"/>
      <c r="H299" s="36">
        <f>SUM(H297:H298)</f>
        <v>5061.625</v>
      </c>
      <c r="I299" s="20"/>
      <c r="J299" s="704" t="s">
        <v>183</v>
      </c>
      <c r="K299" s="705"/>
      <c r="L299" s="705"/>
      <c r="M299" s="705"/>
      <c r="N299" s="705"/>
      <c r="O299" s="705"/>
      <c r="P299" s="705"/>
      <c r="Q299" s="705"/>
      <c r="R299" s="706"/>
    </row>
    <row r="300" spans="1:18">
      <c r="A300" s="23"/>
      <c r="B300" s="11" t="s">
        <v>24</v>
      </c>
      <c r="C300" s="4"/>
      <c r="D300" s="4"/>
      <c r="E300" s="4"/>
      <c r="F300" s="4"/>
      <c r="G300" s="18"/>
      <c r="H300" s="36">
        <f>H299*15%</f>
        <v>759.24374999999998</v>
      </c>
      <c r="I300" s="20"/>
      <c r="J300" s="707"/>
      <c r="K300" s="708"/>
      <c r="L300" s="708"/>
      <c r="M300" s="708"/>
      <c r="N300" s="708"/>
      <c r="O300" s="708"/>
      <c r="P300" s="708"/>
      <c r="Q300" s="708"/>
      <c r="R300" s="709"/>
    </row>
    <row r="301" spans="1:18">
      <c r="A301" s="23"/>
      <c r="B301" s="11" t="s">
        <v>15</v>
      </c>
      <c r="C301" s="4"/>
      <c r="D301" s="4"/>
      <c r="E301" s="4"/>
      <c r="F301" s="4"/>
      <c r="G301" s="21" t="s">
        <v>16</v>
      </c>
      <c r="H301" s="37">
        <f>H300+H299</f>
        <v>5820.8687499999996</v>
      </c>
      <c r="I301" s="38" t="str">
        <f>CONCATENATE("per ",C290)</f>
        <v>per cum</v>
      </c>
      <c r="J301" s="707"/>
      <c r="K301" s="708"/>
      <c r="L301" s="708"/>
      <c r="M301" s="708"/>
      <c r="N301" s="708"/>
      <c r="O301" s="708"/>
      <c r="P301" s="708"/>
      <c r="Q301" s="708"/>
      <c r="R301" s="709"/>
    </row>
    <row r="302" spans="1:18">
      <c r="A302" s="23"/>
      <c r="B302" s="11" t="s">
        <v>18</v>
      </c>
      <c r="C302" s="4" t="s">
        <v>19</v>
      </c>
      <c r="D302" s="4"/>
      <c r="E302" s="4"/>
      <c r="F302" s="4"/>
      <c r="G302" s="21" t="s">
        <v>16</v>
      </c>
      <c r="H302" s="37">
        <f>CEILING(H301,0.5)</f>
        <v>5821</v>
      </c>
      <c r="I302" s="38" t="str">
        <f>CONCATENATE("per ",C290)</f>
        <v>per cum</v>
      </c>
      <c r="J302" s="707"/>
      <c r="K302" s="708"/>
      <c r="L302" s="708"/>
      <c r="M302" s="708"/>
      <c r="N302" s="708"/>
      <c r="O302" s="708"/>
      <c r="P302" s="708"/>
      <c r="Q302" s="708"/>
      <c r="R302" s="709"/>
    </row>
    <row r="303" spans="1:18">
      <c r="A303" s="23"/>
      <c r="B303" s="11"/>
      <c r="C303" s="4"/>
      <c r="D303" s="4"/>
      <c r="E303" s="4"/>
      <c r="F303" s="4"/>
      <c r="G303" s="24" t="s">
        <v>17</v>
      </c>
      <c r="H303" s="37">
        <f>H302/exr</f>
        <v>44.776923076923076</v>
      </c>
      <c r="I303" s="38" t="str">
        <f>CONCATENATE("per ",C290)</f>
        <v>per cum</v>
      </c>
      <c r="J303" s="710"/>
      <c r="K303" s="711"/>
      <c r="L303" s="711"/>
      <c r="M303" s="711"/>
      <c r="N303" s="711"/>
      <c r="O303" s="711"/>
      <c r="P303" s="711"/>
      <c r="Q303" s="711"/>
      <c r="R303" s="712"/>
    </row>
    <row r="304" spans="1:18">
      <c r="A304" s="39"/>
      <c r="B304" s="40"/>
      <c r="C304" s="41"/>
      <c r="D304" s="41"/>
      <c r="E304" s="41"/>
      <c r="F304" s="41"/>
      <c r="G304" s="149" t="s">
        <v>460</v>
      </c>
      <c r="H304" s="150">
        <f>CEILING(0,0.0025)</f>
        <v>0</v>
      </c>
      <c r="I304" s="42"/>
      <c r="J304" s="43"/>
      <c r="K304" s="43"/>
      <c r="L304" s="43"/>
      <c r="M304" s="43"/>
      <c r="N304" s="43"/>
      <c r="O304" s="43"/>
      <c r="P304" s="43"/>
      <c r="Q304" s="43"/>
      <c r="R304" s="44"/>
    </row>
    <row r="306" spans="1:18">
      <c r="A306" s="693" t="s">
        <v>0</v>
      </c>
      <c r="B306" s="695" t="s">
        <v>1</v>
      </c>
      <c r="C306" s="695" t="s">
        <v>2</v>
      </c>
      <c r="D306" s="697" t="s">
        <v>3</v>
      </c>
      <c r="E306" s="698"/>
      <c r="F306" s="698"/>
      <c r="G306" s="698"/>
      <c r="H306" s="698"/>
      <c r="I306" s="699" t="s">
        <v>4</v>
      </c>
      <c r="J306" s="700"/>
      <c r="K306" s="700"/>
      <c r="L306" s="700"/>
      <c r="M306" s="700"/>
      <c r="N306" s="698" t="s">
        <v>5</v>
      </c>
      <c r="O306" s="698"/>
      <c r="P306" s="698"/>
      <c r="Q306" s="698"/>
      <c r="R306" s="698"/>
    </row>
    <row r="307" spans="1:18">
      <c r="A307" s="694"/>
      <c r="B307" s="696"/>
      <c r="C307" s="696"/>
      <c r="D307" s="45" t="s">
        <v>6</v>
      </c>
      <c r="E307" s="46" t="s">
        <v>2</v>
      </c>
      <c r="F307" s="46" t="s">
        <v>7</v>
      </c>
      <c r="G307" s="46" t="s">
        <v>8</v>
      </c>
      <c r="H307" s="46" t="s">
        <v>9</v>
      </c>
      <c r="I307" s="46" t="s">
        <v>10</v>
      </c>
      <c r="J307" s="46" t="s">
        <v>2</v>
      </c>
      <c r="K307" s="46" t="s">
        <v>7</v>
      </c>
      <c r="L307" s="46" t="s">
        <v>8</v>
      </c>
      <c r="M307" s="47" t="s">
        <v>9</v>
      </c>
      <c r="N307" s="46" t="s">
        <v>10</v>
      </c>
      <c r="O307" s="46" t="s">
        <v>2</v>
      </c>
      <c r="P307" s="46" t="s">
        <v>7</v>
      </c>
      <c r="Q307" s="46" t="s">
        <v>8</v>
      </c>
      <c r="R307" s="46" t="s">
        <v>9</v>
      </c>
    </row>
    <row r="308" spans="1:18">
      <c r="A308" s="33" t="s">
        <v>23</v>
      </c>
      <c r="B308" s="73" t="s">
        <v>174</v>
      </c>
      <c r="C308" s="31"/>
      <c r="D308" s="31"/>
      <c r="E308" s="31"/>
      <c r="F308" s="31"/>
      <c r="G308" s="31"/>
      <c r="H308" s="31"/>
      <c r="I308" s="31"/>
      <c r="J308" s="31"/>
      <c r="K308" s="31"/>
      <c r="L308" s="31"/>
      <c r="M308" s="31"/>
      <c r="N308" s="31"/>
      <c r="O308" s="31"/>
      <c r="P308" s="31"/>
      <c r="Q308" s="31"/>
      <c r="R308" s="32"/>
    </row>
    <row r="309" spans="1:18">
      <c r="A309" s="34">
        <f>A290+1</f>
        <v>17</v>
      </c>
      <c r="B309" s="715" t="s">
        <v>178</v>
      </c>
      <c r="C309" s="8" t="s">
        <v>11</v>
      </c>
      <c r="D309" s="87"/>
      <c r="E309" s="8"/>
      <c r="F309" s="88"/>
      <c r="G309" s="28"/>
      <c r="H309" s="28"/>
      <c r="I309" s="8"/>
      <c r="J309" s="8"/>
      <c r="K309" s="88"/>
      <c r="L309" s="28"/>
      <c r="M309" s="28"/>
      <c r="N309" s="8"/>
      <c r="O309" s="8"/>
      <c r="P309" s="88"/>
      <c r="Q309" s="28"/>
      <c r="R309" s="28"/>
    </row>
    <row r="310" spans="1:18">
      <c r="A310" s="2"/>
      <c r="B310" s="716"/>
      <c r="C310" s="8"/>
      <c r="D310" s="87"/>
      <c r="E310" s="8"/>
      <c r="F310" s="88"/>
      <c r="G310" s="28"/>
      <c r="H310" s="28"/>
      <c r="I310" s="89"/>
      <c r="J310" s="8"/>
      <c r="K310" s="88"/>
      <c r="L310" s="28"/>
      <c r="M310" s="28"/>
      <c r="N310" s="8"/>
      <c r="O310" s="8"/>
      <c r="P310" s="88"/>
      <c r="Q310" s="28"/>
      <c r="R310" s="28"/>
    </row>
    <row r="311" spans="1:18">
      <c r="A311" s="2"/>
      <c r="B311" s="716"/>
      <c r="C311" s="8"/>
      <c r="D311" s="87"/>
      <c r="E311" s="8"/>
      <c r="F311" s="88"/>
      <c r="G311" s="28"/>
      <c r="H311" s="28"/>
      <c r="I311" s="89"/>
      <c r="J311" s="8"/>
      <c r="K311" s="88"/>
      <c r="L311" s="28"/>
      <c r="M311" s="28"/>
      <c r="N311" s="8"/>
      <c r="O311" s="8"/>
      <c r="P311" s="88"/>
      <c r="Q311" s="28"/>
      <c r="R311" s="28"/>
    </row>
    <row r="312" spans="1:18">
      <c r="A312" s="2"/>
      <c r="B312" s="716"/>
      <c r="C312" s="8"/>
      <c r="D312" s="87"/>
      <c r="E312" s="8"/>
      <c r="F312" s="88"/>
      <c r="G312" s="28"/>
      <c r="H312" s="28"/>
      <c r="I312" s="89"/>
      <c r="J312" s="8"/>
      <c r="K312" s="88"/>
      <c r="L312" s="28"/>
      <c r="M312" s="28"/>
      <c r="N312" s="8"/>
      <c r="O312" s="8"/>
      <c r="P312" s="88"/>
      <c r="Q312" s="28"/>
      <c r="R312" s="28"/>
    </row>
    <row r="313" spans="1:18">
      <c r="A313" s="2"/>
      <c r="B313" s="716"/>
      <c r="C313" s="8"/>
      <c r="D313" s="87"/>
      <c r="E313" s="8"/>
      <c r="F313" s="88"/>
      <c r="G313" s="28"/>
      <c r="H313" s="28"/>
      <c r="I313" s="89"/>
      <c r="J313" s="8"/>
      <c r="K313" s="88"/>
      <c r="L313" s="28"/>
      <c r="M313" s="28"/>
      <c r="N313" s="8"/>
      <c r="O313" s="8"/>
      <c r="P313" s="88"/>
      <c r="Q313" s="28"/>
      <c r="R313" s="28"/>
    </row>
    <row r="314" spans="1:18">
      <c r="A314" s="2"/>
      <c r="B314" s="90"/>
      <c r="C314" s="8"/>
      <c r="D314" s="87"/>
      <c r="E314" s="10"/>
      <c r="F314" s="91"/>
      <c r="G314" s="92"/>
      <c r="H314" s="92"/>
      <c r="I314" s="10"/>
      <c r="J314" s="10"/>
      <c r="K314" s="91"/>
      <c r="L314" s="28"/>
      <c r="M314" s="28"/>
      <c r="N314" s="8"/>
      <c r="O314" s="8"/>
      <c r="P314" s="91"/>
      <c r="Q314" s="28"/>
      <c r="R314" s="28"/>
    </row>
    <row r="315" spans="1:18">
      <c r="A315" s="2"/>
      <c r="B315" s="2"/>
      <c r="C315" s="8"/>
      <c r="D315" s="93"/>
      <c r="E315" s="94"/>
      <c r="F315" s="95"/>
      <c r="G315" s="95" t="s">
        <v>20</v>
      </c>
      <c r="H315" s="96">
        <f>SUM(H309:H314)</f>
        <v>0</v>
      </c>
      <c r="I315" s="717"/>
      <c r="J315" s="717"/>
      <c r="K315" s="97"/>
      <c r="L315" s="95" t="s">
        <v>21</v>
      </c>
      <c r="M315" s="96">
        <f>SUM(M309:M314)</f>
        <v>0</v>
      </c>
      <c r="N315" s="98"/>
      <c r="O315" s="97"/>
      <c r="P315" s="97"/>
      <c r="Q315" s="95" t="s">
        <v>22</v>
      </c>
      <c r="R315" s="96">
        <f>SUM(R309:R314)</f>
        <v>0</v>
      </c>
    </row>
    <row r="316" spans="1:18">
      <c r="A316" s="2"/>
      <c r="B316" s="99" t="s">
        <v>13</v>
      </c>
      <c r="C316" s="97"/>
      <c r="D316" s="97"/>
      <c r="E316" s="97"/>
      <c r="F316" s="97"/>
      <c r="G316" s="95"/>
      <c r="H316" s="100">
        <f>M315+R315+H315</f>
        <v>0</v>
      </c>
      <c r="I316" s="101"/>
      <c r="J316" s="97"/>
      <c r="K316" s="97"/>
      <c r="L316" s="95"/>
      <c r="M316" s="102"/>
      <c r="N316" s="97"/>
      <c r="O316" s="97"/>
      <c r="P316" s="97"/>
      <c r="Q316" s="97"/>
      <c r="R316" s="101"/>
    </row>
    <row r="317" spans="1:18">
      <c r="A317" s="2"/>
      <c r="B317" s="2" t="s">
        <v>25</v>
      </c>
      <c r="C317" s="87"/>
      <c r="D317" s="87"/>
      <c r="E317" s="87"/>
      <c r="F317" s="87"/>
      <c r="G317" s="103"/>
      <c r="H317" s="104">
        <v>0</v>
      </c>
      <c r="I317" s="105"/>
      <c r="J317" s="87" t="s">
        <v>26</v>
      </c>
      <c r="K317" s="87"/>
      <c r="L317" s="103"/>
      <c r="M317" s="106"/>
      <c r="N317" s="87"/>
      <c r="O317" s="87"/>
      <c r="P317" s="87"/>
      <c r="Q317" s="87"/>
      <c r="R317" s="105"/>
    </row>
    <row r="318" spans="1:18">
      <c r="A318" s="23"/>
      <c r="B318" s="2" t="s">
        <v>14</v>
      </c>
      <c r="C318" s="87"/>
      <c r="D318" s="87"/>
      <c r="E318" s="87"/>
      <c r="F318" s="87"/>
      <c r="G318" s="103"/>
      <c r="H318" s="104">
        <f>SUM(H316:H317)</f>
        <v>0</v>
      </c>
      <c r="I318" s="105"/>
      <c r="J318" s="718" t="s">
        <v>179</v>
      </c>
      <c r="K318" s="719"/>
      <c r="L318" s="719"/>
      <c r="M318" s="719"/>
      <c r="N318" s="719"/>
      <c r="O318" s="719"/>
      <c r="P318" s="719"/>
      <c r="Q318" s="719"/>
      <c r="R318" s="720"/>
    </row>
    <row r="319" spans="1:18">
      <c r="A319" s="23"/>
      <c r="B319" s="2" t="s">
        <v>24</v>
      </c>
      <c r="C319" s="87"/>
      <c r="D319" s="87"/>
      <c r="E319" s="87"/>
      <c r="F319" s="87"/>
      <c r="G319" s="103"/>
      <c r="H319" s="104">
        <f>H318*15%</f>
        <v>0</v>
      </c>
      <c r="I319" s="105"/>
      <c r="J319" s="721"/>
      <c r="K319" s="722"/>
      <c r="L319" s="722"/>
      <c r="M319" s="722"/>
      <c r="N319" s="722"/>
      <c r="O319" s="722"/>
      <c r="P319" s="722"/>
      <c r="Q319" s="722"/>
      <c r="R319" s="723"/>
    </row>
    <row r="320" spans="1:18">
      <c r="A320" s="23"/>
      <c r="B320" s="2" t="s">
        <v>15</v>
      </c>
      <c r="C320" s="87"/>
      <c r="D320" s="87"/>
      <c r="E320" s="87"/>
      <c r="F320" s="87"/>
      <c r="G320" s="107" t="s">
        <v>16</v>
      </c>
      <c r="H320" s="37">
        <f>H319+H318</f>
        <v>0</v>
      </c>
      <c r="I320" s="108" t="str">
        <f>CONCATENATE("per ",C309)</f>
        <v>per cum</v>
      </c>
      <c r="J320" s="721"/>
      <c r="K320" s="722"/>
      <c r="L320" s="722"/>
      <c r="M320" s="722"/>
      <c r="N320" s="722"/>
      <c r="O320" s="722"/>
      <c r="P320" s="722"/>
      <c r="Q320" s="722"/>
      <c r="R320" s="723"/>
    </row>
    <row r="321" spans="1:18">
      <c r="A321" s="23"/>
      <c r="B321" s="2" t="s">
        <v>18</v>
      </c>
      <c r="C321" s="87" t="s">
        <v>19</v>
      </c>
      <c r="D321" s="87"/>
      <c r="E321" s="87"/>
      <c r="F321" s="87"/>
      <c r="G321" s="107" t="s">
        <v>16</v>
      </c>
      <c r="H321" s="37">
        <f>CEILING(H320,0.5)</f>
        <v>0</v>
      </c>
      <c r="I321" s="108" t="str">
        <f>CONCATENATE("per ",C309)</f>
        <v>per cum</v>
      </c>
      <c r="J321" s="721"/>
      <c r="K321" s="722"/>
      <c r="L321" s="722"/>
      <c r="M321" s="722"/>
      <c r="N321" s="722"/>
      <c r="O321" s="722"/>
      <c r="P321" s="722"/>
      <c r="Q321" s="722"/>
      <c r="R321" s="723"/>
    </row>
    <row r="322" spans="1:18">
      <c r="A322" s="23"/>
      <c r="B322" s="2"/>
      <c r="C322" s="87"/>
      <c r="D322" s="87"/>
      <c r="E322" s="87"/>
      <c r="F322" s="87"/>
      <c r="G322" s="109" t="s">
        <v>17</v>
      </c>
      <c r="H322" s="37">
        <f>H321/exr</f>
        <v>0</v>
      </c>
      <c r="I322" s="108" t="str">
        <f>CONCATENATE("per ",C309)</f>
        <v>per cum</v>
      </c>
      <c r="J322" s="724"/>
      <c r="K322" s="725"/>
      <c r="L322" s="725"/>
      <c r="M322" s="725"/>
      <c r="N322" s="725"/>
      <c r="O322" s="725"/>
      <c r="P322" s="725"/>
      <c r="Q322" s="725"/>
      <c r="R322" s="726"/>
    </row>
    <row r="323" spans="1:18">
      <c r="A323" s="39"/>
      <c r="B323" s="40"/>
      <c r="C323" s="41"/>
      <c r="D323" s="41"/>
      <c r="E323" s="41"/>
      <c r="F323" s="41"/>
      <c r="G323" s="149" t="s">
        <v>460</v>
      </c>
      <c r="H323" s="150">
        <f>CEILING(0,0.0025)</f>
        <v>0</v>
      </c>
      <c r="I323" s="42"/>
      <c r="J323" s="43"/>
      <c r="K323" s="43"/>
      <c r="L323" s="43"/>
      <c r="M323" s="43"/>
      <c r="N323" s="43"/>
      <c r="O323" s="43"/>
      <c r="P323" s="43"/>
      <c r="Q323" s="43"/>
      <c r="R323" s="44"/>
    </row>
    <row r="325" spans="1:18">
      <c r="A325" s="693" t="s">
        <v>0</v>
      </c>
      <c r="B325" s="695" t="s">
        <v>1</v>
      </c>
      <c r="C325" s="695" t="s">
        <v>2</v>
      </c>
      <c r="D325" s="697" t="s">
        <v>3</v>
      </c>
      <c r="E325" s="698"/>
      <c r="F325" s="698"/>
      <c r="G325" s="698"/>
      <c r="H325" s="698"/>
      <c r="I325" s="699" t="s">
        <v>4</v>
      </c>
      <c r="J325" s="700"/>
      <c r="K325" s="700"/>
      <c r="L325" s="700"/>
      <c r="M325" s="700"/>
      <c r="N325" s="698" t="s">
        <v>5</v>
      </c>
      <c r="O325" s="698"/>
      <c r="P325" s="698"/>
      <c r="Q325" s="698"/>
      <c r="R325" s="698"/>
    </row>
    <row r="326" spans="1:18">
      <c r="A326" s="694"/>
      <c r="B326" s="696"/>
      <c r="C326" s="696"/>
      <c r="D326" s="45" t="s">
        <v>6</v>
      </c>
      <c r="E326" s="46" t="s">
        <v>2</v>
      </c>
      <c r="F326" s="46" t="s">
        <v>7</v>
      </c>
      <c r="G326" s="46" t="s">
        <v>8</v>
      </c>
      <c r="H326" s="46" t="s">
        <v>9</v>
      </c>
      <c r="I326" s="46" t="s">
        <v>10</v>
      </c>
      <c r="J326" s="46" t="s">
        <v>2</v>
      </c>
      <c r="K326" s="46" t="s">
        <v>7</v>
      </c>
      <c r="L326" s="46" t="s">
        <v>8</v>
      </c>
      <c r="M326" s="47" t="s">
        <v>9</v>
      </c>
      <c r="N326" s="46" t="s">
        <v>10</v>
      </c>
      <c r="O326" s="46" t="s">
        <v>2</v>
      </c>
      <c r="P326" s="46" t="s">
        <v>7</v>
      </c>
      <c r="Q326" s="46" t="s">
        <v>8</v>
      </c>
      <c r="R326" s="46" t="s">
        <v>9</v>
      </c>
    </row>
    <row r="327" spans="1:18">
      <c r="A327" s="33" t="s">
        <v>23</v>
      </c>
      <c r="B327" s="73" t="s">
        <v>187</v>
      </c>
      <c r="C327" s="31"/>
      <c r="D327" s="31"/>
      <c r="E327" s="31"/>
      <c r="F327" s="31"/>
      <c r="G327" s="31"/>
      <c r="H327" s="31"/>
      <c r="I327" s="31"/>
      <c r="J327" s="31"/>
      <c r="K327" s="31"/>
      <c r="L327" s="31"/>
      <c r="M327" s="31"/>
      <c r="N327" s="31"/>
      <c r="O327" s="31"/>
      <c r="P327" s="31"/>
      <c r="Q327" s="31"/>
      <c r="R327" s="32"/>
    </row>
    <row r="328" spans="1:18">
      <c r="A328" s="34">
        <f>A309+1</f>
        <v>18</v>
      </c>
      <c r="B328" s="727" t="s">
        <v>185</v>
      </c>
      <c r="C328" s="6" t="s">
        <v>11</v>
      </c>
      <c r="D328" s="4"/>
      <c r="E328" s="6"/>
      <c r="F328" s="29"/>
      <c r="G328" s="26"/>
      <c r="H328" s="26"/>
      <c r="I328" s="6"/>
      <c r="J328" s="6"/>
      <c r="K328" s="29"/>
      <c r="L328" s="26"/>
      <c r="M328" s="26"/>
      <c r="N328" s="6"/>
      <c r="O328" s="6"/>
      <c r="P328" s="29"/>
      <c r="Q328" s="26"/>
      <c r="R328" s="26"/>
    </row>
    <row r="329" spans="1:18">
      <c r="A329" s="2"/>
      <c r="B329" s="728"/>
      <c r="C329" s="6"/>
      <c r="D329" s="4" t="s">
        <v>97</v>
      </c>
      <c r="E329" s="6" t="s">
        <v>81</v>
      </c>
      <c r="F329" s="29">
        <v>2</v>
      </c>
      <c r="G329" s="26">
        <f>ur</f>
        <v>850</v>
      </c>
      <c r="H329" s="26">
        <f>F329*G329</f>
        <v>1700</v>
      </c>
      <c r="I329" s="7"/>
      <c r="J329" s="8"/>
      <c r="K329" s="29"/>
      <c r="L329" s="28"/>
      <c r="M329" s="26"/>
      <c r="N329" s="8" t="s">
        <v>128</v>
      </c>
      <c r="O329" s="6"/>
      <c r="P329" s="29"/>
      <c r="Q329" s="28"/>
      <c r="R329" s="28">
        <f>3%*H336</f>
        <v>51</v>
      </c>
    </row>
    <row r="330" spans="1:18">
      <c r="A330" s="2"/>
      <c r="B330" s="728"/>
      <c r="C330" s="6"/>
      <c r="D330" s="4"/>
      <c r="E330" s="6"/>
      <c r="F330" s="29"/>
      <c r="G330" s="26"/>
      <c r="H330" s="26"/>
      <c r="I330" s="7"/>
      <c r="J330" s="8"/>
      <c r="K330" s="29"/>
      <c r="L330" s="28"/>
      <c r="M330" s="26"/>
      <c r="N330" s="8"/>
      <c r="O330" s="6"/>
      <c r="P330" s="29"/>
      <c r="Q330" s="28"/>
      <c r="R330" s="28"/>
    </row>
    <row r="331" spans="1:18">
      <c r="A331" s="2"/>
      <c r="B331" s="728"/>
      <c r="C331" s="6"/>
      <c r="D331" s="4"/>
      <c r="E331" s="6"/>
      <c r="F331" s="29"/>
      <c r="G331" s="26"/>
      <c r="H331" s="26"/>
      <c r="I331" s="7"/>
      <c r="J331" s="8"/>
      <c r="K331" s="29"/>
      <c r="L331" s="28"/>
      <c r="M331" s="26"/>
      <c r="N331" s="8"/>
      <c r="O331" s="6"/>
      <c r="P331" s="29"/>
      <c r="Q331" s="28"/>
      <c r="R331" s="28"/>
    </row>
    <row r="332" spans="1:18">
      <c r="A332" s="2"/>
      <c r="B332" s="728"/>
      <c r="C332" s="6"/>
      <c r="D332" s="4"/>
      <c r="E332" s="6"/>
      <c r="F332" s="29"/>
      <c r="G332" s="26"/>
      <c r="H332" s="26"/>
      <c r="I332" s="7"/>
      <c r="J332" s="8"/>
      <c r="K332" s="29"/>
      <c r="L332" s="28"/>
      <c r="M332" s="26"/>
      <c r="N332" s="8"/>
      <c r="O332" s="6"/>
      <c r="P332" s="29"/>
      <c r="Q332" s="28"/>
      <c r="R332" s="28"/>
    </row>
    <row r="333" spans="1:18">
      <c r="A333" s="2"/>
      <c r="B333" s="728"/>
      <c r="C333" s="6"/>
      <c r="D333" s="4"/>
      <c r="E333" s="6"/>
      <c r="F333" s="29"/>
      <c r="G333" s="26"/>
      <c r="H333" s="26"/>
      <c r="I333" s="7"/>
      <c r="J333" s="8"/>
      <c r="K333" s="29"/>
      <c r="L333" s="28"/>
      <c r="M333" s="26"/>
      <c r="N333" s="8"/>
      <c r="O333" s="6"/>
      <c r="P333" s="29"/>
      <c r="Q333" s="28"/>
      <c r="R333" s="28"/>
    </row>
    <row r="334" spans="1:18">
      <c r="A334" s="2"/>
      <c r="B334" s="728"/>
      <c r="C334" s="6"/>
      <c r="D334" s="4"/>
      <c r="E334" s="6"/>
      <c r="F334" s="29"/>
      <c r="G334" s="26"/>
      <c r="H334" s="26"/>
      <c r="I334" s="7"/>
      <c r="J334" s="8"/>
      <c r="K334" s="29"/>
      <c r="L334" s="28"/>
      <c r="M334" s="28"/>
      <c r="N334" s="8"/>
      <c r="O334" s="6"/>
      <c r="P334" s="29"/>
      <c r="Q334" s="28"/>
      <c r="R334" s="28"/>
    </row>
    <row r="335" spans="1:18">
      <c r="A335" s="2"/>
      <c r="B335" s="84"/>
      <c r="C335" s="6"/>
      <c r="D335" s="4"/>
      <c r="E335" s="9"/>
      <c r="F335" s="30"/>
      <c r="G335" s="27"/>
      <c r="H335" s="27"/>
      <c r="I335" s="9"/>
      <c r="J335" s="10"/>
      <c r="K335" s="30"/>
      <c r="L335" s="28"/>
      <c r="M335" s="28"/>
      <c r="N335" s="8"/>
      <c r="O335" s="6"/>
      <c r="P335" s="30"/>
      <c r="Q335" s="28"/>
      <c r="R335" s="28"/>
    </row>
    <row r="336" spans="1:18">
      <c r="A336" s="2"/>
      <c r="B336" s="11"/>
      <c r="C336" s="6"/>
      <c r="D336" s="12"/>
      <c r="E336" s="59"/>
      <c r="F336" s="13"/>
      <c r="G336" s="13" t="s">
        <v>20</v>
      </c>
      <c r="H336" s="25">
        <f>SUM(H328:H335)</f>
        <v>1700</v>
      </c>
      <c r="I336" s="703"/>
      <c r="J336" s="703"/>
      <c r="K336" s="14"/>
      <c r="L336" s="13" t="s">
        <v>21</v>
      </c>
      <c r="M336" s="25">
        <f>SUM(M328:M335)</f>
        <v>0</v>
      </c>
      <c r="N336" s="3"/>
      <c r="O336" s="14"/>
      <c r="P336" s="14"/>
      <c r="Q336" s="13" t="s">
        <v>22</v>
      </c>
      <c r="R336" s="25">
        <f>SUM(R328:R335)</f>
        <v>51</v>
      </c>
    </row>
    <row r="337" spans="1:18">
      <c r="A337" s="2"/>
      <c r="B337" s="16" t="s">
        <v>13</v>
      </c>
      <c r="C337" s="14"/>
      <c r="D337" s="14"/>
      <c r="E337" s="14"/>
      <c r="F337" s="14"/>
      <c r="G337" s="13"/>
      <c r="H337" s="35">
        <f>M336+R336+H336</f>
        <v>1751</v>
      </c>
      <c r="I337" s="17"/>
      <c r="J337" s="14"/>
      <c r="K337" s="14"/>
      <c r="L337" s="13"/>
      <c r="M337" s="15"/>
      <c r="N337" s="14"/>
      <c r="O337" s="14"/>
      <c r="P337" s="14"/>
      <c r="Q337" s="14"/>
      <c r="R337" s="17"/>
    </row>
    <row r="338" spans="1:18">
      <c r="A338" s="2"/>
      <c r="B338" s="11" t="s">
        <v>25</v>
      </c>
      <c r="C338" s="4" t="s">
        <v>188</v>
      </c>
      <c r="D338" s="4"/>
      <c r="E338" s="4"/>
      <c r="F338" s="4"/>
      <c r="G338" s="18"/>
      <c r="H338" s="36">
        <f>$H$226+120%*H337</f>
        <v>3004.2</v>
      </c>
      <c r="I338" s="20"/>
      <c r="J338" s="4" t="s">
        <v>26</v>
      </c>
      <c r="K338" s="4"/>
      <c r="L338" s="18"/>
      <c r="M338" s="19"/>
      <c r="N338" s="4"/>
      <c r="O338" s="4"/>
      <c r="P338" s="4"/>
      <c r="Q338" s="4"/>
      <c r="R338" s="20"/>
    </row>
    <row r="339" spans="1:18">
      <c r="A339" s="23"/>
      <c r="B339" s="11" t="s">
        <v>14</v>
      </c>
      <c r="C339" s="4"/>
      <c r="D339" s="4"/>
      <c r="E339" s="4"/>
      <c r="F339" s="4"/>
      <c r="G339" s="18"/>
      <c r="H339" s="36">
        <f>SUM(H337:H338)</f>
        <v>4755.2</v>
      </c>
      <c r="I339" s="20"/>
      <c r="J339" s="729" t="s">
        <v>186</v>
      </c>
      <c r="K339" s="705"/>
      <c r="L339" s="705"/>
      <c r="M339" s="705"/>
      <c r="N339" s="705"/>
      <c r="O339" s="705"/>
      <c r="P339" s="705"/>
      <c r="Q339" s="705"/>
      <c r="R339" s="706"/>
    </row>
    <row r="340" spans="1:18">
      <c r="A340" s="23"/>
      <c r="B340" s="11" t="s">
        <v>24</v>
      </c>
      <c r="C340" s="4"/>
      <c r="D340" s="4"/>
      <c r="E340" s="4"/>
      <c r="F340" s="4"/>
      <c r="G340" s="18"/>
      <c r="H340" s="36">
        <f>H339*15%</f>
        <v>713.28</v>
      </c>
      <c r="I340" s="20"/>
      <c r="J340" s="707"/>
      <c r="K340" s="708"/>
      <c r="L340" s="708"/>
      <c r="M340" s="708"/>
      <c r="N340" s="708"/>
      <c r="O340" s="708"/>
      <c r="P340" s="708"/>
      <c r="Q340" s="708"/>
      <c r="R340" s="709"/>
    </row>
    <row r="341" spans="1:18">
      <c r="A341" s="23"/>
      <c r="B341" s="11" t="s">
        <v>15</v>
      </c>
      <c r="C341" s="4"/>
      <c r="D341" s="4"/>
      <c r="E341" s="4"/>
      <c r="F341" s="4"/>
      <c r="G341" s="21" t="s">
        <v>16</v>
      </c>
      <c r="H341" s="37">
        <f>H340+H339</f>
        <v>5468.48</v>
      </c>
      <c r="I341" s="38" t="str">
        <f>CONCATENATE("per ",C328)</f>
        <v>per cum</v>
      </c>
      <c r="J341" s="707"/>
      <c r="K341" s="708"/>
      <c r="L341" s="708"/>
      <c r="M341" s="708"/>
      <c r="N341" s="708"/>
      <c r="O341" s="708"/>
      <c r="P341" s="708"/>
      <c r="Q341" s="708"/>
      <c r="R341" s="709"/>
    </row>
    <row r="342" spans="1:18">
      <c r="A342" s="23"/>
      <c r="B342" s="11" t="s">
        <v>18</v>
      </c>
      <c r="C342" s="4" t="s">
        <v>19</v>
      </c>
      <c r="D342" s="4"/>
      <c r="E342" s="4"/>
      <c r="F342" s="4"/>
      <c r="G342" s="21" t="s">
        <v>16</v>
      </c>
      <c r="H342" s="37">
        <f>CEILING(H341,0.5)</f>
        <v>5468.5</v>
      </c>
      <c r="I342" s="38" t="str">
        <f>CONCATENATE("per ",C328)</f>
        <v>per cum</v>
      </c>
      <c r="J342" s="707"/>
      <c r="K342" s="708"/>
      <c r="L342" s="708"/>
      <c r="M342" s="708"/>
      <c r="N342" s="708"/>
      <c r="O342" s="708"/>
      <c r="P342" s="708"/>
      <c r="Q342" s="708"/>
      <c r="R342" s="709"/>
    </row>
    <row r="343" spans="1:18">
      <c r="A343" s="23"/>
      <c r="B343" s="11"/>
      <c r="C343" s="4"/>
      <c r="D343" s="4"/>
      <c r="E343" s="4"/>
      <c r="F343" s="4"/>
      <c r="G343" s="24" t="s">
        <v>17</v>
      </c>
      <c r="H343" s="37">
        <f>H342/exr</f>
        <v>42.065384615384616</v>
      </c>
      <c r="I343" s="38" t="str">
        <f>CONCATENATE("per ",C328)</f>
        <v>per cum</v>
      </c>
      <c r="J343" s="710"/>
      <c r="K343" s="711"/>
      <c r="L343" s="711"/>
      <c r="M343" s="711"/>
      <c r="N343" s="711"/>
      <c r="O343" s="711"/>
      <c r="P343" s="711"/>
      <c r="Q343" s="711"/>
      <c r="R343" s="712"/>
    </row>
    <row r="344" spans="1:18">
      <c r="A344" s="39"/>
      <c r="B344" s="40"/>
      <c r="C344" s="41"/>
      <c r="D344" s="41"/>
      <c r="E344" s="41"/>
      <c r="F344" s="41"/>
      <c r="G344" s="149" t="s">
        <v>460</v>
      </c>
      <c r="H344" s="150">
        <f>CEILING(120%*H337/H339,0.0025)</f>
        <v>0.4425</v>
      </c>
      <c r="I344" s="42"/>
      <c r="J344" s="43"/>
      <c r="K344" s="43"/>
      <c r="L344" s="43"/>
      <c r="M344" s="43"/>
      <c r="N344" s="43"/>
      <c r="O344" s="43"/>
      <c r="P344" s="43"/>
      <c r="Q344" s="43"/>
      <c r="R344" s="44"/>
    </row>
    <row r="346" spans="1:18">
      <c r="A346" s="693" t="s">
        <v>0</v>
      </c>
      <c r="B346" s="695" t="s">
        <v>1</v>
      </c>
      <c r="C346" s="695" t="s">
        <v>2</v>
      </c>
      <c r="D346" s="697" t="s">
        <v>3</v>
      </c>
      <c r="E346" s="698"/>
      <c r="F346" s="698"/>
      <c r="G346" s="698"/>
      <c r="H346" s="698"/>
      <c r="I346" s="699" t="s">
        <v>4</v>
      </c>
      <c r="J346" s="700"/>
      <c r="K346" s="700"/>
      <c r="L346" s="700"/>
      <c r="M346" s="700"/>
      <c r="N346" s="698" t="s">
        <v>5</v>
      </c>
      <c r="O346" s="698"/>
      <c r="P346" s="698"/>
      <c r="Q346" s="698"/>
      <c r="R346" s="698"/>
    </row>
    <row r="347" spans="1:18">
      <c r="A347" s="694"/>
      <c r="B347" s="696"/>
      <c r="C347" s="696"/>
      <c r="D347" s="45" t="s">
        <v>6</v>
      </c>
      <c r="E347" s="46" t="s">
        <v>2</v>
      </c>
      <c r="F347" s="46" t="s">
        <v>7</v>
      </c>
      <c r="G347" s="46" t="s">
        <v>8</v>
      </c>
      <c r="H347" s="46" t="s">
        <v>9</v>
      </c>
      <c r="I347" s="46" t="s">
        <v>10</v>
      </c>
      <c r="J347" s="46" t="s">
        <v>2</v>
      </c>
      <c r="K347" s="46" t="s">
        <v>7</v>
      </c>
      <c r="L347" s="46" t="s">
        <v>8</v>
      </c>
      <c r="M347" s="47" t="s">
        <v>9</v>
      </c>
      <c r="N347" s="46" t="s">
        <v>10</v>
      </c>
      <c r="O347" s="46" t="s">
        <v>2</v>
      </c>
      <c r="P347" s="46" t="s">
        <v>7</v>
      </c>
      <c r="Q347" s="46" t="s">
        <v>8</v>
      </c>
      <c r="R347" s="46" t="s">
        <v>9</v>
      </c>
    </row>
    <row r="348" spans="1:18">
      <c r="A348" s="33" t="s">
        <v>23</v>
      </c>
      <c r="B348" s="73" t="s">
        <v>174</v>
      </c>
      <c r="C348" s="31"/>
      <c r="D348" s="31"/>
      <c r="E348" s="31"/>
      <c r="F348" s="31"/>
      <c r="G348" s="31"/>
      <c r="H348" s="31"/>
      <c r="I348" s="31"/>
      <c r="J348" s="31"/>
      <c r="K348" s="31"/>
      <c r="L348" s="31"/>
      <c r="M348" s="31"/>
      <c r="N348" s="31"/>
      <c r="O348" s="31"/>
      <c r="P348" s="31"/>
      <c r="Q348" s="31"/>
      <c r="R348" s="32"/>
    </row>
    <row r="349" spans="1:18">
      <c r="A349" s="34">
        <f>A328+1</f>
        <v>19</v>
      </c>
      <c r="B349" s="715" t="s">
        <v>190</v>
      </c>
      <c r="C349" s="8" t="s">
        <v>11</v>
      </c>
      <c r="D349" s="87"/>
      <c r="E349" s="8"/>
      <c r="F349" s="88"/>
      <c r="G349" s="28"/>
      <c r="H349" s="28"/>
      <c r="I349" s="8"/>
      <c r="J349" s="8"/>
      <c r="K349" s="88"/>
      <c r="L349" s="28"/>
      <c r="M349" s="26"/>
      <c r="N349" s="6"/>
      <c r="O349" s="6"/>
      <c r="P349" s="29"/>
      <c r="Q349" s="26"/>
      <c r="R349" s="26"/>
    </row>
    <row r="350" spans="1:18">
      <c r="A350" s="2"/>
      <c r="B350" s="716"/>
      <c r="C350" s="8"/>
      <c r="D350" s="87" t="s">
        <v>97</v>
      </c>
      <c r="E350" s="8" t="s">
        <v>81</v>
      </c>
      <c r="F350" s="88">
        <v>3</v>
      </c>
      <c r="G350" s="28">
        <f>ur</f>
        <v>850</v>
      </c>
      <c r="H350" s="28">
        <f>F350*G350</f>
        <v>2550</v>
      </c>
      <c r="I350" s="89"/>
      <c r="J350" s="8"/>
      <c r="K350" s="88"/>
      <c r="L350" s="28"/>
      <c r="M350" s="26"/>
      <c r="N350" s="8" t="s">
        <v>128</v>
      </c>
      <c r="O350" s="6"/>
      <c r="P350" s="29"/>
      <c r="Q350" s="28"/>
      <c r="R350" s="28">
        <f>3%*H357</f>
        <v>76.5</v>
      </c>
    </row>
    <row r="351" spans="1:18">
      <c r="A351" s="2"/>
      <c r="B351" s="716"/>
      <c r="C351" s="8"/>
      <c r="D351" s="87"/>
      <c r="E351" s="8"/>
      <c r="F351" s="88"/>
      <c r="G351" s="28"/>
      <c r="H351" s="28"/>
      <c r="I351" s="89"/>
      <c r="J351" s="8"/>
      <c r="K351" s="88"/>
      <c r="L351" s="28"/>
      <c r="M351" s="26"/>
      <c r="N351" s="8"/>
      <c r="O351" s="6"/>
      <c r="P351" s="29"/>
      <c r="Q351" s="28"/>
      <c r="R351" s="28"/>
    </row>
    <row r="352" spans="1:18">
      <c r="A352" s="2"/>
      <c r="B352" s="716"/>
      <c r="C352" s="8"/>
      <c r="D352" s="87"/>
      <c r="E352" s="8"/>
      <c r="F352" s="88"/>
      <c r="G352" s="28"/>
      <c r="H352" s="28"/>
      <c r="I352" s="89"/>
      <c r="J352" s="8"/>
      <c r="K352" s="88"/>
      <c r="L352" s="28"/>
      <c r="M352" s="26"/>
      <c r="N352" s="8"/>
      <c r="O352" s="6"/>
      <c r="P352" s="29"/>
      <c r="Q352" s="28"/>
      <c r="R352" s="28"/>
    </row>
    <row r="353" spans="1:18">
      <c r="A353" s="2"/>
      <c r="B353" s="716"/>
      <c r="C353" s="8"/>
      <c r="D353" s="87"/>
      <c r="E353" s="8"/>
      <c r="F353" s="88"/>
      <c r="G353" s="28"/>
      <c r="H353" s="28"/>
      <c r="I353" s="89"/>
      <c r="J353" s="8"/>
      <c r="K353" s="88"/>
      <c r="L353" s="28"/>
      <c r="M353" s="26"/>
      <c r="N353" s="8"/>
      <c r="O353" s="6"/>
      <c r="P353" s="29"/>
      <c r="Q353" s="28"/>
      <c r="R353" s="28"/>
    </row>
    <row r="354" spans="1:18">
      <c r="A354" s="2"/>
      <c r="B354" s="716"/>
      <c r="C354" s="8"/>
      <c r="D354" s="87"/>
      <c r="E354" s="8"/>
      <c r="F354" s="88"/>
      <c r="G354" s="28"/>
      <c r="H354" s="28"/>
      <c r="I354" s="89"/>
      <c r="J354" s="8"/>
      <c r="K354" s="88"/>
      <c r="L354" s="28"/>
      <c r="M354" s="26"/>
      <c r="N354" s="8"/>
      <c r="O354" s="6"/>
      <c r="P354" s="29"/>
      <c r="Q354" s="28"/>
      <c r="R354" s="28"/>
    </row>
    <row r="355" spans="1:18">
      <c r="A355" s="2"/>
      <c r="B355" s="716"/>
      <c r="C355" s="8"/>
      <c r="D355" s="87"/>
      <c r="E355" s="8"/>
      <c r="F355" s="88"/>
      <c r="G355" s="28"/>
      <c r="H355" s="28"/>
      <c r="I355" s="89"/>
      <c r="J355" s="8"/>
      <c r="K355" s="88"/>
      <c r="L355" s="28"/>
      <c r="M355" s="28"/>
      <c r="N355" s="8"/>
      <c r="O355" s="6"/>
      <c r="P355" s="29"/>
      <c r="Q355" s="28"/>
      <c r="R355" s="28"/>
    </row>
    <row r="356" spans="1:18">
      <c r="A356" s="2"/>
      <c r="B356" s="90"/>
      <c r="C356" s="8"/>
      <c r="D356" s="87"/>
      <c r="E356" s="10"/>
      <c r="F356" s="91"/>
      <c r="G356" s="92"/>
      <c r="H356" s="92"/>
      <c r="I356" s="10"/>
      <c r="J356" s="10"/>
      <c r="K356" s="91"/>
      <c r="L356" s="28"/>
      <c r="M356" s="28"/>
      <c r="N356" s="8"/>
      <c r="O356" s="6"/>
      <c r="P356" s="30"/>
      <c r="Q356" s="28"/>
      <c r="R356" s="28"/>
    </row>
    <row r="357" spans="1:18">
      <c r="A357" s="2"/>
      <c r="B357" s="11"/>
      <c r="C357" s="6"/>
      <c r="D357" s="12"/>
      <c r="E357" s="59"/>
      <c r="F357" s="13"/>
      <c r="G357" s="13" t="s">
        <v>20</v>
      </c>
      <c r="H357" s="25">
        <f>SUM(H349:H356)</f>
        <v>2550</v>
      </c>
      <c r="I357" s="703"/>
      <c r="J357" s="703"/>
      <c r="K357" s="14"/>
      <c r="L357" s="13" t="s">
        <v>21</v>
      </c>
      <c r="M357" s="25">
        <f>SUM(M349:M356)</f>
        <v>0</v>
      </c>
      <c r="N357" s="3"/>
      <c r="O357" s="14"/>
      <c r="P357" s="14"/>
      <c r="Q357" s="13" t="s">
        <v>22</v>
      </c>
      <c r="R357" s="25">
        <f>SUM(R349:R356)</f>
        <v>76.5</v>
      </c>
    </row>
    <row r="358" spans="1:18">
      <c r="A358" s="2"/>
      <c r="B358" s="16" t="s">
        <v>13</v>
      </c>
      <c r="C358" s="14"/>
      <c r="D358" s="14"/>
      <c r="E358" s="14"/>
      <c r="F358" s="14"/>
      <c r="G358" s="13"/>
      <c r="H358" s="35">
        <f>M357+R357+H357</f>
        <v>2626.5</v>
      </c>
      <c r="I358" s="17"/>
      <c r="J358" s="14"/>
      <c r="K358" s="14"/>
      <c r="L358" s="13"/>
      <c r="M358" s="15"/>
      <c r="N358" s="14"/>
      <c r="O358" s="14"/>
      <c r="P358" s="14"/>
      <c r="Q358" s="14"/>
      <c r="R358" s="17"/>
    </row>
    <row r="359" spans="1:18">
      <c r="A359" s="2"/>
      <c r="B359" s="11" t="s">
        <v>25</v>
      </c>
      <c r="C359" s="4" t="s">
        <v>188</v>
      </c>
      <c r="D359" s="4"/>
      <c r="E359" s="4"/>
      <c r="F359" s="4"/>
      <c r="G359" s="18"/>
      <c r="H359" s="36">
        <f>$H$226+120%*H358</f>
        <v>4054.7999999999997</v>
      </c>
      <c r="I359" s="20"/>
      <c r="J359" s="4" t="s">
        <v>26</v>
      </c>
      <c r="K359" s="4"/>
      <c r="L359" s="18"/>
      <c r="M359" s="19"/>
      <c r="N359" s="4"/>
      <c r="O359" s="4"/>
      <c r="P359" s="4"/>
      <c r="Q359" s="4"/>
      <c r="R359" s="20"/>
    </row>
    <row r="360" spans="1:18" ht="15.75" customHeight="1">
      <c r="A360" s="23"/>
      <c r="B360" s="11" t="s">
        <v>14</v>
      </c>
      <c r="C360" s="4"/>
      <c r="D360" s="4"/>
      <c r="E360" s="4"/>
      <c r="F360" s="4"/>
      <c r="G360" s="18"/>
      <c r="H360" s="36">
        <f>SUM(H358:H359)</f>
        <v>6681.2999999999993</v>
      </c>
      <c r="I360" s="20"/>
      <c r="J360" s="729" t="s">
        <v>186</v>
      </c>
      <c r="K360" s="705"/>
      <c r="L360" s="705"/>
      <c r="M360" s="705"/>
      <c r="N360" s="705"/>
      <c r="O360" s="705"/>
      <c r="P360" s="705"/>
      <c r="Q360" s="705"/>
      <c r="R360" s="706"/>
    </row>
    <row r="361" spans="1:18">
      <c r="A361" s="23"/>
      <c r="B361" s="11" t="s">
        <v>24</v>
      </c>
      <c r="C361" s="4"/>
      <c r="D361" s="4"/>
      <c r="E361" s="4"/>
      <c r="F361" s="4"/>
      <c r="G361" s="18"/>
      <c r="H361" s="36">
        <f>H360*15%</f>
        <v>1002.1949999999998</v>
      </c>
      <c r="I361" s="20"/>
      <c r="J361" s="707"/>
      <c r="K361" s="708"/>
      <c r="L361" s="708"/>
      <c r="M361" s="708"/>
      <c r="N361" s="708"/>
      <c r="O361" s="708"/>
      <c r="P361" s="708"/>
      <c r="Q361" s="708"/>
      <c r="R361" s="709"/>
    </row>
    <row r="362" spans="1:18">
      <c r="A362" s="23"/>
      <c r="B362" s="11" t="s">
        <v>15</v>
      </c>
      <c r="C362" s="4"/>
      <c r="D362" s="4"/>
      <c r="E362" s="4"/>
      <c r="F362" s="4"/>
      <c r="G362" s="21" t="s">
        <v>16</v>
      </c>
      <c r="H362" s="37">
        <f>H361+H360</f>
        <v>7683.494999999999</v>
      </c>
      <c r="I362" s="38" t="str">
        <f>CONCATENATE("per ",C349)</f>
        <v>per cum</v>
      </c>
      <c r="J362" s="707"/>
      <c r="K362" s="708"/>
      <c r="L362" s="708"/>
      <c r="M362" s="708"/>
      <c r="N362" s="708"/>
      <c r="O362" s="708"/>
      <c r="P362" s="708"/>
      <c r="Q362" s="708"/>
      <c r="R362" s="709"/>
    </row>
    <row r="363" spans="1:18">
      <c r="A363" s="23"/>
      <c r="B363" s="11" t="s">
        <v>18</v>
      </c>
      <c r="C363" s="4" t="s">
        <v>19</v>
      </c>
      <c r="D363" s="4"/>
      <c r="E363" s="4"/>
      <c r="F363" s="4"/>
      <c r="G363" s="21" t="s">
        <v>16</v>
      </c>
      <c r="H363" s="37">
        <f>CEILING(H362,0.5)</f>
        <v>7683.5</v>
      </c>
      <c r="I363" s="38" t="str">
        <f>CONCATENATE("per ",C349)</f>
        <v>per cum</v>
      </c>
      <c r="J363" s="707"/>
      <c r="K363" s="708"/>
      <c r="L363" s="708"/>
      <c r="M363" s="708"/>
      <c r="N363" s="708"/>
      <c r="O363" s="708"/>
      <c r="P363" s="708"/>
      <c r="Q363" s="708"/>
      <c r="R363" s="709"/>
    </row>
    <row r="364" spans="1:18">
      <c r="A364" s="23"/>
      <c r="B364" s="11"/>
      <c r="C364" s="4"/>
      <c r="D364" s="4"/>
      <c r="E364" s="4"/>
      <c r="F364" s="4"/>
      <c r="G364" s="24" t="s">
        <v>17</v>
      </c>
      <c r="H364" s="37">
        <f>H363/exr</f>
        <v>59.103846153846156</v>
      </c>
      <c r="I364" s="38" t="str">
        <f>CONCATENATE("per ",C349)</f>
        <v>per cum</v>
      </c>
      <c r="J364" s="710"/>
      <c r="K364" s="711"/>
      <c r="L364" s="711"/>
      <c r="M364" s="711"/>
      <c r="N364" s="711"/>
      <c r="O364" s="711"/>
      <c r="P364" s="711"/>
      <c r="Q364" s="711"/>
      <c r="R364" s="712"/>
    </row>
    <row r="365" spans="1:18">
      <c r="A365" s="39"/>
      <c r="B365" s="40"/>
      <c r="C365" s="41"/>
      <c r="D365" s="41"/>
      <c r="E365" s="41"/>
      <c r="F365" s="41"/>
      <c r="G365" s="149" t="s">
        <v>460</v>
      </c>
      <c r="H365" s="150">
        <f>CEILING(120%*H358/H360,0.0025)</f>
        <v>0.47250000000000003</v>
      </c>
      <c r="I365" s="42"/>
      <c r="J365" s="43"/>
      <c r="K365" s="43"/>
      <c r="L365" s="43"/>
      <c r="M365" s="43"/>
      <c r="N365" s="43"/>
      <c r="O365" s="43"/>
      <c r="P365" s="43"/>
      <c r="Q365" s="43"/>
      <c r="R365" s="44"/>
    </row>
    <row r="367" spans="1:18">
      <c r="A367" s="693" t="s">
        <v>0</v>
      </c>
      <c r="B367" s="695" t="s">
        <v>1</v>
      </c>
      <c r="C367" s="695" t="s">
        <v>2</v>
      </c>
      <c r="D367" s="697" t="s">
        <v>3</v>
      </c>
      <c r="E367" s="698"/>
      <c r="F367" s="698"/>
      <c r="G367" s="698"/>
      <c r="H367" s="698"/>
      <c r="I367" s="699" t="s">
        <v>4</v>
      </c>
      <c r="J367" s="700"/>
      <c r="K367" s="700"/>
      <c r="L367" s="700"/>
      <c r="M367" s="700"/>
      <c r="N367" s="698" t="s">
        <v>5</v>
      </c>
      <c r="O367" s="698"/>
      <c r="P367" s="698"/>
      <c r="Q367" s="698"/>
      <c r="R367" s="698"/>
    </row>
    <row r="368" spans="1:18">
      <c r="A368" s="694"/>
      <c r="B368" s="696"/>
      <c r="C368" s="696"/>
      <c r="D368" s="45" t="s">
        <v>6</v>
      </c>
      <c r="E368" s="46" t="s">
        <v>2</v>
      </c>
      <c r="F368" s="46" t="s">
        <v>7</v>
      </c>
      <c r="G368" s="46" t="s">
        <v>8</v>
      </c>
      <c r="H368" s="46" t="s">
        <v>9</v>
      </c>
      <c r="I368" s="46" t="s">
        <v>10</v>
      </c>
      <c r="J368" s="46" t="s">
        <v>2</v>
      </c>
      <c r="K368" s="46" t="s">
        <v>7</v>
      </c>
      <c r="L368" s="46" t="s">
        <v>8</v>
      </c>
      <c r="M368" s="47" t="s">
        <v>9</v>
      </c>
      <c r="N368" s="46" t="s">
        <v>10</v>
      </c>
      <c r="O368" s="46" t="s">
        <v>2</v>
      </c>
      <c r="P368" s="46" t="s">
        <v>7</v>
      </c>
      <c r="Q368" s="46" t="s">
        <v>8</v>
      </c>
      <c r="R368" s="46" t="s">
        <v>9</v>
      </c>
    </row>
    <row r="369" spans="1:18">
      <c r="A369" s="33" t="s">
        <v>23</v>
      </c>
      <c r="B369" s="73" t="s">
        <v>174</v>
      </c>
      <c r="C369" s="31"/>
      <c r="D369" s="31"/>
      <c r="E369" s="31"/>
      <c r="F369" s="31"/>
      <c r="G369" s="31"/>
      <c r="H369" s="31"/>
      <c r="I369" s="31"/>
      <c r="J369" s="31"/>
      <c r="K369" s="31"/>
      <c r="L369" s="31"/>
      <c r="M369" s="31"/>
      <c r="N369" s="31"/>
      <c r="O369" s="31"/>
      <c r="P369" s="31"/>
      <c r="Q369" s="31"/>
      <c r="R369" s="32"/>
    </row>
    <row r="370" spans="1:18">
      <c r="A370" s="34">
        <f>A349+1</f>
        <v>20</v>
      </c>
      <c r="B370" s="727" t="s">
        <v>191</v>
      </c>
      <c r="C370" s="6" t="s">
        <v>11</v>
      </c>
      <c r="D370" s="4"/>
      <c r="E370" s="6"/>
      <c r="F370" s="29"/>
      <c r="G370" s="26"/>
      <c r="H370" s="26"/>
      <c r="I370" s="6"/>
      <c r="J370" s="6"/>
      <c r="K370" s="29"/>
      <c r="L370" s="26"/>
      <c r="M370" s="26"/>
      <c r="N370" s="6"/>
      <c r="O370" s="6"/>
      <c r="P370" s="29"/>
      <c r="Q370" s="26"/>
      <c r="R370" s="26"/>
    </row>
    <row r="371" spans="1:18">
      <c r="A371" s="2"/>
      <c r="B371" s="728"/>
      <c r="C371" s="6"/>
      <c r="D371" s="4" t="s">
        <v>97</v>
      </c>
      <c r="E371" s="6" t="s">
        <v>81</v>
      </c>
      <c r="F371" s="29">
        <v>4</v>
      </c>
      <c r="G371" s="26">
        <f>ur</f>
        <v>850</v>
      </c>
      <c r="H371" s="26">
        <f>F371*G371</f>
        <v>3400</v>
      </c>
      <c r="I371" s="7"/>
      <c r="J371" s="8"/>
      <c r="K371" s="29"/>
      <c r="L371" s="28"/>
      <c r="M371" s="26"/>
      <c r="N371" s="8" t="s">
        <v>128</v>
      </c>
      <c r="O371" s="6"/>
      <c r="P371" s="29"/>
      <c r="Q371" s="28"/>
      <c r="R371" s="28">
        <f>3%*H378</f>
        <v>102</v>
      </c>
    </row>
    <row r="372" spans="1:18">
      <c r="A372" s="2"/>
      <c r="B372" s="728"/>
      <c r="C372" s="6"/>
      <c r="D372" s="4"/>
      <c r="E372" s="6"/>
      <c r="F372" s="29"/>
      <c r="G372" s="26"/>
      <c r="H372" s="26"/>
      <c r="I372" s="7"/>
      <c r="J372" s="8"/>
      <c r="K372" s="29"/>
      <c r="L372" s="28"/>
      <c r="M372" s="26"/>
      <c r="N372" s="8"/>
      <c r="O372" s="6"/>
      <c r="P372" s="29"/>
      <c r="Q372" s="28"/>
      <c r="R372" s="28"/>
    </row>
    <row r="373" spans="1:18">
      <c r="A373" s="2"/>
      <c r="B373" s="728"/>
      <c r="C373" s="6"/>
      <c r="D373" s="4"/>
      <c r="E373" s="6"/>
      <c r="F373" s="29"/>
      <c r="G373" s="26"/>
      <c r="H373" s="26"/>
      <c r="I373" s="7"/>
      <c r="J373" s="8"/>
      <c r="K373" s="29"/>
      <c r="L373" s="28"/>
      <c r="M373" s="26"/>
      <c r="N373" s="8"/>
      <c r="O373" s="6"/>
      <c r="P373" s="29"/>
      <c r="Q373" s="28"/>
      <c r="R373" s="28"/>
    </row>
    <row r="374" spans="1:18">
      <c r="A374" s="2"/>
      <c r="B374" s="728"/>
      <c r="C374" s="6"/>
      <c r="D374" s="4"/>
      <c r="E374" s="6"/>
      <c r="F374" s="29"/>
      <c r="G374" s="26"/>
      <c r="H374" s="26"/>
      <c r="I374" s="7"/>
      <c r="J374" s="8"/>
      <c r="K374" s="29"/>
      <c r="L374" s="28"/>
      <c r="M374" s="26"/>
      <c r="N374" s="8"/>
      <c r="O374" s="6"/>
      <c r="P374" s="29"/>
      <c r="Q374" s="28"/>
      <c r="R374" s="28"/>
    </row>
    <row r="375" spans="1:18">
      <c r="A375" s="2"/>
      <c r="B375" s="728"/>
      <c r="C375" s="6"/>
      <c r="D375" s="4"/>
      <c r="E375" s="6"/>
      <c r="F375" s="29"/>
      <c r="G375" s="26"/>
      <c r="H375" s="26"/>
      <c r="I375" s="7"/>
      <c r="J375" s="8"/>
      <c r="K375" s="29"/>
      <c r="L375" s="28"/>
      <c r="M375" s="26"/>
      <c r="N375" s="8"/>
      <c r="O375" s="6"/>
      <c r="P375" s="29"/>
      <c r="Q375" s="28"/>
      <c r="R375" s="28"/>
    </row>
    <row r="376" spans="1:18">
      <c r="A376" s="2"/>
      <c r="B376" s="728"/>
      <c r="C376" s="6"/>
      <c r="D376" s="4"/>
      <c r="E376" s="6"/>
      <c r="F376" s="29"/>
      <c r="G376" s="26"/>
      <c r="H376" s="26"/>
      <c r="I376" s="7"/>
      <c r="J376" s="8"/>
      <c r="K376" s="29"/>
      <c r="L376" s="28"/>
      <c r="M376" s="28"/>
      <c r="N376" s="8"/>
      <c r="O376" s="6"/>
      <c r="P376" s="29"/>
      <c r="Q376" s="28"/>
      <c r="R376" s="28"/>
    </row>
    <row r="377" spans="1:18">
      <c r="A377" s="2"/>
      <c r="B377" s="84"/>
      <c r="C377" s="6"/>
      <c r="D377" s="4"/>
      <c r="E377" s="9"/>
      <c r="F377" s="30"/>
      <c r="G377" s="27"/>
      <c r="H377" s="27"/>
      <c r="I377" s="9"/>
      <c r="J377" s="10"/>
      <c r="K377" s="30"/>
      <c r="L377" s="28"/>
      <c r="M377" s="28"/>
      <c r="N377" s="8"/>
      <c r="O377" s="6"/>
      <c r="P377" s="30"/>
      <c r="Q377" s="28"/>
      <c r="R377" s="28"/>
    </row>
    <row r="378" spans="1:18">
      <c r="A378" s="2"/>
      <c r="B378" s="11"/>
      <c r="C378" s="6"/>
      <c r="D378" s="12"/>
      <c r="E378" s="59"/>
      <c r="F378" s="13"/>
      <c r="G378" s="13" t="s">
        <v>20</v>
      </c>
      <c r="H378" s="25">
        <f>SUM(H370:H377)</f>
        <v>3400</v>
      </c>
      <c r="I378" s="703"/>
      <c r="J378" s="703"/>
      <c r="K378" s="14"/>
      <c r="L378" s="13" t="s">
        <v>21</v>
      </c>
      <c r="M378" s="25">
        <f>SUM(M370:M377)</f>
        <v>0</v>
      </c>
      <c r="N378" s="3"/>
      <c r="O378" s="14"/>
      <c r="P378" s="14"/>
      <c r="Q378" s="13" t="s">
        <v>22</v>
      </c>
      <c r="R378" s="25">
        <f>SUM(R370:R377)</f>
        <v>102</v>
      </c>
    </row>
    <row r="379" spans="1:18">
      <c r="A379" s="2"/>
      <c r="B379" s="16" t="s">
        <v>13</v>
      </c>
      <c r="C379" s="14"/>
      <c r="D379" s="14"/>
      <c r="E379" s="14"/>
      <c r="F379" s="14"/>
      <c r="G379" s="13"/>
      <c r="H379" s="35">
        <f>M378+R378+H378</f>
        <v>3502</v>
      </c>
      <c r="I379" s="17"/>
      <c r="J379" s="14"/>
      <c r="K379" s="14"/>
      <c r="L379" s="13"/>
      <c r="M379" s="15"/>
      <c r="N379" s="14"/>
      <c r="O379" s="14"/>
      <c r="P379" s="14"/>
      <c r="Q379" s="14"/>
      <c r="R379" s="17"/>
    </row>
    <row r="380" spans="1:18">
      <c r="A380" s="2"/>
      <c r="B380" s="11" t="s">
        <v>25</v>
      </c>
      <c r="C380" s="4" t="s">
        <v>188</v>
      </c>
      <c r="D380" s="4"/>
      <c r="E380" s="4"/>
      <c r="F380" s="4"/>
      <c r="G380" s="18"/>
      <c r="H380" s="36">
        <f>$H$226+120%*H379</f>
        <v>5105.3999999999996</v>
      </c>
      <c r="I380" s="20"/>
      <c r="J380" s="4" t="s">
        <v>26</v>
      </c>
      <c r="K380" s="4"/>
      <c r="L380" s="18"/>
      <c r="M380" s="19"/>
      <c r="N380" s="4"/>
      <c r="O380" s="4"/>
      <c r="P380" s="4"/>
      <c r="Q380" s="4"/>
      <c r="R380" s="20"/>
    </row>
    <row r="381" spans="1:18" ht="15.75" customHeight="1">
      <c r="A381" s="23"/>
      <c r="B381" s="11" t="s">
        <v>14</v>
      </c>
      <c r="C381" s="4"/>
      <c r="D381" s="4"/>
      <c r="E381" s="4"/>
      <c r="F381" s="4"/>
      <c r="G381" s="18"/>
      <c r="H381" s="36">
        <f>SUM(H379:H380)</f>
        <v>8607.4</v>
      </c>
      <c r="I381" s="20"/>
      <c r="J381" s="729" t="s">
        <v>186</v>
      </c>
      <c r="K381" s="705"/>
      <c r="L381" s="705"/>
      <c r="M381" s="705"/>
      <c r="N381" s="705"/>
      <c r="O381" s="705"/>
      <c r="P381" s="705"/>
      <c r="Q381" s="705"/>
      <c r="R381" s="706"/>
    </row>
    <row r="382" spans="1:18">
      <c r="A382" s="23"/>
      <c r="B382" s="11" t="s">
        <v>24</v>
      </c>
      <c r="C382" s="4"/>
      <c r="D382" s="4"/>
      <c r="E382" s="4"/>
      <c r="F382" s="4"/>
      <c r="G382" s="18"/>
      <c r="H382" s="36">
        <f>H381*15%</f>
        <v>1291.1099999999999</v>
      </c>
      <c r="I382" s="20"/>
      <c r="J382" s="707"/>
      <c r="K382" s="708"/>
      <c r="L382" s="708"/>
      <c r="M382" s="708"/>
      <c r="N382" s="708"/>
      <c r="O382" s="708"/>
      <c r="P382" s="708"/>
      <c r="Q382" s="708"/>
      <c r="R382" s="709"/>
    </row>
    <row r="383" spans="1:18">
      <c r="A383" s="23"/>
      <c r="B383" s="11" t="s">
        <v>15</v>
      </c>
      <c r="C383" s="4"/>
      <c r="D383" s="4"/>
      <c r="E383" s="4"/>
      <c r="F383" s="4"/>
      <c r="G383" s="21" t="s">
        <v>16</v>
      </c>
      <c r="H383" s="37">
        <f>H382+H381</f>
        <v>9898.51</v>
      </c>
      <c r="I383" s="38" t="str">
        <f>CONCATENATE("per ",C370)</f>
        <v>per cum</v>
      </c>
      <c r="J383" s="707"/>
      <c r="K383" s="708"/>
      <c r="L383" s="708"/>
      <c r="M383" s="708"/>
      <c r="N383" s="708"/>
      <c r="O383" s="708"/>
      <c r="P383" s="708"/>
      <c r="Q383" s="708"/>
      <c r="R383" s="709"/>
    </row>
    <row r="384" spans="1:18">
      <c r="A384" s="23"/>
      <c r="B384" s="11" t="s">
        <v>18</v>
      </c>
      <c r="C384" s="4" t="s">
        <v>19</v>
      </c>
      <c r="D384" s="4"/>
      <c r="E384" s="4"/>
      <c r="F384" s="4"/>
      <c r="G384" s="21" t="s">
        <v>16</v>
      </c>
      <c r="H384" s="37">
        <f>CEILING(H383,0.5)</f>
        <v>9899</v>
      </c>
      <c r="I384" s="38" t="str">
        <f>CONCATENATE("per ",C370)</f>
        <v>per cum</v>
      </c>
      <c r="J384" s="707"/>
      <c r="K384" s="708"/>
      <c r="L384" s="708"/>
      <c r="M384" s="708"/>
      <c r="N384" s="708"/>
      <c r="O384" s="708"/>
      <c r="P384" s="708"/>
      <c r="Q384" s="708"/>
      <c r="R384" s="709"/>
    </row>
    <row r="385" spans="1:18">
      <c r="A385" s="23"/>
      <c r="B385" s="11"/>
      <c r="C385" s="4"/>
      <c r="D385" s="4"/>
      <c r="E385" s="4"/>
      <c r="F385" s="4"/>
      <c r="G385" s="24" t="s">
        <v>17</v>
      </c>
      <c r="H385" s="37">
        <f>H384/exr</f>
        <v>76.146153846153851</v>
      </c>
      <c r="I385" s="38" t="str">
        <f>CONCATENATE("per ",C370)</f>
        <v>per cum</v>
      </c>
      <c r="J385" s="710"/>
      <c r="K385" s="711"/>
      <c r="L385" s="711"/>
      <c r="M385" s="711"/>
      <c r="N385" s="711"/>
      <c r="O385" s="711"/>
      <c r="P385" s="711"/>
      <c r="Q385" s="711"/>
      <c r="R385" s="712"/>
    </row>
    <row r="386" spans="1:18">
      <c r="A386" s="39"/>
      <c r="B386" s="40"/>
      <c r="C386" s="41"/>
      <c r="D386" s="41"/>
      <c r="E386" s="41"/>
      <c r="F386" s="41"/>
      <c r="G386" s="149" t="s">
        <v>460</v>
      </c>
      <c r="H386" s="150">
        <f>CEILING(120%*H379/H381,0.0025)</f>
        <v>0.49</v>
      </c>
      <c r="I386" s="42"/>
      <c r="J386" s="43"/>
      <c r="K386" s="43"/>
      <c r="L386" s="43"/>
      <c r="M386" s="43"/>
      <c r="N386" s="43"/>
      <c r="O386" s="43"/>
      <c r="P386" s="43"/>
      <c r="Q386" s="43"/>
      <c r="R386" s="44"/>
    </row>
    <row r="388" spans="1:18">
      <c r="A388" s="693" t="s">
        <v>0</v>
      </c>
      <c r="B388" s="695" t="s">
        <v>1</v>
      </c>
      <c r="C388" s="695" t="s">
        <v>2</v>
      </c>
      <c r="D388" s="697" t="s">
        <v>3</v>
      </c>
      <c r="E388" s="698"/>
      <c r="F388" s="698"/>
      <c r="G388" s="698"/>
      <c r="H388" s="698"/>
      <c r="I388" s="699" t="s">
        <v>4</v>
      </c>
      <c r="J388" s="700"/>
      <c r="K388" s="700"/>
      <c r="L388" s="700"/>
      <c r="M388" s="700"/>
      <c r="N388" s="698" t="s">
        <v>5</v>
      </c>
      <c r="O388" s="698"/>
      <c r="P388" s="698"/>
      <c r="Q388" s="698"/>
      <c r="R388" s="698"/>
    </row>
    <row r="389" spans="1:18">
      <c r="A389" s="694"/>
      <c r="B389" s="696"/>
      <c r="C389" s="696"/>
      <c r="D389" s="45" t="s">
        <v>6</v>
      </c>
      <c r="E389" s="46" t="s">
        <v>2</v>
      </c>
      <c r="F389" s="46" t="s">
        <v>7</v>
      </c>
      <c r="G389" s="46" t="s">
        <v>8</v>
      </c>
      <c r="H389" s="46" t="s">
        <v>9</v>
      </c>
      <c r="I389" s="46" t="s">
        <v>10</v>
      </c>
      <c r="J389" s="46" t="s">
        <v>2</v>
      </c>
      <c r="K389" s="46" t="s">
        <v>7</v>
      </c>
      <c r="L389" s="46" t="s">
        <v>8</v>
      </c>
      <c r="M389" s="47" t="s">
        <v>9</v>
      </c>
      <c r="N389" s="46" t="s">
        <v>10</v>
      </c>
      <c r="O389" s="46" t="s">
        <v>2</v>
      </c>
      <c r="P389" s="46" t="s">
        <v>7</v>
      </c>
      <c r="Q389" s="46" t="s">
        <v>8</v>
      </c>
      <c r="R389" s="46" t="s">
        <v>9</v>
      </c>
    </row>
    <row r="390" spans="1:18">
      <c r="A390" s="33" t="s">
        <v>23</v>
      </c>
      <c r="B390" s="73" t="s">
        <v>174</v>
      </c>
      <c r="C390" s="31"/>
      <c r="D390" s="31"/>
      <c r="E390" s="31"/>
      <c r="F390" s="31"/>
      <c r="G390" s="31"/>
      <c r="H390" s="31"/>
      <c r="I390" s="31"/>
      <c r="J390" s="31"/>
      <c r="K390" s="31"/>
      <c r="L390" s="31"/>
      <c r="M390" s="31"/>
      <c r="N390" s="31"/>
      <c r="O390" s="31"/>
      <c r="P390" s="31"/>
      <c r="Q390" s="31"/>
      <c r="R390" s="32"/>
    </row>
    <row r="391" spans="1:18">
      <c r="A391" s="34">
        <f>A370+1</f>
        <v>21</v>
      </c>
      <c r="B391" s="727" t="s">
        <v>192</v>
      </c>
      <c r="C391" s="6" t="s">
        <v>11</v>
      </c>
      <c r="D391" s="4"/>
      <c r="E391" s="6"/>
      <c r="F391" s="29"/>
      <c r="G391" s="26"/>
      <c r="H391" s="26"/>
      <c r="I391" s="6"/>
      <c r="J391" s="6"/>
      <c r="K391" s="29"/>
      <c r="L391" s="26"/>
      <c r="M391" s="26"/>
      <c r="N391" s="6"/>
      <c r="O391" s="6"/>
      <c r="P391" s="29"/>
      <c r="Q391" s="26"/>
      <c r="R391" s="26"/>
    </row>
    <row r="392" spans="1:18">
      <c r="A392" s="2"/>
      <c r="B392" s="728"/>
      <c r="C392" s="6"/>
      <c r="D392" s="4" t="s">
        <v>97</v>
      </c>
      <c r="E392" s="6" t="s">
        <v>81</v>
      </c>
      <c r="F392" s="29">
        <v>4.75</v>
      </c>
      <c r="G392" s="26">
        <f>ur</f>
        <v>850</v>
      </c>
      <c r="H392" s="26">
        <f>F392*G392</f>
        <v>4037.5</v>
      </c>
      <c r="I392" s="7"/>
      <c r="J392" s="8"/>
      <c r="K392" s="29"/>
      <c r="L392" s="28"/>
      <c r="M392" s="26"/>
      <c r="N392" s="8" t="s">
        <v>128</v>
      </c>
      <c r="O392" s="6"/>
      <c r="P392" s="29"/>
      <c r="Q392" s="28"/>
      <c r="R392" s="28">
        <f>3%*H399</f>
        <v>121.125</v>
      </c>
    </row>
    <row r="393" spans="1:18">
      <c r="A393" s="2"/>
      <c r="B393" s="728"/>
      <c r="C393" s="6"/>
      <c r="D393" s="4"/>
      <c r="E393" s="6"/>
      <c r="F393" s="29"/>
      <c r="G393" s="26"/>
      <c r="H393" s="26"/>
      <c r="I393" s="7"/>
      <c r="J393" s="8"/>
      <c r="K393" s="29"/>
      <c r="L393" s="28"/>
      <c r="M393" s="26"/>
      <c r="N393" s="8"/>
      <c r="O393" s="6"/>
      <c r="P393" s="29"/>
      <c r="Q393" s="28"/>
      <c r="R393" s="28"/>
    </row>
    <row r="394" spans="1:18">
      <c r="A394" s="2"/>
      <c r="B394" s="728"/>
      <c r="C394" s="6"/>
      <c r="D394" s="4"/>
      <c r="E394" s="6"/>
      <c r="F394" s="29"/>
      <c r="G394" s="26"/>
      <c r="H394" s="26"/>
      <c r="I394" s="7"/>
      <c r="J394" s="8"/>
      <c r="K394" s="29"/>
      <c r="L394" s="28"/>
      <c r="M394" s="26"/>
      <c r="N394" s="8"/>
      <c r="O394" s="6"/>
      <c r="P394" s="29"/>
      <c r="Q394" s="28"/>
      <c r="R394" s="28"/>
    </row>
    <row r="395" spans="1:18">
      <c r="A395" s="2"/>
      <c r="B395" s="728"/>
      <c r="C395" s="6"/>
      <c r="D395" s="4"/>
      <c r="E395" s="6"/>
      <c r="F395" s="29"/>
      <c r="G395" s="26"/>
      <c r="H395" s="26"/>
      <c r="I395" s="7"/>
      <c r="J395" s="8"/>
      <c r="K395" s="29"/>
      <c r="L395" s="28"/>
      <c r="M395" s="26"/>
      <c r="N395" s="8"/>
      <c r="O395" s="6"/>
      <c r="P395" s="29"/>
      <c r="Q395" s="28"/>
      <c r="R395" s="28"/>
    </row>
    <row r="396" spans="1:18">
      <c r="A396" s="2"/>
      <c r="B396" s="728"/>
      <c r="C396" s="6"/>
      <c r="D396" s="4"/>
      <c r="E396" s="6"/>
      <c r="F396" s="29"/>
      <c r="G396" s="26"/>
      <c r="H396" s="26"/>
      <c r="I396" s="7"/>
      <c r="J396" s="8"/>
      <c r="K396" s="29"/>
      <c r="L396" s="28"/>
      <c r="M396" s="26"/>
      <c r="N396" s="8"/>
      <c r="O396" s="6"/>
      <c r="P396" s="29"/>
      <c r="Q396" s="28"/>
      <c r="R396" s="28"/>
    </row>
    <row r="397" spans="1:18">
      <c r="A397" s="2"/>
      <c r="B397" s="728"/>
      <c r="C397" s="6"/>
      <c r="D397" s="4"/>
      <c r="E397" s="6"/>
      <c r="F397" s="29"/>
      <c r="G397" s="26"/>
      <c r="H397" s="26"/>
      <c r="I397" s="7"/>
      <c r="J397" s="8"/>
      <c r="K397" s="29"/>
      <c r="L397" s="28"/>
      <c r="M397" s="28"/>
      <c r="N397" s="8"/>
      <c r="O397" s="6"/>
      <c r="P397" s="29"/>
      <c r="Q397" s="28"/>
      <c r="R397" s="28"/>
    </row>
    <row r="398" spans="1:18">
      <c r="A398" s="2"/>
      <c r="B398" s="84"/>
      <c r="C398" s="6"/>
      <c r="D398" s="4"/>
      <c r="E398" s="9"/>
      <c r="F398" s="30"/>
      <c r="G398" s="27"/>
      <c r="H398" s="27"/>
      <c r="I398" s="9"/>
      <c r="J398" s="10"/>
      <c r="K398" s="30"/>
      <c r="L398" s="28"/>
      <c r="M398" s="28"/>
      <c r="N398" s="8"/>
      <c r="O398" s="6"/>
      <c r="P398" s="30"/>
      <c r="Q398" s="28"/>
      <c r="R398" s="28"/>
    </row>
    <row r="399" spans="1:18">
      <c r="A399" s="2"/>
      <c r="B399" s="11"/>
      <c r="C399" s="6"/>
      <c r="D399" s="12"/>
      <c r="E399" s="59"/>
      <c r="F399" s="13"/>
      <c r="G399" s="13" t="s">
        <v>20</v>
      </c>
      <c r="H399" s="25">
        <f>SUM(H391:H398)</f>
        <v>4037.5</v>
      </c>
      <c r="I399" s="703"/>
      <c r="J399" s="703"/>
      <c r="K399" s="14"/>
      <c r="L399" s="13" t="s">
        <v>21</v>
      </c>
      <c r="M399" s="25">
        <f>SUM(M391:M398)</f>
        <v>0</v>
      </c>
      <c r="N399" s="3"/>
      <c r="O399" s="14"/>
      <c r="P399" s="14"/>
      <c r="Q399" s="13" t="s">
        <v>22</v>
      </c>
      <c r="R399" s="25">
        <f>SUM(R391:R398)</f>
        <v>121.125</v>
      </c>
    </row>
    <row r="400" spans="1:18">
      <c r="A400" s="2"/>
      <c r="B400" s="16" t="s">
        <v>13</v>
      </c>
      <c r="C400" s="14"/>
      <c r="D400" s="14"/>
      <c r="E400" s="14"/>
      <c r="F400" s="14"/>
      <c r="G400" s="13"/>
      <c r="H400" s="35">
        <f>M399+R399+H399</f>
        <v>4158.625</v>
      </c>
      <c r="I400" s="17"/>
      <c r="J400" s="14"/>
      <c r="K400" s="14"/>
      <c r="L400" s="13"/>
      <c r="M400" s="15"/>
      <c r="N400" s="14"/>
      <c r="O400" s="14"/>
      <c r="P400" s="14"/>
      <c r="Q400" s="14"/>
      <c r="R400" s="17"/>
    </row>
    <row r="401" spans="1:18">
      <c r="A401" s="2"/>
      <c r="B401" s="11" t="s">
        <v>25</v>
      </c>
      <c r="C401" s="4" t="s">
        <v>188</v>
      </c>
      <c r="D401" s="4"/>
      <c r="E401" s="4"/>
      <c r="F401" s="4"/>
      <c r="G401" s="18"/>
      <c r="H401" s="36">
        <f>$H$226+120%*H400</f>
        <v>5893.3499999999995</v>
      </c>
      <c r="I401" s="20"/>
      <c r="J401" s="4" t="s">
        <v>26</v>
      </c>
      <c r="K401" s="4"/>
      <c r="L401" s="18"/>
      <c r="M401" s="19"/>
      <c r="N401" s="4"/>
      <c r="O401" s="4"/>
      <c r="P401" s="4"/>
      <c r="Q401" s="4"/>
      <c r="R401" s="20"/>
    </row>
    <row r="402" spans="1:18" ht="15.75" customHeight="1">
      <c r="A402" s="23"/>
      <c r="B402" s="11" t="s">
        <v>14</v>
      </c>
      <c r="C402" s="4"/>
      <c r="D402" s="4"/>
      <c r="E402" s="4"/>
      <c r="F402" s="4"/>
      <c r="G402" s="18"/>
      <c r="H402" s="36">
        <f>SUM(H400:H401)</f>
        <v>10051.974999999999</v>
      </c>
      <c r="I402" s="20"/>
      <c r="J402" s="729" t="s">
        <v>186</v>
      </c>
      <c r="K402" s="705"/>
      <c r="L402" s="705"/>
      <c r="M402" s="705"/>
      <c r="N402" s="705"/>
      <c r="O402" s="705"/>
      <c r="P402" s="705"/>
      <c r="Q402" s="705"/>
      <c r="R402" s="706"/>
    </row>
    <row r="403" spans="1:18">
      <c r="A403" s="23"/>
      <c r="B403" s="11" t="s">
        <v>24</v>
      </c>
      <c r="C403" s="4"/>
      <c r="D403" s="4"/>
      <c r="E403" s="4"/>
      <c r="F403" s="4"/>
      <c r="G403" s="18"/>
      <c r="H403" s="36">
        <f>H402*15%</f>
        <v>1507.7962499999996</v>
      </c>
      <c r="I403" s="20"/>
      <c r="J403" s="707"/>
      <c r="K403" s="708"/>
      <c r="L403" s="708"/>
      <c r="M403" s="708"/>
      <c r="N403" s="708"/>
      <c r="O403" s="708"/>
      <c r="P403" s="708"/>
      <c r="Q403" s="708"/>
      <c r="R403" s="709"/>
    </row>
    <row r="404" spans="1:18">
      <c r="A404" s="23"/>
      <c r="B404" s="11" t="s">
        <v>15</v>
      </c>
      <c r="C404" s="4"/>
      <c r="D404" s="4"/>
      <c r="E404" s="4"/>
      <c r="F404" s="4"/>
      <c r="G404" s="21" t="s">
        <v>16</v>
      </c>
      <c r="H404" s="37">
        <f>H403+H402</f>
        <v>11559.771249999998</v>
      </c>
      <c r="I404" s="38" t="str">
        <f>CONCATENATE("per ",C391)</f>
        <v>per cum</v>
      </c>
      <c r="J404" s="707"/>
      <c r="K404" s="708"/>
      <c r="L404" s="708"/>
      <c r="M404" s="708"/>
      <c r="N404" s="708"/>
      <c r="O404" s="708"/>
      <c r="P404" s="708"/>
      <c r="Q404" s="708"/>
      <c r="R404" s="709"/>
    </row>
    <row r="405" spans="1:18">
      <c r="A405" s="23"/>
      <c r="B405" s="11" t="s">
        <v>18</v>
      </c>
      <c r="C405" s="4" t="s">
        <v>19</v>
      </c>
      <c r="D405" s="4"/>
      <c r="E405" s="4"/>
      <c r="F405" s="4"/>
      <c r="G405" s="21" t="s">
        <v>16</v>
      </c>
      <c r="H405" s="37">
        <f>CEILING(H404,0.5)</f>
        <v>11560</v>
      </c>
      <c r="I405" s="38" t="str">
        <f>CONCATENATE("per ",C391)</f>
        <v>per cum</v>
      </c>
      <c r="J405" s="707"/>
      <c r="K405" s="708"/>
      <c r="L405" s="708"/>
      <c r="M405" s="708"/>
      <c r="N405" s="708"/>
      <c r="O405" s="708"/>
      <c r="P405" s="708"/>
      <c r="Q405" s="708"/>
      <c r="R405" s="709"/>
    </row>
    <row r="406" spans="1:18">
      <c r="A406" s="23"/>
      <c r="B406" s="11"/>
      <c r="C406" s="4"/>
      <c r="D406" s="4"/>
      <c r="E406" s="4"/>
      <c r="F406" s="4"/>
      <c r="G406" s="24" t="s">
        <v>17</v>
      </c>
      <c r="H406" s="37">
        <f>H405/exr</f>
        <v>88.92307692307692</v>
      </c>
      <c r="I406" s="38" t="str">
        <f>CONCATENATE("per ",C391)</f>
        <v>per cum</v>
      </c>
      <c r="J406" s="710"/>
      <c r="K406" s="711"/>
      <c r="L406" s="711"/>
      <c r="M406" s="711"/>
      <c r="N406" s="711"/>
      <c r="O406" s="711"/>
      <c r="P406" s="711"/>
      <c r="Q406" s="711"/>
      <c r="R406" s="712"/>
    </row>
    <row r="407" spans="1:18">
      <c r="A407" s="39"/>
      <c r="B407" s="40"/>
      <c r="C407" s="41"/>
      <c r="D407" s="41"/>
      <c r="E407" s="41"/>
      <c r="F407" s="41"/>
      <c r="G407" s="149" t="s">
        <v>460</v>
      </c>
      <c r="H407" s="150">
        <f>CEILING(120%*H400/H402,0.0025)</f>
        <v>0.4975</v>
      </c>
      <c r="I407" s="42"/>
      <c r="J407" s="43"/>
      <c r="K407" s="43"/>
      <c r="L407" s="43"/>
      <c r="M407" s="43"/>
      <c r="N407" s="43"/>
      <c r="O407" s="43"/>
      <c r="P407" s="43"/>
      <c r="Q407" s="43"/>
      <c r="R407" s="44"/>
    </row>
    <row r="409" spans="1:18">
      <c r="A409" s="693" t="s">
        <v>0</v>
      </c>
      <c r="B409" s="695" t="s">
        <v>1</v>
      </c>
      <c r="C409" s="695" t="s">
        <v>2</v>
      </c>
      <c r="D409" s="697" t="s">
        <v>3</v>
      </c>
      <c r="E409" s="698"/>
      <c r="F409" s="698"/>
      <c r="G409" s="698"/>
      <c r="H409" s="698"/>
      <c r="I409" s="699" t="s">
        <v>4</v>
      </c>
      <c r="J409" s="700"/>
      <c r="K409" s="700"/>
      <c r="L409" s="700"/>
      <c r="M409" s="700"/>
      <c r="N409" s="698" t="s">
        <v>5</v>
      </c>
      <c r="O409" s="698"/>
      <c r="P409" s="698"/>
      <c r="Q409" s="698"/>
      <c r="R409" s="698"/>
    </row>
    <row r="410" spans="1:18">
      <c r="A410" s="694"/>
      <c r="B410" s="696"/>
      <c r="C410" s="696"/>
      <c r="D410" s="45" t="s">
        <v>6</v>
      </c>
      <c r="E410" s="46" t="s">
        <v>2</v>
      </c>
      <c r="F410" s="46" t="s">
        <v>7</v>
      </c>
      <c r="G410" s="46" t="s">
        <v>8</v>
      </c>
      <c r="H410" s="46" t="s">
        <v>9</v>
      </c>
      <c r="I410" s="46" t="s">
        <v>10</v>
      </c>
      <c r="J410" s="46" t="s">
        <v>2</v>
      </c>
      <c r="K410" s="46" t="s">
        <v>7</v>
      </c>
      <c r="L410" s="46" t="s">
        <v>8</v>
      </c>
      <c r="M410" s="47" t="s">
        <v>9</v>
      </c>
      <c r="N410" s="46" t="s">
        <v>10</v>
      </c>
      <c r="O410" s="46" t="s">
        <v>2</v>
      </c>
      <c r="P410" s="46" t="s">
        <v>7</v>
      </c>
      <c r="Q410" s="46" t="s">
        <v>8</v>
      </c>
      <c r="R410" s="46" t="s">
        <v>9</v>
      </c>
    </row>
    <row r="411" spans="1:18">
      <c r="A411" s="33" t="s">
        <v>23</v>
      </c>
      <c r="B411" s="73" t="s">
        <v>174</v>
      </c>
      <c r="C411" s="31"/>
      <c r="D411" s="31"/>
      <c r="E411" s="31"/>
      <c r="F411" s="31"/>
      <c r="G411" s="31"/>
      <c r="H411" s="31"/>
      <c r="I411" s="31"/>
      <c r="J411" s="31"/>
      <c r="K411" s="31"/>
      <c r="L411" s="31"/>
      <c r="M411" s="31"/>
      <c r="N411" s="31"/>
      <c r="O411" s="31"/>
      <c r="P411" s="31"/>
      <c r="Q411" s="31"/>
      <c r="R411" s="32"/>
    </row>
    <row r="412" spans="1:18">
      <c r="A412" s="34">
        <f>A391+1</f>
        <v>22</v>
      </c>
      <c r="B412" s="715" t="s">
        <v>193</v>
      </c>
      <c r="C412" s="8" t="s">
        <v>11</v>
      </c>
      <c r="D412" s="87"/>
      <c r="E412" s="8"/>
      <c r="F412" s="88"/>
      <c r="G412" s="28"/>
      <c r="H412" s="28"/>
      <c r="I412" s="8"/>
      <c r="J412" s="8"/>
      <c r="K412" s="88"/>
      <c r="L412" s="28"/>
      <c r="M412" s="28"/>
      <c r="N412" s="8"/>
      <c r="O412" s="8"/>
      <c r="P412" s="88"/>
      <c r="Q412" s="28"/>
      <c r="R412" s="28"/>
    </row>
    <row r="413" spans="1:18">
      <c r="A413" s="2"/>
      <c r="B413" s="716"/>
      <c r="C413" s="8"/>
      <c r="D413" s="87"/>
      <c r="E413" s="8"/>
      <c r="F413" s="88"/>
      <c r="G413" s="28"/>
      <c r="H413" s="28"/>
      <c r="I413" s="89"/>
      <c r="J413" s="8"/>
      <c r="K413" s="88"/>
      <c r="L413" s="28"/>
      <c r="M413" s="28"/>
      <c r="N413" s="8"/>
      <c r="O413" s="8"/>
      <c r="P413" s="88"/>
      <c r="Q413" s="28"/>
      <c r="R413" s="28"/>
    </row>
    <row r="414" spans="1:18">
      <c r="A414" s="2"/>
      <c r="B414" s="716"/>
      <c r="C414" s="8"/>
      <c r="D414" s="87"/>
      <c r="E414" s="8"/>
      <c r="F414" s="88"/>
      <c r="G414" s="28"/>
      <c r="H414" s="28"/>
      <c r="I414" s="89"/>
      <c r="J414" s="8"/>
      <c r="K414" s="88"/>
      <c r="L414" s="28"/>
      <c r="M414" s="28"/>
      <c r="N414" s="8"/>
      <c r="O414" s="8"/>
      <c r="P414" s="88"/>
      <c r="Q414" s="28"/>
      <c r="R414" s="28"/>
    </row>
    <row r="415" spans="1:18">
      <c r="A415" s="2"/>
      <c r="B415" s="716"/>
      <c r="C415" s="8"/>
      <c r="D415" s="87"/>
      <c r="E415" s="8"/>
      <c r="F415" s="88"/>
      <c r="G415" s="28"/>
      <c r="H415" s="28"/>
      <c r="I415" s="89"/>
      <c r="J415" s="8"/>
      <c r="K415" s="88"/>
      <c r="L415" s="28"/>
      <c r="M415" s="28"/>
      <c r="N415" s="8"/>
      <c r="O415" s="8"/>
      <c r="P415" s="88"/>
      <c r="Q415" s="28"/>
      <c r="R415" s="28"/>
    </row>
    <row r="416" spans="1:18">
      <c r="A416" s="2"/>
      <c r="B416" s="716"/>
      <c r="C416" s="8"/>
      <c r="D416" s="87"/>
      <c r="E416" s="8"/>
      <c r="F416" s="88"/>
      <c r="G416" s="28"/>
      <c r="H416" s="28"/>
      <c r="I416" s="89"/>
      <c r="J416" s="8"/>
      <c r="K416" s="88"/>
      <c r="L416" s="28"/>
      <c r="M416" s="28"/>
      <c r="N416" s="8"/>
      <c r="O416" s="8"/>
      <c r="P416" s="88"/>
      <c r="Q416" s="28"/>
      <c r="R416" s="28"/>
    </row>
    <row r="417" spans="1:18">
      <c r="A417" s="2"/>
      <c r="B417" s="716"/>
      <c r="C417" s="8"/>
      <c r="D417" s="87"/>
      <c r="E417" s="8"/>
      <c r="F417" s="88"/>
      <c r="G417" s="28"/>
      <c r="H417" s="28"/>
      <c r="I417" s="89"/>
      <c r="J417" s="8"/>
      <c r="K417" s="88"/>
      <c r="L417" s="28"/>
      <c r="M417" s="28"/>
      <c r="N417" s="8"/>
      <c r="O417" s="8"/>
      <c r="P417" s="88"/>
      <c r="Q417" s="28"/>
      <c r="R417" s="28"/>
    </row>
    <row r="418" spans="1:18">
      <c r="A418" s="2"/>
      <c r="B418" s="716"/>
      <c r="C418" s="8"/>
      <c r="D418" s="87"/>
      <c r="E418" s="8"/>
      <c r="F418" s="88"/>
      <c r="G418" s="28"/>
      <c r="H418" s="28"/>
      <c r="I418" s="89"/>
      <c r="J418" s="8"/>
      <c r="K418" s="88"/>
      <c r="L418" s="28"/>
      <c r="M418" s="28"/>
      <c r="N418" s="8"/>
      <c r="O418" s="8"/>
      <c r="P418" s="88"/>
      <c r="Q418" s="28"/>
      <c r="R418" s="28"/>
    </row>
    <row r="419" spans="1:18">
      <c r="A419" s="2"/>
      <c r="B419" s="90"/>
      <c r="C419" s="8"/>
      <c r="D419" s="87"/>
      <c r="E419" s="10"/>
      <c r="F419" s="91"/>
      <c r="G419" s="92"/>
      <c r="H419" s="92"/>
      <c r="I419" s="10"/>
      <c r="J419" s="10"/>
      <c r="K419" s="91"/>
      <c r="L419" s="28"/>
      <c r="M419" s="28"/>
      <c r="N419" s="8"/>
      <c r="O419" s="8"/>
      <c r="P419" s="91"/>
      <c r="Q419" s="28"/>
      <c r="R419" s="28"/>
    </row>
    <row r="420" spans="1:18">
      <c r="A420" s="2"/>
      <c r="B420" s="2"/>
      <c r="C420" s="8"/>
      <c r="D420" s="93"/>
      <c r="E420" s="94"/>
      <c r="F420" s="95"/>
      <c r="G420" s="95" t="s">
        <v>20</v>
      </c>
      <c r="H420" s="96">
        <f>SUM(H412:H419)</f>
        <v>0</v>
      </c>
      <c r="I420" s="717"/>
      <c r="J420" s="717"/>
      <c r="K420" s="97"/>
      <c r="L420" s="95" t="s">
        <v>21</v>
      </c>
      <c r="M420" s="96">
        <f>SUM(M412:M419)</f>
        <v>0</v>
      </c>
      <c r="N420" s="98"/>
      <c r="O420" s="97"/>
      <c r="P420" s="97"/>
      <c r="Q420" s="95" t="s">
        <v>22</v>
      </c>
      <c r="R420" s="96">
        <f>SUM(R412:R419)</f>
        <v>0</v>
      </c>
    </row>
    <row r="421" spans="1:18">
      <c r="A421" s="2"/>
      <c r="B421" s="99" t="s">
        <v>13</v>
      </c>
      <c r="C421" s="97"/>
      <c r="D421" s="97"/>
      <c r="E421" s="97"/>
      <c r="F421" s="97"/>
      <c r="G421" s="95"/>
      <c r="H421" s="100">
        <f>M420+R420+H420</f>
        <v>0</v>
      </c>
      <c r="I421" s="101"/>
      <c r="J421" s="97"/>
      <c r="K421" s="97"/>
      <c r="L421" s="95"/>
      <c r="M421" s="102"/>
      <c r="N421" s="97"/>
      <c r="O421" s="97"/>
      <c r="P421" s="97"/>
      <c r="Q421" s="97"/>
      <c r="R421" s="101"/>
    </row>
    <row r="422" spans="1:18">
      <c r="A422" s="2"/>
      <c r="B422" s="2" t="s">
        <v>25</v>
      </c>
      <c r="C422" s="87"/>
      <c r="D422" s="87"/>
      <c r="E422" s="87"/>
      <c r="F422" s="87"/>
      <c r="G422" s="103"/>
      <c r="H422" s="104">
        <v>0</v>
      </c>
      <c r="I422" s="105"/>
      <c r="J422" s="87" t="s">
        <v>26</v>
      </c>
      <c r="K422" s="87"/>
      <c r="L422" s="103"/>
      <c r="M422" s="106"/>
      <c r="N422" s="87"/>
      <c r="O422" s="87"/>
      <c r="P422" s="87"/>
      <c r="Q422" s="87"/>
      <c r="R422" s="105"/>
    </row>
    <row r="423" spans="1:18">
      <c r="A423" s="23"/>
      <c r="B423" s="2" t="s">
        <v>14</v>
      </c>
      <c r="C423" s="87"/>
      <c r="D423" s="87"/>
      <c r="E423" s="87"/>
      <c r="F423" s="87"/>
      <c r="G423" s="103"/>
      <c r="H423" s="104">
        <f>SUM(H421:H422)</f>
        <v>0</v>
      </c>
      <c r="I423" s="105"/>
      <c r="J423" s="718" t="s">
        <v>179</v>
      </c>
      <c r="K423" s="719"/>
      <c r="L423" s="719"/>
      <c r="M423" s="719"/>
      <c r="N423" s="719"/>
      <c r="O423" s="719"/>
      <c r="P423" s="719"/>
      <c r="Q423" s="719"/>
      <c r="R423" s="720"/>
    </row>
    <row r="424" spans="1:18">
      <c r="A424" s="23"/>
      <c r="B424" s="2" t="s">
        <v>24</v>
      </c>
      <c r="C424" s="87"/>
      <c r="D424" s="87"/>
      <c r="E424" s="87"/>
      <c r="F424" s="87"/>
      <c r="G424" s="103"/>
      <c r="H424" s="104">
        <f>H423*15%</f>
        <v>0</v>
      </c>
      <c r="I424" s="105"/>
      <c r="J424" s="721"/>
      <c r="K424" s="722"/>
      <c r="L424" s="722"/>
      <c r="M424" s="722"/>
      <c r="N424" s="722"/>
      <c r="O424" s="722"/>
      <c r="P424" s="722"/>
      <c r="Q424" s="722"/>
      <c r="R424" s="723"/>
    </row>
    <row r="425" spans="1:18">
      <c r="A425" s="23"/>
      <c r="B425" s="2" t="s">
        <v>15</v>
      </c>
      <c r="C425" s="87"/>
      <c r="D425" s="87"/>
      <c r="E425" s="87"/>
      <c r="F425" s="87"/>
      <c r="G425" s="107" t="s">
        <v>16</v>
      </c>
      <c r="H425" s="37">
        <f>H424+H423</f>
        <v>0</v>
      </c>
      <c r="I425" s="108" t="str">
        <f>CONCATENATE("per ",C412)</f>
        <v>per cum</v>
      </c>
      <c r="J425" s="721"/>
      <c r="K425" s="722"/>
      <c r="L425" s="722"/>
      <c r="M425" s="722"/>
      <c r="N425" s="722"/>
      <c r="O425" s="722"/>
      <c r="P425" s="722"/>
      <c r="Q425" s="722"/>
      <c r="R425" s="723"/>
    </row>
    <row r="426" spans="1:18">
      <c r="A426" s="23"/>
      <c r="B426" s="2" t="s">
        <v>18</v>
      </c>
      <c r="C426" s="87" t="s">
        <v>19</v>
      </c>
      <c r="D426" s="87"/>
      <c r="E426" s="87"/>
      <c r="F426" s="87"/>
      <c r="G426" s="107" t="s">
        <v>16</v>
      </c>
      <c r="H426" s="37">
        <f>CEILING(H425,0.5)</f>
        <v>0</v>
      </c>
      <c r="I426" s="108" t="str">
        <f>CONCATENATE("per ",C412)</f>
        <v>per cum</v>
      </c>
      <c r="J426" s="721"/>
      <c r="K426" s="722"/>
      <c r="L426" s="722"/>
      <c r="M426" s="722"/>
      <c r="N426" s="722"/>
      <c r="O426" s="722"/>
      <c r="P426" s="722"/>
      <c r="Q426" s="722"/>
      <c r="R426" s="723"/>
    </row>
    <row r="427" spans="1:18">
      <c r="A427" s="23"/>
      <c r="B427" s="2"/>
      <c r="C427" s="87"/>
      <c r="D427" s="87"/>
      <c r="E427" s="87"/>
      <c r="F427" s="87"/>
      <c r="G427" s="109" t="s">
        <v>17</v>
      </c>
      <c r="H427" s="37">
        <f>H426/exr</f>
        <v>0</v>
      </c>
      <c r="I427" s="108" t="str">
        <f>CONCATENATE("per ",C412)</f>
        <v>per cum</v>
      </c>
      <c r="J427" s="724"/>
      <c r="K427" s="725"/>
      <c r="L427" s="725"/>
      <c r="M427" s="725"/>
      <c r="N427" s="725"/>
      <c r="O427" s="725"/>
      <c r="P427" s="725"/>
      <c r="Q427" s="725"/>
      <c r="R427" s="726"/>
    </row>
    <row r="428" spans="1:18">
      <c r="A428" s="39"/>
      <c r="B428" s="40"/>
      <c r="C428" s="41"/>
      <c r="D428" s="41"/>
      <c r="E428" s="41"/>
      <c r="F428" s="41"/>
      <c r="G428" s="149" t="s">
        <v>460</v>
      </c>
      <c r="H428" s="150">
        <f>CEILING(0,0.0025)</f>
        <v>0</v>
      </c>
      <c r="I428" s="42"/>
      <c r="J428" s="43"/>
      <c r="K428" s="43"/>
      <c r="L428" s="43"/>
      <c r="M428" s="43"/>
      <c r="N428" s="43"/>
      <c r="O428" s="43"/>
      <c r="P428" s="43"/>
      <c r="Q428" s="43"/>
      <c r="R428" s="44"/>
    </row>
    <row r="430" spans="1:18">
      <c r="A430" s="693" t="s">
        <v>0</v>
      </c>
      <c r="B430" s="695" t="s">
        <v>1</v>
      </c>
      <c r="C430" s="695" t="s">
        <v>2</v>
      </c>
      <c r="D430" s="697" t="s">
        <v>3</v>
      </c>
      <c r="E430" s="698"/>
      <c r="F430" s="698"/>
      <c r="G430" s="698"/>
      <c r="H430" s="698"/>
      <c r="I430" s="699" t="s">
        <v>4</v>
      </c>
      <c r="J430" s="700"/>
      <c r="K430" s="700"/>
      <c r="L430" s="700"/>
      <c r="M430" s="700"/>
      <c r="N430" s="698" t="s">
        <v>5</v>
      </c>
      <c r="O430" s="698"/>
      <c r="P430" s="698"/>
      <c r="Q430" s="698"/>
      <c r="R430" s="698"/>
    </row>
    <row r="431" spans="1:18">
      <c r="A431" s="694"/>
      <c r="B431" s="696"/>
      <c r="C431" s="696"/>
      <c r="D431" s="45" t="s">
        <v>6</v>
      </c>
      <c r="E431" s="46" t="s">
        <v>2</v>
      </c>
      <c r="F431" s="46" t="s">
        <v>7</v>
      </c>
      <c r="G431" s="46" t="s">
        <v>8</v>
      </c>
      <c r="H431" s="46" t="s">
        <v>9</v>
      </c>
      <c r="I431" s="46" t="s">
        <v>10</v>
      </c>
      <c r="J431" s="46" t="s">
        <v>2</v>
      </c>
      <c r="K431" s="46" t="s">
        <v>7</v>
      </c>
      <c r="L431" s="46" t="s">
        <v>8</v>
      </c>
      <c r="M431" s="47" t="s">
        <v>9</v>
      </c>
      <c r="N431" s="46" t="s">
        <v>10</v>
      </c>
      <c r="O431" s="46" t="s">
        <v>2</v>
      </c>
      <c r="P431" s="46" t="s">
        <v>7</v>
      </c>
      <c r="Q431" s="46" t="s">
        <v>8</v>
      </c>
      <c r="R431" s="46" t="s">
        <v>9</v>
      </c>
    </row>
    <row r="432" spans="1:18">
      <c r="A432" s="33" t="s">
        <v>23</v>
      </c>
      <c r="B432" s="73" t="s">
        <v>194</v>
      </c>
      <c r="C432" s="31"/>
      <c r="D432" s="31"/>
      <c r="E432" s="31"/>
      <c r="F432" s="31"/>
      <c r="G432" s="31"/>
      <c r="H432" s="31"/>
      <c r="I432" s="31"/>
      <c r="J432" s="31"/>
      <c r="K432" s="31"/>
      <c r="L432" s="31"/>
      <c r="M432" s="31"/>
      <c r="N432" s="31"/>
      <c r="O432" s="31"/>
      <c r="P432" s="31"/>
      <c r="Q432" s="31"/>
      <c r="R432" s="32"/>
    </row>
    <row r="433" spans="1:18">
      <c r="A433" s="34">
        <f>A412+1</f>
        <v>23</v>
      </c>
      <c r="B433" s="701" t="s">
        <v>197</v>
      </c>
      <c r="C433" s="6" t="s">
        <v>11</v>
      </c>
      <c r="D433" s="4"/>
      <c r="E433" s="6"/>
      <c r="F433" s="29"/>
      <c r="G433" s="26"/>
      <c r="H433" s="26"/>
      <c r="I433" s="6"/>
      <c r="J433" s="6"/>
      <c r="K433" s="29"/>
      <c r="L433" s="26"/>
      <c r="M433" s="26"/>
      <c r="N433" s="6"/>
      <c r="O433" s="6"/>
      <c r="P433" s="29"/>
      <c r="Q433" s="26"/>
      <c r="R433" s="26"/>
    </row>
    <row r="434" spans="1:18">
      <c r="A434" s="2"/>
      <c r="B434" s="702"/>
      <c r="C434" s="6"/>
      <c r="D434" s="4" t="s">
        <v>97</v>
      </c>
      <c r="E434" s="6" t="s">
        <v>81</v>
      </c>
      <c r="F434" s="29">
        <v>0.6</v>
      </c>
      <c r="G434" s="26">
        <f>ur</f>
        <v>850</v>
      </c>
      <c r="H434" s="26">
        <f>F434*G434</f>
        <v>510</v>
      </c>
      <c r="I434" s="7"/>
      <c r="J434" s="8"/>
      <c r="K434" s="29"/>
      <c r="L434" s="28"/>
      <c r="M434" s="28"/>
      <c r="N434" s="8" t="s">
        <v>128</v>
      </c>
      <c r="O434" s="6"/>
      <c r="P434" s="29"/>
      <c r="Q434" s="28"/>
      <c r="R434" s="28">
        <f>3%*H438</f>
        <v>15.299999999999999</v>
      </c>
    </row>
    <row r="435" spans="1:18">
      <c r="A435" s="2"/>
      <c r="B435" s="702"/>
      <c r="C435" s="6"/>
      <c r="D435" s="4"/>
      <c r="E435" s="6"/>
      <c r="F435" s="29"/>
      <c r="G435" s="26"/>
      <c r="H435" s="26"/>
      <c r="I435" s="7"/>
      <c r="J435" s="8"/>
      <c r="K435" s="29"/>
      <c r="L435" s="28"/>
      <c r="M435" s="28"/>
      <c r="N435" s="8"/>
      <c r="O435" s="6"/>
      <c r="P435" s="29"/>
      <c r="Q435" s="28"/>
      <c r="R435" s="28"/>
    </row>
    <row r="436" spans="1:18">
      <c r="A436" s="2"/>
      <c r="B436" s="702"/>
      <c r="C436" s="6"/>
      <c r="D436" s="4"/>
      <c r="E436" s="6"/>
      <c r="F436" s="29"/>
      <c r="G436" s="26"/>
      <c r="H436" s="26"/>
      <c r="I436" s="7"/>
      <c r="J436" s="8"/>
      <c r="K436" s="29"/>
      <c r="L436" s="28"/>
      <c r="M436" s="28"/>
      <c r="N436" s="8"/>
      <c r="O436" s="6"/>
      <c r="P436" s="29"/>
      <c r="Q436" s="28"/>
      <c r="R436" s="28"/>
    </row>
    <row r="437" spans="1:18">
      <c r="A437" s="2"/>
      <c r="B437" s="5"/>
      <c r="C437" s="6"/>
      <c r="D437" s="4"/>
      <c r="E437" s="9"/>
      <c r="F437" s="30"/>
      <c r="G437" s="27"/>
      <c r="H437" s="27"/>
      <c r="I437" s="9"/>
      <c r="J437" s="10"/>
      <c r="K437" s="30"/>
      <c r="L437" s="28"/>
      <c r="M437" s="28"/>
      <c r="N437" s="8"/>
      <c r="O437" s="6"/>
      <c r="P437" s="30"/>
      <c r="Q437" s="28"/>
      <c r="R437" s="28"/>
    </row>
    <row r="438" spans="1:18">
      <c r="A438" s="2"/>
      <c r="B438" s="11"/>
      <c r="C438" s="6"/>
      <c r="D438" s="12"/>
      <c r="E438" s="59"/>
      <c r="F438" s="13"/>
      <c r="G438" s="13" t="s">
        <v>20</v>
      </c>
      <c r="H438" s="25">
        <f>SUM(H433:H437)</f>
        <v>510</v>
      </c>
      <c r="I438" s="703"/>
      <c r="J438" s="703"/>
      <c r="K438" s="14"/>
      <c r="L438" s="13" t="s">
        <v>21</v>
      </c>
      <c r="M438" s="25">
        <f>SUM(M433:M437)</f>
        <v>0</v>
      </c>
      <c r="N438" s="3"/>
      <c r="O438" s="14"/>
      <c r="P438" s="14"/>
      <c r="Q438" s="13" t="s">
        <v>22</v>
      </c>
      <c r="R438" s="25">
        <f>SUM(R433:R437)</f>
        <v>15.299999999999999</v>
      </c>
    </row>
    <row r="439" spans="1:18">
      <c r="A439" s="2"/>
      <c r="B439" s="16" t="s">
        <v>13</v>
      </c>
      <c r="C439" s="14"/>
      <c r="D439" s="14"/>
      <c r="E439" s="14"/>
      <c r="F439" s="14"/>
      <c r="G439" s="13"/>
      <c r="H439" s="35">
        <f>M438+R438+H438</f>
        <v>525.29999999999995</v>
      </c>
      <c r="I439" s="17"/>
      <c r="J439" s="14"/>
      <c r="K439" s="14"/>
      <c r="L439" s="13"/>
      <c r="M439" s="15"/>
      <c r="N439" s="14"/>
      <c r="O439" s="14"/>
      <c r="P439" s="14"/>
      <c r="Q439" s="14"/>
      <c r="R439" s="17"/>
    </row>
    <row r="440" spans="1:18">
      <c r="A440" s="2"/>
      <c r="B440" s="11" t="s">
        <v>25</v>
      </c>
      <c r="C440" s="4"/>
      <c r="D440" s="4"/>
      <c r="E440" s="4"/>
      <c r="F440" s="4"/>
      <c r="G440" s="18"/>
      <c r="H440" s="36">
        <v>0</v>
      </c>
      <c r="I440" s="20"/>
      <c r="J440" s="4" t="s">
        <v>26</v>
      </c>
      <c r="K440" s="4"/>
      <c r="L440" s="18"/>
      <c r="M440" s="19"/>
      <c r="N440" s="4"/>
      <c r="O440" s="4"/>
      <c r="P440" s="4"/>
      <c r="Q440" s="4"/>
      <c r="R440" s="20"/>
    </row>
    <row r="441" spans="1:18">
      <c r="A441" s="23"/>
      <c r="B441" s="11" t="s">
        <v>14</v>
      </c>
      <c r="C441" s="4"/>
      <c r="D441" s="4"/>
      <c r="E441" s="4"/>
      <c r="F441" s="4"/>
      <c r="G441" s="18"/>
      <c r="H441" s="36">
        <f>SUM(H439:H440)</f>
        <v>525.29999999999995</v>
      </c>
      <c r="I441" s="20"/>
      <c r="J441" s="704"/>
      <c r="K441" s="705"/>
      <c r="L441" s="705"/>
      <c r="M441" s="705"/>
      <c r="N441" s="705"/>
      <c r="O441" s="705"/>
      <c r="P441" s="705"/>
      <c r="Q441" s="705"/>
      <c r="R441" s="706"/>
    </row>
    <row r="442" spans="1:18">
      <c r="A442" s="23"/>
      <c r="B442" s="11" t="s">
        <v>24</v>
      </c>
      <c r="C442" s="4"/>
      <c r="D442" s="4"/>
      <c r="E442" s="4"/>
      <c r="F442" s="4"/>
      <c r="G442" s="18"/>
      <c r="H442" s="36">
        <f>H441*15%</f>
        <v>78.794999999999987</v>
      </c>
      <c r="I442" s="20"/>
      <c r="J442" s="707"/>
      <c r="K442" s="708"/>
      <c r="L442" s="708"/>
      <c r="M442" s="708"/>
      <c r="N442" s="708"/>
      <c r="O442" s="708"/>
      <c r="P442" s="708"/>
      <c r="Q442" s="708"/>
      <c r="R442" s="709"/>
    </row>
    <row r="443" spans="1:18">
      <c r="A443" s="23"/>
      <c r="B443" s="11" t="s">
        <v>15</v>
      </c>
      <c r="C443" s="4"/>
      <c r="D443" s="4"/>
      <c r="E443" s="4"/>
      <c r="F443" s="4"/>
      <c r="G443" s="21" t="s">
        <v>16</v>
      </c>
      <c r="H443" s="37">
        <f>H442+H441</f>
        <v>604.09499999999991</v>
      </c>
      <c r="I443" s="38" t="str">
        <f>CONCATENATE("per ",C433)</f>
        <v>per cum</v>
      </c>
      <c r="J443" s="707"/>
      <c r="K443" s="708"/>
      <c r="L443" s="708"/>
      <c r="M443" s="708"/>
      <c r="N443" s="708"/>
      <c r="O443" s="708"/>
      <c r="P443" s="708"/>
      <c r="Q443" s="708"/>
      <c r="R443" s="709"/>
    </row>
    <row r="444" spans="1:18">
      <c r="A444" s="23"/>
      <c r="B444" s="11" t="s">
        <v>18</v>
      </c>
      <c r="C444" s="4" t="s">
        <v>19</v>
      </c>
      <c r="D444" s="4"/>
      <c r="E444" s="4"/>
      <c r="F444" s="4"/>
      <c r="G444" s="21" t="s">
        <v>16</v>
      </c>
      <c r="H444" s="37">
        <f>CEILING(H443,0.5)</f>
        <v>604.5</v>
      </c>
      <c r="I444" s="38" t="str">
        <f>CONCATENATE("per ",C433)</f>
        <v>per cum</v>
      </c>
      <c r="J444" s="707"/>
      <c r="K444" s="708"/>
      <c r="L444" s="708"/>
      <c r="M444" s="708"/>
      <c r="N444" s="708"/>
      <c r="O444" s="708"/>
      <c r="P444" s="708"/>
      <c r="Q444" s="708"/>
      <c r="R444" s="709"/>
    </row>
    <row r="445" spans="1:18">
      <c r="A445" s="23"/>
      <c r="B445" s="11"/>
      <c r="C445" s="4"/>
      <c r="D445" s="4"/>
      <c r="E445" s="4"/>
      <c r="F445" s="4"/>
      <c r="G445" s="24" t="s">
        <v>17</v>
      </c>
      <c r="H445" s="37">
        <f>H444/exr</f>
        <v>4.6500000000000004</v>
      </c>
      <c r="I445" s="38" t="str">
        <f>CONCATENATE("per ",C433)</f>
        <v>per cum</v>
      </c>
      <c r="J445" s="710"/>
      <c r="K445" s="711"/>
      <c r="L445" s="711"/>
      <c r="M445" s="711"/>
      <c r="N445" s="711"/>
      <c r="O445" s="711"/>
      <c r="P445" s="711"/>
      <c r="Q445" s="711"/>
      <c r="R445" s="712"/>
    </row>
    <row r="446" spans="1:18">
      <c r="A446" s="39"/>
      <c r="B446" s="40"/>
      <c r="C446" s="41"/>
      <c r="D446" s="41"/>
      <c r="E446" s="41"/>
      <c r="F446" s="41"/>
      <c r="G446" s="149" t="s">
        <v>460</v>
      </c>
      <c r="H446" s="150">
        <f>CEILING(0,0.0025)</f>
        <v>0</v>
      </c>
      <c r="I446" s="42"/>
      <c r="J446" s="43"/>
      <c r="K446" s="43"/>
      <c r="L446" s="43"/>
      <c r="M446" s="43"/>
      <c r="N446" s="43"/>
      <c r="O446" s="43"/>
      <c r="P446" s="43"/>
      <c r="Q446" s="43"/>
      <c r="R446" s="44"/>
    </row>
    <row r="447" spans="1:18">
      <c r="A447" s="22"/>
      <c r="B447" s="22"/>
      <c r="C447" s="22"/>
      <c r="D447" s="22"/>
      <c r="E447" s="22"/>
      <c r="F447" s="22"/>
      <c r="G447" s="22"/>
      <c r="H447" s="22"/>
      <c r="I447" s="22"/>
      <c r="J447" s="22"/>
      <c r="K447" s="22"/>
      <c r="L447" s="22"/>
      <c r="M447" s="22"/>
      <c r="N447" s="22"/>
      <c r="O447" s="22"/>
      <c r="P447" s="22"/>
      <c r="Q447" s="22"/>
      <c r="R447" s="22"/>
    </row>
    <row r="448" spans="1:18">
      <c r="A448" s="693" t="s">
        <v>0</v>
      </c>
      <c r="B448" s="695" t="s">
        <v>1</v>
      </c>
      <c r="C448" s="695" t="s">
        <v>2</v>
      </c>
      <c r="D448" s="697" t="s">
        <v>3</v>
      </c>
      <c r="E448" s="698"/>
      <c r="F448" s="698"/>
      <c r="G448" s="698"/>
      <c r="H448" s="698"/>
      <c r="I448" s="699" t="s">
        <v>4</v>
      </c>
      <c r="J448" s="700"/>
      <c r="K448" s="700"/>
      <c r="L448" s="700"/>
      <c r="M448" s="700"/>
      <c r="N448" s="698" t="s">
        <v>5</v>
      </c>
      <c r="O448" s="698"/>
      <c r="P448" s="698"/>
      <c r="Q448" s="698"/>
      <c r="R448" s="698"/>
    </row>
    <row r="449" spans="1:18">
      <c r="A449" s="694"/>
      <c r="B449" s="696"/>
      <c r="C449" s="696"/>
      <c r="D449" s="45" t="s">
        <v>6</v>
      </c>
      <c r="E449" s="46" t="s">
        <v>2</v>
      </c>
      <c r="F449" s="46" t="s">
        <v>7</v>
      </c>
      <c r="G449" s="46" t="s">
        <v>8</v>
      </c>
      <c r="H449" s="46" t="s">
        <v>9</v>
      </c>
      <c r="I449" s="46" t="s">
        <v>10</v>
      </c>
      <c r="J449" s="46" t="s">
        <v>2</v>
      </c>
      <c r="K449" s="46" t="s">
        <v>7</v>
      </c>
      <c r="L449" s="46" t="s">
        <v>8</v>
      </c>
      <c r="M449" s="47" t="s">
        <v>9</v>
      </c>
      <c r="N449" s="46" t="s">
        <v>10</v>
      </c>
      <c r="O449" s="46" t="s">
        <v>2</v>
      </c>
      <c r="P449" s="46" t="s">
        <v>7</v>
      </c>
      <c r="Q449" s="46" t="s">
        <v>8</v>
      </c>
      <c r="R449" s="46" t="s">
        <v>9</v>
      </c>
    </row>
    <row r="450" spans="1:18">
      <c r="A450" s="33" t="s">
        <v>23</v>
      </c>
      <c r="B450" s="73" t="s">
        <v>195</v>
      </c>
      <c r="C450" s="31"/>
      <c r="D450" s="31"/>
      <c r="E450" s="31"/>
      <c r="F450" s="31"/>
      <c r="G450" s="31"/>
      <c r="H450" s="31"/>
      <c r="I450" s="31"/>
      <c r="J450" s="31"/>
      <c r="K450" s="31"/>
      <c r="L450" s="31"/>
      <c r="M450" s="31"/>
      <c r="N450" s="31"/>
      <c r="O450" s="31"/>
      <c r="P450" s="31"/>
      <c r="Q450" s="31"/>
      <c r="R450" s="32"/>
    </row>
    <row r="451" spans="1:18">
      <c r="A451" s="34">
        <f>A433+1</f>
        <v>24</v>
      </c>
      <c r="B451" s="727" t="s">
        <v>198</v>
      </c>
      <c r="C451" s="6" t="s">
        <v>11</v>
      </c>
      <c r="D451" s="4"/>
      <c r="E451" s="6"/>
      <c r="F451" s="29"/>
      <c r="G451" s="26"/>
      <c r="H451" s="26"/>
      <c r="I451" s="6"/>
      <c r="J451" s="6"/>
      <c r="K451" s="29"/>
      <c r="L451" s="26"/>
      <c r="M451" s="26"/>
      <c r="N451" s="6"/>
      <c r="O451" s="6"/>
      <c r="P451" s="29"/>
      <c r="Q451" s="26"/>
      <c r="R451" s="26"/>
    </row>
    <row r="452" spans="1:18">
      <c r="A452" s="2"/>
      <c r="B452" s="728"/>
      <c r="C452" s="6"/>
      <c r="D452" s="4" t="s">
        <v>97</v>
      </c>
      <c r="E452" s="6" t="s">
        <v>81</v>
      </c>
      <c r="F452" s="29">
        <v>0.8</v>
      </c>
      <c r="G452" s="26">
        <f>ur</f>
        <v>850</v>
      </c>
      <c r="H452" s="26">
        <f>F452*G452</f>
        <v>680</v>
      </c>
      <c r="I452" s="7"/>
      <c r="J452" s="8"/>
      <c r="K452" s="29"/>
      <c r="L452" s="28"/>
      <c r="M452" s="28"/>
      <c r="N452" s="8" t="s">
        <v>128</v>
      </c>
      <c r="O452" s="6"/>
      <c r="P452" s="29"/>
      <c r="Q452" s="28"/>
      <c r="R452" s="28">
        <f>3%*H457</f>
        <v>20.399999999999999</v>
      </c>
    </row>
    <row r="453" spans="1:18">
      <c r="A453" s="2"/>
      <c r="B453" s="728"/>
      <c r="C453" s="6"/>
      <c r="D453" s="4"/>
      <c r="E453" s="6"/>
      <c r="F453" s="29"/>
      <c r="G453" s="26"/>
      <c r="H453" s="26"/>
      <c r="I453" s="7"/>
      <c r="J453" s="8"/>
      <c r="K453" s="29"/>
      <c r="L453" s="28"/>
      <c r="M453" s="28"/>
      <c r="N453" s="8"/>
      <c r="O453" s="6"/>
      <c r="P453" s="29"/>
      <c r="Q453" s="28"/>
      <c r="R453" s="28"/>
    </row>
    <row r="454" spans="1:18">
      <c r="A454" s="2"/>
      <c r="B454" s="728"/>
      <c r="C454" s="6"/>
      <c r="D454" s="4"/>
      <c r="E454" s="6"/>
      <c r="F454" s="29"/>
      <c r="G454" s="26"/>
      <c r="H454" s="26"/>
      <c r="I454" s="7"/>
      <c r="J454" s="8"/>
      <c r="K454" s="29"/>
      <c r="L454" s="28"/>
      <c r="M454" s="28"/>
      <c r="N454" s="8"/>
      <c r="O454" s="6"/>
      <c r="P454" s="29"/>
      <c r="Q454" s="28"/>
      <c r="R454" s="28"/>
    </row>
    <row r="455" spans="1:18">
      <c r="A455" s="2"/>
      <c r="B455" s="728"/>
      <c r="C455" s="6"/>
      <c r="D455" s="4"/>
      <c r="E455" s="6"/>
      <c r="F455" s="29"/>
      <c r="G455" s="26"/>
      <c r="H455" s="26"/>
      <c r="I455" s="7"/>
      <c r="J455" s="8"/>
      <c r="K455" s="29"/>
      <c r="L455" s="28"/>
      <c r="M455" s="28"/>
      <c r="N455" s="8"/>
      <c r="O455" s="6"/>
      <c r="P455" s="29"/>
      <c r="Q455" s="28"/>
      <c r="R455" s="28"/>
    </row>
    <row r="456" spans="1:18">
      <c r="A456" s="2"/>
      <c r="B456" s="84"/>
      <c r="C456" s="6"/>
      <c r="D456" s="4"/>
      <c r="E456" s="9"/>
      <c r="F456" s="30"/>
      <c r="G456" s="27"/>
      <c r="H456" s="27"/>
      <c r="I456" s="9"/>
      <c r="J456" s="10"/>
      <c r="K456" s="30"/>
      <c r="L456" s="28"/>
      <c r="M456" s="28"/>
      <c r="N456" s="8"/>
      <c r="O456" s="6"/>
      <c r="P456" s="30"/>
      <c r="Q456" s="28"/>
      <c r="R456" s="28"/>
    </row>
    <row r="457" spans="1:18">
      <c r="A457" s="2"/>
      <c r="B457" s="11"/>
      <c r="C457" s="6"/>
      <c r="D457" s="12"/>
      <c r="E457" s="59"/>
      <c r="F457" s="13"/>
      <c r="G457" s="13" t="s">
        <v>20</v>
      </c>
      <c r="H457" s="25">
        <f>SUM(H451:H456)</f>
        <v>680</v>
      </c>
      <c r="I457" s="703"/>
      <c r="J457" s="703"/>
      <c r="K457" s="14"/>
      <c r="L457" s="13" t="s">
        <v>21</v>
      </c>
      <c r="M457" s="25">
        <f>SUM(M451:M456)</f>
        <v>0</v>
      </c>
      <c r="N457" s="3"/>
      <c r="O457" s="14"/>
      <c r="P457" s="14"/>
      <c r="Q457" s="13" t="s">
        <v>22</v>
      </c>
      <c r="R457" s="25">
        <f>SUM(R451:R456)</f>
        <v>20.399999999999999</v>
      </c>
    </row>
    <row r="458" spans="1:18">
      <c r="A458" s="2"/>
      <c r="B458" s="16" t="s">
        <v>13</v>
      </c>
      <c r="C458" s="14"/>
      <c r="D458" s="14"/>
      <c r="E458" s="14"/>
      <c r="F458" s="14"/>
      <c r="G458" s="13"/>
      <c r="H458" s="35">
        <f>M457+R457+H457</f>
        <v>700.4</v>
      </c>
      <c r="I458" s="17"/>
      <c r="J458" s="14"/>
      <c r="K458" s="14"/>
      <c r="L458" s="13"/>
      <c r="M458" s="15"/>
      <c r="N458" s="14"/>
      <c r="O458" s="14"/>
      <c r="P458" s="14"/>
      <c r="Q458" s="14"/>
      <c r="R458" s="17"/>
    </row>
    <row r="459" spans="1:18">
      <c r="A459" s="2"/>
      <c r="B459" s="11" t="s">
        <v>25</v>
      </c>
      <c r="C459" s="4"/>
      <c r="D459" s="4"/>
      <c r="E459" s="4"/>
      <c r="F459" s="4"/>
      <c r="G459" s="18"/>
      <c r="H459" s="36">
        <v>0</v>
      </c>
      <c r="I459" s="20"/>
      <c r="J459" s="4" t="s">
        <v>26</v>
      </c>
      <c r="K459" s="4"/>
      <c r="L459" s="18"/>
      <c r="M459" s="19"/>
      <c r="N459" s="4"/>
      <c r="O459" s="4"/>
      <c r="P459" s="4"/>
      <c r="Q459" s="4"/>
      <c r="R459" s="20"/>
    </row>
    <row r="460" spans="1:18">
      <c r="A460" s="23"/>
      <c r="B460" s="11" t="s">
        <v>14</v>
      </c>
      <c r="C460" s="4"/>
      <c r="D460" s="4"/>
      <c r="E460" s="4"/>
      <c r="F460" s="4"/>
      <c r="G460" s="18"/>
      <c r="H460" s="36">
        <f>SUM(H458:H459)</f>
        <v>700.4</v>
      </c>
      <c r="I460" s="20"/>
      <c r="J460" s="704"/>
      <c r="K460" s="705"/>
      <c r="L460" s="705"/>
      <c r="M460" s="705"/>
      <c r="N460" s="705"/>
      <c r="O460" s="705"/>
      <c r="P460" s="705"/>
      <c r="Q460" s="705"/>
      <c r="R460" s="706"/>
    </row>
    <row r="461" spans="1:18">
      <c r="A461" s="23"/>
      <c r="B461" s="11" t="s">
        <v>24</v>
      </c>
      <c r="C461" s="4"/>
      <c r="D461" s="4"/>
      <c r="E461" s="4"/>
      <c r="F461" s="4"/>
      <c r="G461" s="18"/>
      <c r="H461" s="36">
        <f>H460*15%</f>
        <v>105.05999999999999</v>
      </c>
      <c r="I461" s="20"/>
      <c r="J461" s="707"/>
      <c r="K461" s="708"/>
      <c r="L461" s="708"/>
      <c r="M461" s="708"/>
      <c r="N461" s="708"/>
      <c r="O461" s="708"/>
      <c r="P461" s="708"/>
      <c r="Q461" s="708"/>
      <c r="R461" s="709"/>
    </row>
    <row r="462" spans="1:18">
      <c r="A462" s="23"/>
      <c r="B462" s="11" t="s">
        <v>15</v>
      </c>
      <c r="C462" s="4"/>
      <c r="D462" s="4"/>
      <c r="E462" s="4"/>
      <c r="F462" s="4"/>
      <c r="G462" s="21" t="s">
        <v>16</v>
      </c>
      <c r="H462" s="37">
        <f>H461+H460</f>
        <v>805.45999999999992</v>
      </c>
      <c r="I462" s="38" t="str">
        <f>CONCATENATE("per ",C451)</f>
        <v>per cum</v>
      </c>
      <c r="J462" s="707"/>
      <c r="K462" s="708"/>
      <c r="L462" s="708"/>
      <c r="M462" s="708"/>
      <c r="N462" s="708"/>
      <c r="O462" s="708"/>
      <c r="P462" s="708"/>
      <c r="Q462" s="708"/>
      <c r="R462" s="709"/>
    </row>
    <row r="463" spans="1:18">
      <c r="A463" s="23"/>
      <c r="B463" s="11" t="s">
        <v>18</v>
      </c>
      <c r="C463" s="4" t="s">
        <v>19</v>
      </c>
      <c r="D463" s="4"/>
      <c r="E463" s="4"/>
      <c r="F463" s="4"/>
      <c r="G463" s="21" t="s">
        <v>16</v>
      </c>
      <c r="H463" s="37">
        <f>CEILING(H462,0.5)</f>
        <v>805.5</v>
      </c>
      <c r="I463" s="38" t="str">
        <f>CONCATENATE("per ",C451)</f>
        <v>per cum</v>
      </c>
      <c r="J463" s="707"/>
      <c r="K463" s="708"/>
      <c r="L463" s="708"/>
      <c r="M463" s="708"/>
      <c r="N463" s="708"/>
      <c r="O463" s="708"/>
      <c r="P463" s="708"/>
      <c r="Q463" s="708"/>
      <c r="R463" s="709"/>
    </row>
    <row r="464" spans="1:18">
      <c r="A464" s="23"/>
      <c r="B464" s="11"/>
      <c r="C464" s="4"/>
      <c r="D464" s="4"/>
      <c r="E464" s="4"/>
      <c r="F464" s="4"/>
      <c r="G464" s="24" t="s">
        <v>17</v>
      </c>
      <c r="H464" s="37">
        <f>H463/exr</f>
        <v>6.1961538461538463</v>
      </c>
      <c r="I464" s="38" t="str">
        <f>CONCATENATE("per ",C451)</f>
        <v>per cum</v>
      </c>
      <c r="J464" s="710"/>
      <c r="K464" s="711"/>
      <c r="L464" s="711"/>
      <c r="M464" s="711"/>
      <c r="N464" s="711"/>
      <c r="O464" s="711"/>
      <c r="P464" s="711"/>
      <c r="Q464" s="711"/>
      <c r="R464" s="712"/>
    </row>
    <row r="465" spans="1:18">
      <c r="A465" s="39"/>
      <c r="B465" s="40"/>
      <c r="C465" s="41"/>
      <c r="D465" s="41"/>
      <c r="E465" s="41"/>
      <c r="F465" s="41"/>
      <c r="G465" s="149" t="s">
        <v>460</v>
      </c>
      <c r="H465" s="150">
        <f>CEILING(0,0.0025)</f>
        <v>0</v>
      </c>
      <c r="I465" s="42"/>
      <c r="J465" s="43"/>
      <c r="K465" s="43"/>
      <c r="L465" s="43"/>
      <c r="M465" s="43"/>
      <c r="N465" s="43"/>
      <c r="O465" s="43"/>
      <c r="P465" s="43"/>
      <c r="Q465" s="43"/>
      <c r="R465" s="44"/>
    </row>
    <row r="467" spans="1:18">
      <c r="A467" s="693" t="s">
        <v>0</v>
      </c>
      <c r="B467" s="695" t="s">
        <v>1</v>
      </c>
      <c r="C467" s="695" t="s">
        <v>2</v>
      </c>
      <c r="D467" s="697" t="s">
        <v>3</v>
      </c>
      <c r="E467" s="698"/>
      <c r="F467" s="698"/>
      <c r="G467" s="698"/>
      <c r="H467" s="698"/>
      <c r="I467" s="699" t="s">
        <v>4</v>
      </c>
      <c r="J467" s="700"/>
      <c r="K467" s="700"/>
      <c r="L467" s="700"/>
      <c r="M467" s="700"/>
      <c r="N467" s="698" t="s">
        <v>5</v>
      </c>
      <c r="O467" s="698"/>
      <c r="P467" s="698"/>
      <c r="Q467" s="698"/>
      <c r="R467" s="698"/>
    </row>
    <row r="468" spans="1:18">
      <c r="A468" s="694"/>
      <c r="B468" s="696"/>
      <c r="C468" s="696"/>
      <c r="D468" s="45" t="s">
        <v>6</v>
      </c>
      <c r="E468" s="46" t="s">
        <v>2</v>
      </c>
      <c r="F468" s="46" t="s">
        <v>7</v>
      </c>
      <c r="G468" s="46" t="s">
        <v>8</v>
      </c>
      <c r="H468" s="46" t="s">
        <v>9</v>
      </c>
      <c r="I468" s="46" t="s">
        <v>10</v>
      </c>
      <c r="J468" s="46" t="s">
        <v>2</v>
      </c>
      <c r="K468" s="46" t="s">
        <v>7</v>
      </c>
      <c r="L468" s="46" t="s">
        <v>8</v>
      </c>
      <c r="M468" s="47" t="s">
        <v>9</v>
      </c>
      <c r="N468" s="46" t="s">
        <v>10</v>
      </c>
      <c r="O468" s="46" t="s">
        <v>2</v>
      </c>
      <c r="P468" s="46" t="s">
        <v>7</v>
      </c>
      <c r="Q468" s="46" t="s">
        <v>8</v>
      </c>
      <c r="R468" s="46" t="s">
        <v>9</v>
      </c>
    </row>
    <row r="469" spans="1:18">
      <c r="A469" s="33" t="s">
        <v>23</v>
      </c>
      <c r="B469" s="73" t="s">
        <v>196</v>
      </c>
      <c r="C469" s="31"/>
      <c r="D469" s="31"/>
      <c r="E469" s="31"/>
      <c r="F469" s="31"/>
      <c r="G469" s="31"/>
      <c r="H469" s="31"/>
      <c r="I469" s="31"/>
      <c r="J469" s="31"/>
      <c r="K469" s="31"/>
      <c r="L469" s="31"/>
      <c r="M469" s="31"/>
      <c r="N469" s="31"/>
      <c r="O469" s="31"/>
      <c r="P469" s="31"/>
      <c r="Q469" s="31"/>
      <c r="R469" s="32"/>
    </row>
    <row r="470" spans="1:18">
      <c r="A470" s="34">
        <f>A451+1</f>
        <v>25</v>
      </c>
      <c r="B470" s="727" t="s">
        <v>156</v>
      </c>
      <c r="C470" s="6" t="s">
        <v>11</v>
      </c>
      <c r="D470" s="4"/>
      <c r="E470" s="6"/>
      <c r="F470" s="29"/>
      <c r="G470" s="26"/>
      <c r="H470" s="26"/>
      <c r="I470" s="6"/>
      <c r="J470" s="6"/>
      <c r="K470" s="29"/>
      <c r="L470" s="26"/>
      <c r="M470" s="26"/>
      <c r="N470" s="6"/>
      <c r="O470" s="6"/>
      <c r="P470" s="29"/>
      <c r="Q470" s="26"/>
      <c r="R470" s="26"/>
    </row>
    <row r="471" spans="1:18">
      <c r="A471" s="2"/>
      <c r="B471" s="728"/>
      <c r="C471" s="6"/>
      <c r="D471" s="4" t="s">
        <v>97</v>
      </c>
      <c r="E471" s="6" t="s">
        <v>81</v>
      </c>
      <c r="F471" s="29">
        <v>1.6</v>
      </c>
      <c r="G471" s="26">
        <f>ur</f>
        <v>850</v>
      </c>
      <c r="H471" s="26">
        <f>F471*G471</f>
        <v>1360</v>
      </c>
      <c r="I471" s="7"/>
      <c r="J471" s="8"/>
      <c r="K471" s="29"/>
      <c r="L471" s="28"/>
      <c r="M471" s="28"/>
      <c r="N471" s="8" t="s">
        <v>128</v>
      </c>
      <c r="O471" s="6"/>
      <c r="P471" s="29"/>
      <c r="Q471" s="28"/>
      <c r="R471" s="28">
        <f>3%*H475</f>
        <v>40.799999999999997</v>
      </c>
    </row>
    <row r="472" spans="1:18">
      <c r="A472" s="2"/>
      <c r="B472" s="728"/>
      <c r="C472" s="6"/>
      <c r="D472" s="4"/>
      <c r="E472" s="6"/>
      <c r="F472" s="29"/>
      <c r="G472" s="26"/>
      <c r="H472" s="26"/>
      <c r="I472" s="7"/>
      <c r="J472" s="8"/>
      <c r="K472" s="29"/>
      <c r="L472" s="28"/>
      <c r="M472" s="28"/>
      <c r="N472" s="8"/>
      <c r="O472" s="6"/>
      <c r="P472" s="29"/>
      <c r="Q472" s="28"/>
      <c r="R472" s="28"/>
    </row>
    <row r="473" spans="1:18">
      <c r="A473" s="2"/>
      <c r="B473" s="728"/>
      <c r="C473" s="6"/>
      <c r="D473" s="4"/>
      <c r="E473" s="6"/>
      <c r="F473" s="29"/>
      <c r="G473" s="26"/>
      <c r="H473" s="26"/>
      <c r="I473" s="7"/>
      <c r="J473" s="8"/>
      <c r="K473" s="29"/>
      <c r="L473" s="28"/>
      <c r="M473" s="28"/>
      <c r="N473" s="8"/>
      <c r="O473" s="6"/>
      <c r="P473" s="29"/>
      <c r="Q473" s="28"/>
      <c r="R473" s="28"/>
    </row>
    <row r="474" spans="1:18">
      <c r="A474" s="2"/>
      <c r="B474" s="84"/>
      <c r="C474" s="6"/>
      <c r="D474" s="4"/>
      <c r="E474" s="9"/>
      <c r="F474" s="30"/>
      <c r="G474" s="27"/>
      <c r="H474" s="27"/>
      <c r="I474" s="9"/>
      <c r="J474" s="10"/>
      <c r="K474" s="30"/>
      <c r="L474" s="28"/>
      <c r="M474" s="28"/>
      <c r="N474" s="8"/>
      <c r="O474" s="6"/>
      <c r="P474" s="30"/>
      <c r="Q474" s="28"/>
      <c r="R474" s="28"/>
    </row>
    <row r="475" spans="1:18">
      <c r="A475" s="2"/>
      <c r="B475" s="11"/>
      <c r="C475" s="6"/>
      <c r="D475" s="12"/>
      <c r="E475" s="59"/>
      <c r="F475" s="13"/>
      <c r="G475" s="13" t="s">
        <v>20</v>
      </c>
      <c r="H475" s="25">
        <f>SUM(H470:H474)</f>
        <v>1360</v>
      </c>
      <c r="I475" s="703"/>
      <c r="J475" s="703"/>
      <c r="K475" s="14"/>
      <c r="L475" s="13" t="s">
        <v>21</v>
      </c>
      <c r="M475" s="25">
        <f>SUM(M470:M474)</f>
        <v>0</v>
      </c>
      <c r="N475" s="3"/>
      <c r="O475" s="14"/>
      <c r="P475" s="14"/>
      <c r="Q475" s="13" t="s">
        <v>22</v>
      </c>
      <c r="R475" s="25">
        <f>SUM(R470:R474)</f>
        <v>40.799999999999997</v>
      </c>
    </row>
    <row r="476" spans="1:18">
      <c r="A476" s="2"/>
      <c r="B476" s="16" t="s">
        <v>13</v>
      </c>
      <c r="C476" s="14"/>
      <c r="D476" s="14"/>
      <c r="E476" s="14"/>
      <c r="F476" s="14"/>
      <c r="G476" s="13"/>
      <c r="H476" s="35">
        <f>M475+R475+H475</f>
        <v>1400.8</v>
      </c>
      <c r="I476" s="17"/>
      <c r="J476" s="14"/>
      <c r="K476" s="14"/>
      <c r="L476" s="13"/>
      <c r="M476" s="15"/>
      <c r="N476" s="14"/>
      <c r="O476" s="14"/>
      <c r="P476" s="14"/>
      <c r="Q476" s="14"/>
      <c r="R476" s="17"/>
    </row>
    <row r="477" spans="1:18">
      <c r="A477" s="2"/>
      <c r="B477" s="11" t="s">
        <v>25</v>
      </c>
      <c r="C477" s="4"/>
      <c r="D477" s="4"/>
      <c r="E477" s="4"/>
      <c r="F477" s="4"/>
      <c r="G477" s="18"/>
      <c r="H477" s="36">
        <v>0</v>
      </c>
      <c r="I477" s="20"/>
      <c r="J477" s="4" t="s">
        <v>26</v>
      </c>
      <c r="K477" s="4"/>
      <c r="L477" s="18"/>
      <c r="M477" s="19"/>
      <c r="N477" s="4"/>
      <c r="O477" s="4"/>
      <c r="P477" s="4"/>
      <c r="Q477" s="4"/>
      <c r="R477" s="20"/>
    </row>
    <row r="478" spans="1:18">
      <c r="A478" s="23"/>
      <c r="B478" s="11" t="s">
        <v>14</v>
      </c>
      <c r="C478" s="4"/>
      <c r="D478" s="4"/>
      <c r="E478" s="4"/>
      <c r="F478" s="4"/>
      <c r="G478" s="18"/>
      <c r="H478" s="36">
        <f>SUM(H476:H477)</f>
        <v>1400.8</v>
      </c>
      <c r="I478" s="20"/>
      <c r="J478" s="704"/>
      <c r="K478" s="705"/>
      <c r="L478" s="705"/>
      <c r="M478" s="705"/>
      <c r="N478" s="705"/>
      <c r="O478" s="705"/>
      <c r="P478" s="705"/>
      <c r="Q478" s="705"/>
      <c r="R478" s="706"/>
    </row>
    <row r="479" spans="1:18">
      <c r="A479" s="23"/>
      <c r="B479" s="11" t="s">
        <v>24</v>
      </c>
      <c r="C479" s="4"/>
      <c r="D479" s="4"/>
      <c r="E479" s="4"/>
      <c r="F479" s="4"/>
      <c r="G479" s="18"/>
      <c r="H479" s="36">
        <f>H478*15%</f>
        <v>210.11999999999998</v>
      </c>
      <c r="I479" s="20"/>
      <c r="J479" s="707"/>
      <c r="K479" s="708"/>
      <c r="L479" s="708"/>
      <c r="M479" s="708"/>
      <c r="N479" s="708"/>
      <c r="O479" s="708"/>
      <c r="P479" s="708"/>
      <c r="Q479" s="708"/>
      <c r="R479" s="709"/>
    </row>
    <row r="480" spans="1:18">
      <c r="A480" s="23"/>
      <c r="B480" s="11" t="s">
        <v>15</v>
      </c>
      <c r="C480" s="4"/>
      <c r="D480" s="4"/>
      <c r="E480" s="4"/>
      <c r="F480" s="4"/>
      <c r="G480" s="21" t="s">
        <v>16</v>
      </c>
      <c r="H480" s="37">
        <f>H479+H478</f>
        <v>1610.9199999999998</v>
      </c>
      <c r="I480" s="38" t="str">
        <f>CONCATENATE("per ",C470)</f>
        <v>per cum</v>
      </c>
      <c r="J480" s="707"/>
      <c r="K480" s="708"/>
      <c r="L480" s="708"/>
      <c r="M480" s="708"/>
      <c r="N480" s="708"/>
      <c r="O480" s="708"/>
      <c r="P480" s="708"/>
      <c r="Q480" s="708"/>
      <c r="R480" s="709"/>
    </row>
    <row r="481" spans="1:18">
      <c r="A481" s="23"/>
      <c r="B481" s="11" t="s">
        <v>18</v>
      </c>
      <c r="C481" s="4" t="s">
        <v>19</v>
      </c>
      <c r="D481" s="4"/>
      <c r="E481" s="4"/>
      <c r="F481" s="4"/>
      <c r="G481" s="21" t="s">
        <v>16</v>
      </c>
      <c r="H481" s="37">
        <f>CEILING(H480,0.5)</f>
        <v>1611</v>
      </c>
      <c r="I481" s="38" t="str">
        <f>CONCATENATE("per ",C470)</f>
        <v>per cum</v>
      </c>
      <c r="J481" s="707"/>
      <c r="K481" s="708"/>
      <c r="L481" s="708"/>
      <c r="M481" s="708"/>
      <c r="N481" s="708"/>
      <c r="O481" s="708"/>
      <c r="P481" s="708"/>
      <c r="Q481" s="708"/>
      <c r="R481" s="709"/>
    </row>
    <row r="482" spans="1:18">
      <c r="A482" s="23"/>
      <c r="B482" s="11"/>
      <c r="C482" s="4"/>
      <c r="D482" s="4"/>
      <c r="E482" s="4"/>
      <c r="F482" s="4"/>
      <c r="G482" s="24" t="s">
        <v>17</v>
      </c>
      <c r="H482" s="37">
        <f>H481/exr</f>
        <v>12.392307692307693</v>
      </c>
      <c r="I482" s="38" t="str">
        <f>CONCATENATE("per ",C470)</f>
        <v>per cum</v>
      </c>
      <c r="J482" s="710"/>
      <c r="K482" s="711"/>
      <c r="L482" s="711"/>
      <c r="M482" s="711"/>
      <c r="N482" s="711"/>
      <c r="O482" s="711"/>
      <c r="P482" s="711"/>
      <c r="Q482" s="711"/>
      <c r="R482" s="712"/>
    </row>
    <row r="483" spans="1:18">
      <c r="A483" s="39"/>
      <c r="B483" s="40"/>
      <c r="C483" s="41"/>
      <c r="D483" s="41"/>
      <c r="E483" s="41"/>
      <c r="F483" s="41"/>
      <c r="G483" s="149" t="s">
        <v>460</v>
      </c>
      <c r="H483" s="150">
        <f>CEILING(0,0.0025)</f>
        <v>0</v>
      </c>
      <c r="I483" s="42"/>
      <c r="J483" s="43"/>
      <c r="K483" s="43"/>
      <c r="L483" s="43"/>
      <c r="M483" s="43"/>
      <c r="N483" s="43"/>
      <c r="O483" s="43"/>
      <c r="P483" s="43"/>
      <c r="Q483" s="43"/>
      <c r="R483" s="44"/>
    </row>
  </sheetData>
  <mergeCells count="225">
    <mergeCell ref="A76:A77"/>
    <mergeCell ref="B76:B77"/>
    <mergeCell ref="C76:C77"/>
    <mergeCell ref="D76:H76"/>
    <mergeCell ref="I76:M76"/>
    <mergeCell ref="N76:R76"/>
    <mergeCell ref="B79:B83"/>
    <mergeCell ref="I85:J85"/>
    <mergeCell ref="J88:R92"/>
    <mergeCell ref="A57:A58"/>
    <mergeCell ref="B57:B58"/>
    <mergeCell ref="C57:C58"/>
    <mergeCell ref="D57:H57"/>
    <mergeCell ref="I57:M57"/>
    <mergeCell ref="N57:R57"/>
    <mergeCell ref="B60:B64"/>
    <mergeCell ref="I66:J66"/>
    <mergeCell ref="J69:R73"/>
    <mergeCell ref="A38:A39"/>
    <mergeCell ref="B38:B39"/>
    <mergeCell ref="C38:C39"/>
    <mergeCell ref="D38:H38"/>
    <mergeCell ref="I38:M38"/>
    <mergeCell ref="N38:R38"/>
    <mergeCell ref="B41:B45"/>
    <mergeCell ref="I47:J47"/>
    <mergeCell ref="J50:R54"/>
    <mergeCell ref="B470:B473"/>
    <mergeCell ref="I475:J475"/>
    <mergeCell ref="J478:R482"/>
    <mergeCell ref="B451:B455"/>
    <mergeCell ref="I457:J457"/>
    <mergeCell ref="J460:R464"/>
    <mergeCell ref="A448:A449"/>
    <mergeCell ref="B448:B449"/>
    <mergeCell ref="C448:C449"/>
    <mergeCell ref="D448:H448"/>
    <mergeCell ref="I448:M448"/>
    <mergeCell ref="N448:R448"/>
    <mergeCell ref="A467:A468"/>
    <mergeCell ref="B467:B468"/>
    <mergeCell ref="C467:C468"/>
    <mergeCell ref="D467:H467"/>
    <mergeCell ref="I467:M467"/>
    <mergeCell ref="N467:R467"/>
    <mergeCell ref="A430:A431"/>
    <mergeCell ref="B430:B431"/>
    <mergeCell ref="C430:C431"/>
    <mergeCell ref="D430:H430"/>
    <mergeCell ref="I430:M430"/>
    <mergeCell ref="N430:R430"/>
    <mergeCell ref="B433:B436"/>
    <mergeCell ref="I438:J438"/>
    <mergeCell ref="J441:R445"/>
    <mergeCell ref="A409:A410"/>
    <mergeCell ref="B409:B410"/>
    <mergeCell ref="C409:C410"/>
    <mergeCell ref="D409:H409"/>
    <mergeCell ref="I409:M409"/>
    <mergeCell ref="N409:R409"/>
    <mergeCell ref="B412:B418"/>
    <mergeCell ref="I420:J420"/>
    <mergeCell ref="J423:R427"/>
    <mergeCell ref="A388:A389"/>
    <mergeCell ref="B388:B389"/>
    <mergeCell ref="C388:C389"/>
    <mergeCell ref="D388:H388"/>
    <mergeCell ref="I388:M388"/>
    <mergeCell ref="N388:R388"/>
    <mergeCell ref="B391:B397"/>
    <mergeCell ref="I399:J399"/>
    <mergeCell ref="J402:R406"/>
    <mergeCell ref="A367:A368"/>
    <mergeCell ref="B367:B368"/>
    <mergeCell ref="C367:C368"/>
    <mergeCell ref="D367:H367"/>
    <mergeCell ref="I367:M367"/>
    <mergeCell ref="N367:R367"/>
    <mergeCell ref="B370:B376"/>
    <mergeCell ref="I378:J378"/>
    <mergeCell ref="J381:R385"/>
    <mergeCell ref="A346:A347"/>
    <mergeCell ref="B346:B347"/>
    <mergeCell ref="C346:C347"/>
    <mergeCell ref="D346:H346"/>
    <mergeCell ref="I346:M346"/>
    <mergeCell ref="N346:R346"/>
    <mergeCell ref="B349:B355"/>
    <mergeCell ref="I357:J357"/>
    <mergeCell ref="J360:R364"/>
    <mergeCell ref="N325:R325"/>
    <mergeCell ref="I28:J28"/>
    <mergeCell ref="J31:R35"/>
    <mergeCell ref="B328:B334"/>
    <mergeCell ref="I336:J336"/>
    <mergeCell ref="J339:R343"/>
    <mergeCell ref="C95:C96"/>
    <mergeCell ref="D95:H95"/>
    <mergeCell ref="I95:M95"/>
    <mergeCell ref="N95:R95"/>
    <mergeCell ref="N114:R114"/>
    <mergeCell ref="I133:M133"/>
    <mergeCell ref="N133:R133"/>
    <mergeCell ref="B136:B140"/>
    <mergeCell ref="I142:J142"/>
    <mergeCell ref="J145:R149"/>
    <mergeCell ref="A325:A326"/>
    <mergeCell ref="B325:B326"/>
    <mergeCell ref="C325:C326"/>
    <mergeCell ref="D325:H325"/>
    <mergeCell ref="I325:M325"/>
    <mergeCell ref="B22:B26"/>
    <mergeCell ref="I9:J9"/>
    <mergeCell ref="A95:A96"/>
    <mergeCell ref="B95:B96"/>
    <mergeCell ref="A114:A115"/>
    <mergeCell ref="B114:B115"/>
    <mergeCell ref="C114:C115"/>
    <mergeCell ref="D114:H114"/>
    <mergeCell ref="I114:M114"/>
    <mergeCell ref="B98:B102"/>
    <mergeCell ref="I104:J104"/>
    <mergeCell ref="J107:R111"/>
    <mergeCell ref="B117:B121"/>
    <mergeCell ref="I123:J123"/>
    <mergeCell ref="J126:R130"/>
    <mergeCell ref="A133:A134"/>
    <mergeCell ref="B133:B134"/>
    <mergeCell ref="C133:C134"/>
    <mergeCell ref="D133:H133"/>
    <mergeCell ref="A1:A2"/>
    <mergeCell ref="B1:B2"/>
    <mergeCell ref="C1:C2"/>
    <mergeCell ref="D1:H1"/>
    <mergeCell ref="I1:M1"/>
    <mergeCell ref="C19:C20"/>
    <mergeCell ref="D19:H19"/>
    <mergeCell ref="I19:M19"/>
    <mergeCell ref="J12:R16"/>
    <mergeCell ref="N1:R1"/>
    <mergeCell ref="B4:B7"/>
    <mergeCell ref="A19:A20"/>
    <mergeCell ref="B19:B20"/>
    <mergeCell ref="N19:R19"/>
    <mergeCell ref="A152:A153"/>
    <mergeCell ref="B152:B153"/>
    <mergeCell ref="C152:C153"/>
    <mergeCell ref="D152:H152"/>
    <mergeCell ref="I152:M152"/>
    <mergeCell ref="N152:R152"/>
    <mergeCell ref="B155:B159"/>
    <mergeCell ref="I161:J161"/>
    <mergeCell ref="J164:R168"/>
    <mergeCell ref="A171:A172"/>
    <mergeCell ref="B171:B172"/>
    <mergeCell ref="C171:C172"/>
    <mergeCell ref="D171:H171"/>
    <mergeCell ref="I171:M171"/>
    <mergeCell ref="N171:R171"/>
    <mergeCell ref="B174:B178"/>
    <mergeCell ref="I180:J180"/>
    <mergeCell ref="J183:R187"/>
    <mergeCell ref="A190:A191"/>
    <mergeCell ref="B190:B191"/>
    <mergeCell ref="C190:C191"/>
    <mergeCell ref="D190:H190"/>
    <mergeCell ref="I190:M190"/>
    <mergeCell ref="N190:R190"/>
    <mergeCell ref="B193:B197"/>
    <mergeCell ref="I199:J199"/>
    <mergeCell ref="J202:R206"/>
    <mergeCell ref="A209:A210"/>
    <mergeCell ref="B209:B210"/>
    <mergeCell ref="C209:C210"/>
    <mergeCell ref="D209:H209"/>
    <mergeCell ref="I209:M209"/>
    <mergeCell ref="N209:R209"/>
    <mergeCell ref="B233:B237"/>
    <mergeCell ref="I239:J239"/>
    <mergeCell ref="J242:R246"/>
    <mergeCell ref="A230:A231"/>
    <mergeCell ref="B230:B231"/>
    <mergeCell ref="C230:C231"/>
    <mergeCell ref="D230:H230"/>
    <mergeCell ref="I230:M230"/>
    <mergeCell ref="N230:R230"/>
    <mergeCell ref="B212:B218"/>
    <mergeCell ref="I220:J220"/>
    <mergeCell ref="J223:R227"/>
    <mergeCell ref="A249:A250"/>
    <mergeCell ref="B249:B250"/>
    <mergeCell ref="C249:C250"/>
    <mergeCell ref="D249:H249"/>
    <mergeCell ref="I249:M249"/>
    <mergeCell ref="N249:R249"/>
    <mergeCell ref="B252:B256"/>
    <mergeCell ref="I258:J258"/>
    <mergeCell ref="J261:R265"/>
    <mergeCell ref="A268:A269"/>
    <mergeCell ref="B268:B269"/>
    <mergeCell ref="C268:C269"/>
    <mergeCell ref="D268:H268"/>
    <mergeCell ref="I268:M268"/>
    <mergeCell ref="N268:R268"/>
    <mergeCell ref="B271:B275"/>
    <mergeCell ref="I277:J277"/>
    <mergeCell ref="J280:R284"/>
    <mergeCell ref="A287:A288"/>
    <mergeCell ref="B287:B288"/>
    <mergeCell ref="C287:C288"/>
    <mergeCell ref="D287:H287"/>
    <mergeCell ref="I287:M287"/>
    <mergeCell ref="N287:R287"/>
    <mergeCell ref="B309:B313"/>
    <mergeCell ref="I315:J315"/>
    <mergeCell ref="J318:R322"/>
    <mergeCell ref="B290:B294"/>
    <mergeCell ref="I296:J296"/>
    <mergeCell ref="J299:R303"/>
    <mergeCell ref="A306:A307"/>
    <mergeCell ref="B306:B307"/>
    <mergeCell ref="C306:C307"/>
    <mergeCell ref="D306:H306"/>
    <mergeCell ref="I306:M306"/>
    <mergeCell ref="N306:R306"/>
  </mergeCells>
  <printOptions horizontalCentered="1"/>
  <pageMargins left="0.7" right="0.7" top="0.75" bottom="0.75" header="0.3" footer="0.3"/>
  <pageSetup paperSize="9" scale="69"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10" manualBreakCount="10">
    <brk id="94" max="16383" man="1"/>
    <brk id="132" max="16383" man="1"/>
    <brk id="170" max="16383" man="1"/>
    <brk id="208" max="16383" man="1"/>
    <brk id="248" max="16383" man="1"/>
    <brk id="286" max="16383" man="1"/>
    <brk id="324" max="16383" man="1"/>
    <brk id="366" max="16383" man="1"/>
    <brk id="408" max="16383" man="1"/>
    <brk id="44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60"/>
  <sheetViews>
    <sheetView workbookViewId="0">
      <selection sqref="A1:A2"/>
    </sheetView>
  </sheetViews>
  <sheetFormatPr defaultColWidth="9.140625" defaultRowHeight="15.75"/>
  <cols>
    <col min="1" max="1" width="10.7109375" style="1" customWidth="1"/>
    <col min="2" max="2" width="25.42578125" style="1" customWidth="1"/>
    <col min="3" max="3" width="5.28515625" style="1" customWidth="1"/>
    <col min="4" max="4" width="9.140625" style="1"/>
    <col min="5" max="5" width="5.28515625" style="1" customWidth="1"/>
    <col min="6" max="7" width="9.140625" style="1"/>
    <col min="8" max="8" width="10.7109375" style="1" customWidth="1"/>
    <col min="9" max="9" width="20.140625" style="1" customWidth="1"/>
    <col min="10" max="10" width="5.28515625" style="1" customWidth="1"/>
    <col min="11" max="12" width="9.140625" style="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206</v>
      </c>
      <c r="C3" s="31"/>
      <c r="D3" s="31"/>
      <c r="E3" s="31"/>
      <c r="F3" s="31"/>
      <c r="G3" s="31"/>
      <c r="H3" s="31"/>
      <c r="I3" s="31"/>
      <c r="J3" s="31"/>
      <c r="K3" s="31"/>
      <c r="L3" s="31"/>
      <c r="M3" s="31"/>
      <c r="N3" s="31"/>
      <c r="O3" s="31"/>
      <c r="P3" s="31"/>
      <c r="Q3" s="31"/>
      <c r="R3" s="32"/>
    </row>
    <row r="4" spans="1:18" ht="15.75" customHeight="1">
      <c r="A4" s="34">
        <v>1</v>
      </c>
      <c r="B4" s="701" t="s">
        <v>202</v>
      </c>
      <c r="C4" s="6" t="s">
        <v>11</v>
      </c>
      <c r="D4" s="4"/>
      <c r="E4" s="6"/>
      <c r="F4" s="29"/>
      <c r="G4" s="26"/>
      <c r="H4" s="26"/>
      <c r="I4" s="6"/>
      <c r="J4" s="6"/>
      <c r="K4" s="29"/>
      <c r="L4" s="26"/>
      <c r="M4" s="26"/>
      <c r="N4" s="6"/>
      <c r="O4" s="6"/>
      <c r="P4" s="29"/>
      <c r="Q4" s="26"/>
      <c r="R4" s="26"/>
    </row>
    <row r="5" spans="1:18">
      <c r="A5" s="2"/>
      <c r="B5" s="702"/>
      <c r="C5" s="6"/>
      <c r="D5" s="4" t="s">
        <v>97</v>
      </c>
      <c r="E5" s="6" t="s">
        <v>81</v>
      </c>
      <c r="F5" s="29">
        <v>0.4</v>
      </c>
      <c r="G5" s="26">
        <f>ur</f>
        <v>850</v>
      </c>
      <c r="H5" s="26">
        <f>F5*G5</f>
        <v>340</v>
      </c>
      <c r="I5" s="7" t="s">
        <v>67</v>
      </c>
      <c r="J5" s="8" t="s">
        <v>203</v>
      </c>
      <c r="K5" s="29">
        <f>2*L14</f>
        <v>0.4</v>
      </c>
      <c r="L5" s="28">
        <f>diesel</f>
        <v>177.6</v>
      </c>
      <c r="M5" s="26">
        <f>K5*L5</f>
        <v>71.040000000000006</v>
      </c>
      <c r="N5" s="8" t="s">
        <v>204</v>
      </c>
      <c r="O5" s="6" t="s">
        <v>101</v>
      </c>
      <c r="P5" s="29">
        <f>0.15*(L14+0.75)</f>
        <v>0.14249999999999999</v>
      </c>
      <c r="Q5" s="28">
        <f>truck</f>
        <v>486.72</v>
      </c>
      <c r="R5" s="26">
        <f>P5*Q5</f>
        <v>69.357600000000005</v>
      </c>
    </row>
    <row r="6" spans="1:18">
      <c r="A6" s="2"/>
      <c r="B6" s="702"/>
      <c r="C6" s="6"/>
      <c r="D6" s="4"/>
      <c r="E6" s="6"/>
      <c r="F6" s="29"/>
      <c r="G6" s="26"/>
      <c r="H6" s="26"/>
      <c r="I6" s="7"/>
      <c r="J6" s="8"/>
      <c r="K6" s="29"/>
      <c r="L6" s="28"/>
      <c r="M6" s="28"/>
      <c r="N6" s="8"/>
      <c r="O6" s="6"/>
      <c r="P6" s="29"/>
      <c r="Q6" s="28"/>
      <c r="R6" s="28"/>
    </row>
    <row r="7" spans="1:18">
      <c r="A7" s="2"/>
      <c r="B7" s="5"/>
      <c r="C7" s="6"/>
      <c r="D7" s="4"/>
      <c r="E7" s="9"/>
      <c r="F7" s="30"/>
      <c r="G7" s="27"/>
      <c r="H7" s="27"/>
      <c r="I7" s="9"/>
      <c r="J7" s="10"/>
      <c r="K7" s="30"/>
      <c r="L7" s="28"/>
      <c r="M7" s="28"/>
      <c r="N7" s="8"/>
      <c r="O7" s="6"/>
      <c r="P7" s="30"/>
      <c r="Q7" s="28"/>
      <c r="R7" s="28"/>
    </row>
    <row r="8" spans="1:18">
      <c r="A8" s="2"/>
      <c r="B8" s="11"/>
      <c r="C8" s="6"/>
      <c r="D8" s="12"/>
      <c r="E8" s="59"/>
      <c r="F8" s="13"/>
      <c r="G8" s="13" t="s">
        <v>20</v>
      </c>
      <c r="H8" s="25">
        <f>SUM(H4:H7)</f>
        <v>340</v>
      </c>
      <c r="I8" s="703"/>
      <c r="J8" s="703"/>
      <c r="K8" s="14"/>
      <c r="L8" s="13" t="s">
        <v>21</v>
      </c>
      <c r="M8" s="25">
        <f>SUM(M4:M7)</f>
        <v>71.040000000000006</v>
      </c>
      <c r="N8" s="3"/>
      <c r="O8" s="14"/>
      <c r="P8" s="14"/>
      <c r="Q8" s="13" t="s">
        <v>22</v>
      </c>
      <c r="R8" s="25">
        <f>SUM(R4:R7)</f>
        <v>69.357600000000005</v>
      </c>
    </row>
    <row r="9" spans="1:18">
      <c r="A9" s="2"/>
      <c r="B9" s="16" t="s">
        <v>13</v>
      </c>
      <c r="C9" s="14"/>
      <c r="D9" s="14"/>
      <c r="E9" s="14"/>
      <c r="F9" s="14"/>
      <c r="G9" s="13"/>
      <c r="H9" s="35">
        <f>M8+R8+H8</f>
        <v>480.39760000000001</v>
      </c>
      <c r="I9" s="17"/>
      <c r="J9" s="14"/>
      <c r="K9" s="14"/>
      <c r="L9" s="13"/>
      <c r="M9" s="15"/>
      <c r="N9" s="14"/>
      <c r="O9" s="14"/>
      <c r="P9" s="14"/>
      <c r="Q9" s="14"/>
      <c r="R9" s="17"/>
    </row>
    <row r="10" spans="1:18">
      <c r="A10" s="2"/>
      <c r="B10" s="11" t="s">
        <v>25</v>
      </c>
      <c r="C10" s="4"/>
      <c r="D10" s="4"/>
      <c r="E10" s="4"/>
      <c r="F10" s="4"/>
      <c r="G10" s="18"/>
      <c r="H10" s="36">
        <v>0</v>
      </c>
      <c r="I10" s="20"/>
      <c r="J10" s="4" t="s">
        <v>26</v>
      </c>
      <c r="K10" s="4"/>
      <c r="L10" s="18"/>
      <c r="M10" s="19"/>
      <c r="N10" s="4"/>
      <c r="O10" s="4"/>
      <c r="P10" s="4"/>
      <c r="Q10" s="4"/>
      <c r="R10" s="20"/>
    </row>
    <row r="11" spans="1:18">
      <c r="A11" s="23"/>
      <c r="B11" s="11" t="s">
        <v>14</v>
      </c>
      <c r="C11" s="4"/>
      <c r="D11" s="4"/>
      <c r="E11" s="4"/>
      <c r="F11" s="4"/>
      <c r="G11" s="18"/>
      <c r="H11" s="36">
        <f>SUM(H9:H10)</f>
        <v>480.39760000000001</v>
      </c>
      <c r="I11" s="20"/>
      <c r="J11" s="111"/>
      <c r="K11" s="112"/>
      <c r="L11" s="112"/>
      <c r="M11" s="112"/>
      <c r="N11" s="112"/>
      <c r="O11" s="112"/>
      <c r="P11" s="112"/>
      <c r="Q11" s="112"/>
      <c r="R11" s="113"/>
    </row>
    <row r="12" spans="1:18">
      <c r="A12" s="23"/>
      <c r="B12" s="11" t="s">
        <v>24</v>
      </c>
      <c r="C12" s="4"/>
      <c r="D12" s="4"/>
      <c r="E12" s="4"/>
      <c r="F12" s="4"/>
      <c r="G12" s="18"/>
      <c r="H12" s="36">
        <f>H11*15%</f>
        <v>72.059640000000002</v>
      </c>
      <c r="I12" s="20"/>
      <c r="J12" s="114"/>
      <c r="K12" s="115"/>
      <c r="L12" s="115"/>
      <c r="M12" s="115"/>
      <c r="N12" s="115"/>
      <c r="O12" s="115"/>
      <c r="P12" s="115"/>
      <c r="Q12" s="115"/>
      <c r="R12" s="116"/>
    </row>
    <row r="13" spans="1:18">
      <c r="A13" s="23"/>
      <c r="B13" s="11" t="s">
        <v>15</v>
      </c>
      <c r="C13" s="4"/>
      <c r="D13" s="4"/>
      <c r="E13" s="4"/>
      <c r="F13" s="4"/>
      <c r="G13" s="21" t="s">
        <v>16</v>
      </c>
      <c r="H13" s="37">
        <f>H12+H11</f>
        <v>552.45723999999996</v>
      </c>
      <c r="I13" s="38" t="str">
        <f>CONCATENATE("per ",C4)</f>
        <v>per cum</v>
      </c>
      <c r="J13" s="114"/>
      <c r="K13" s="120" t="s">
        <v>200</v>
      </c>
      <c r="L13" s="121">
        <v>1</v>
      </c>
      <c r="M13" s="115" t="s">
        <v>94</v>
      </c>
      <c r="N13" s="122">
        <v>10</v>
      </c>
      <c r="O13" s="115"/>
      <c r="P13" s="115"/>
      <c r="Q13" s="115"/>
      <c r="R13" s="116"/>
    </row>
    <row r="14" spans="1:18">
      <c r="A14" s="23"/>
      <c r="B14" s="11" t="s">
        <v>18</v>
      </c>
      <c r="C14" s="4" t="s">
        <v>19</v>
      </c>
      <c r="D14" s="4"/>
      <c r="E14" s="4"/>
      <c r="F14" s="4"/>
      <c r="G14" s="21" t="s">
        <v>16</v>
      </c>
      <c r="H14" s="37">
        <f>CEILING(H13,0.5)</f>
        <v>552.5</v>
      </c>
      <c r="I14" s="38" t="str">
        <f>CONCATENATE("per ",C4)</f>
        <v>per cum</v>
      </c>
      <c r="J14" s="114"/>
      <c r="K14" s="115" t="s">
        <v>201</v>
      </c>
      <c r="L14" s="123">
        <f>2*(L13/N13)</f>
        <v>0.2</v>
      </c>
      <c r="M14" s="115"/>
      <c r="N14" s="115"/>
      <c r="O14" s="115"/>
      <c r="P14" s="115"/>
      <c r="Q14" s="115"/>
      <c r="R14" s="116"/>
    </row>
    <row r="15" spans="1:18">
      <c r="A15" s="23"/>
      <c r="B15" s="11"/>
      <c r="C15" s="4"/>
      <c r="D15" s="4"/>
      <c r="E15" s="4"/>
      <c r="F15" s="4"/>
      <c r="G15" s="24" t="s">
        <v>17</v>
      </c>
      <c r="H15" s="37">
        <f>H14/exr</f>
        <v>4.25</v>
      </c>
      <c r="I15" s="38" t="str">
        <f>CONCATENATE("per ",C4)</f>
        <v>per cum</v>
      </c>
      <c r="J15" s="117"/>
      <c r="K15" s="118"/>
      <c r="L15" s="118"/>
      <c r="M15" s="118"/>
      <c r="N15" s="118"/>
      <c r="O15" s="118"/>
      <c r="P15" s="118"/>
      <c r="Q15" s="118"/>
      <c r="R15" s="119"/>
    </row>
    <row r="16" spans="1:18">
      <c r="A16" s="39"/>
      <c r="B16" s="40"/>
      <c r="C16" s="41"/>
      <c r="D16" s="41"/>
      <c r="E16" s="41"/>
      <c r="F16" s="41"/>
      <c r="G16" s="149" t="s">
        <v>460</v>
      </c>
      <c r="H16" s="150">
        <f>CEILING(SUM(M5,R5)/H9,0.0025)</f>
        <v>0.29249999999999998</v>
      </c>
      <c r="I16" s="42"/>
      <c r="J16" s="43"/>
      <c r="K16" s="43"/>
      <c r="L16" s="43"/>
      <c r="M16" s="43"/>
      <c r="N16" s="43"/>
      <c r="O16" s="43"/>
      <c r="P16" s="43"/>
      <c r="Q16" s="43"/>
      <c r="R16" s="44"/>
    </row>
    <row r="17" spans="1:18">
      <c r="A17" s="22"/>
      <c r="B17" s="22"/>
      <c r="C17" s="22"/>
      <c r="D17" s="22"/>
      <c r="E17" s="22"/>
      <c r="F17" s="22"/>
      <c r="G17" s="22"/>
      <c r="H17" s="22"/>
      <c r="I17" s="22"/>
      <c r="J17" s="22"/>
      <c r="K17" s="22"/>
      <c r="L17" s="22"/>
      <c r="M17" s="22"/>
      <c r="N17" s="22"/>
      <c r="O17" s="22"/>
      <c r="P17" s="22"/>
      <c r="Q17" s="22"/>
      <c r="R17" s="22"/>
    </row>
    <row r="18" spans="1:18">
      <c r="A18" s="693" t="s">
        <v>0</v>
      </c>
      <c r="B18" s="695" t="s">
        <v>1</v>
      </c>
      <c r="C18" s="695" t="s">
        <v>2</v>
      </c>
      <c r="D18" s="697" t="s">
        <v>3</v>
      </c>
      <c r="E18" s="698"/>
      <c r="F18" s="698"/>
      <c r="G18" s="698"/>
      <c r="H18" s="698"/>
      <c r="I18" s="699" t="s">
        <v>4</v>
      </c>
      <c r="J18" s="700"/>
      <c r="K18" s="700"/>
      <c r="L18" s="700"/>
      <c r="M18" s="700"/>
      <c r="N18" s="698" t="s">
        <v>5</v>
      </c>
      <c r="O18" s="698"/>
      <c r="P18" s="698"/>
      <c r="Q18" s="698"/>
      <c r="R18" s="698"/>
    </row>
    <row r="19" spans="1:18">
      <c r="A19" s="694"/>
      <c r="B19" s="696"/>
      <c r="C19" s="696"/>
      <c r="D19" s="45" t="s">
        <v>6</v>
      </c>
      <c r="E19" s="46" t="s">
        <v>2</v>
      </c>
      <c r="F19" s="46" t="s">
        <v>7</v>
      </c>
      <c r="G19" s="46" t="s">
        <v>8</v>
      </c>
      <c r="H19" s="46" t="s">
        <v>9</v>
      </c>
      <c r="I19" s="46" t="s">
        <v>10</v>
      </c>
      <c r="J19" s="46" t="s">
        <v>2</v>
      </c>
      <c r="K19" s="46" t="s">
        <v>7</v>
      </c>
      <c r="L19" s="46" t="s">
        <v>8</v>
      </c>
      <c r="M19" s="47" t="s">
        <v>9</v>
      </c>
      <c r="N19" s="46" t="s">
        <v>10</v>
      </c>
      <c r="O19" s="46" t="s">
        <v>2</v>
      </c>
      <c r="P19" s="46" t="s">
        <v>7</v>
      </c>
      <c r="Q19" s="46" t="s">
        <v>8</v>
      </c>
      <c r="R19" s="46" t="s">
        <v>9</v>
      </c>
    </row>
    <row r="20" spans="1:18" ht="15.75" customHeight="1">
      <c r="A20" s="33" t="s">
        <v>23</v>
      </c>
      <c r="B20" s="73" t="s">
        <v>207</v>
      </c>
      <c r="C20" s="31"/>
      <c r="D20" s="31"/>
      <c r="E20" s="31"/>
      <c r="F20" s="31"/>
      <c r="G20" s="31"/>
      <c r="H20" s="31"/>
      <c r="I20" s="31"/>
      <c r="J20" s="31"/>
      <c r="K20" s="31"/>
      <c r="L20" s="31"/>
      <c r="M20" s="31"/>
      <c r="N20" s="31"/>
      <c r="O20" s="31"/>
      <c r="P20" s="31"/>
      <c r="Q20" s="31"/>
      <c r="R20" s="32"/>
    </row>
    <row r="21" spans="1:18" ht="15.75" customHeight="1">
      <c r="A21" s="34">
        <f>A4+1</f>
        <v>2</v>
      </c>
      <c r="B21" s="701" t="s">
        <v>205</v>
      </c>
      <c r="C21" s="6" t="s">
        <v>11</v>
      </c>
      <c r="D21" s="4"/>
      <c r="E21" s="6"/>
      <c r="F21" s="29"/>
      <c r="G21" s="26"/>
      <c r="H21" s="26"/>
      <c r="I21" s="6"/>
      <c r="J21" s="6"/>
      <c r="K21" s="29"/>
      <c r="L21" s="26"/>
      <c r="M21" s="26"/>
      <c r="N21" s="6"/>
      <c r="O21" s="6"/>
      <c r="P21" s="29"/>
      <c r="Q21" s="26"/>
      <c r="R21" s="26"/>
    </row>
    <row r="22" spans="1:18">
      <c r="A22" s="2"/>
      <c r="B22" s="702"/>
      <c r="C22" s="6"/>
      <c r="D22" s="4" t="s">
        <v>97</v>
      </c>
      <c r="E22" s="6" t="s">
        <v>81</v>
      </c>
      <c r="F22" s="29">
        <v>0.5</v>
      </c>
      <c r="G22" s="26">
        <f>ur</f>
        <v>850</v>
      </c>
      <c r="H22" s="26">
        <f>F22*G22</f>
        <v>425</v>
      </c>
      <c r="I22" s="7" t="s">
        <v>67</v>
      </c>
      <c r="J22" s="8" t="s">
        <v>203</v>
      </c>
      <c r="K22" s="29">
        <f>2.3*L31</f>
        <v>0.45999999999999996</v>
      </c>
      <c r="L22" s="28">
        <f>diesel</f>
        <v>177.6</v>
      </c>
      <c r="M22" s="26">
        <f>K22*L22</f>
        <v>81.695999999999998</v>
      </c>
      <c r="N22" s="8" t="s">
        <v>204</v>
      </c>
      <c r="O22" s="6" t="s">
        <v>101</v>
      </c>
      <c r="P22" s="29">
        <f>0.18*(L31+0.75)</f>
        <v>0.17099999999999999</v>
      </c>
      <c r="Q22" s="28">
        <f>truck</f>
        <v>486.72</v>
      </c>
      <c r="R22" s="26">
        <f>P22*Q22</f>
        <v>83.229119999999995</v>
      </c>
    </row>
    <row r="23" spans="1:18">
      <c r="A23" s="2"/>
      <c r="B23" s="702"/>
      <c r="C23" s="6"/>
      <c r="D23" s="4"/>
      <c r="E23" s="6"/>
      <c r="F23" s="29"/>
      <c r="G23" s="26"/>
      <c r="H23" s="26"/>
      <c r="I23" s="7"/>
      <c r="J23" s="8"/>
      <c r="K23" s="29"/>
      <c r="L23" s="28"/>
      <c r="M23" s="28"/>
      <c r="N23" s="8"/>
      <c r="O23" s="6"/>
      <c r="P23" s="29"/>
      <c r="Q23" s="28"/>
      <c r="R23" s="28"/>
    </row>
    <row r="24" spans="1:18">
      <c r="A24" s="2"/>
      <c r="B24" s="5"/>
      <c r="C24" s="6"/>
      <c r="D24" s="4"/>
      <c r="E24" s="9"/>
      <c r="F24" s="30"/>
      <c r="G24" s="27"/>
      <c r="H24" s="27"/>
      <c r="I24" s="9"/>
      <c r="J24" s="10"/>
      <c r="K24" s="30"/>
      <c r="L24" s="28"/>
      <c r="M24" s="28"/>
      <c r="N24" s="8"/>
      <c r="O24" s="6"/>
      <c r="P24" s="30"/>
      <c r="Q24" s="28"/>
      <c r="R24" s="28"/>
    </row>
    <row r="25" spans="1:18">
      <c r="A25" s="2"/>
      <c r="B25" s="11"/>
      <c r="C25" s="6"/>
      <c r="D25" s="12"/>
      <c r="E25" s="59"/>
      <c r="F25" s="13"/>
      <c r="G25" s="13" t="s">
        <v>20</v>
      </c>
      <c r="H25" s="25">
        <f>SUM(H21:H24)</f>
        <v>425</v>
      </c>
      <c r="I25" s="703"/>
      <c r="J25" s="703"/>
      <c r="K25" s="14"/>
      <c r="L25" s="13" t="s">
        <v>21</v>
      </c>
      <c r="M25" s="25">
        <f>SUM(M21:M24)</f>
        <v>81.695999999999998</v>
      </c>
      <c r="N25" s="3"/>
      <c r="O25" s="14"/>
      <c r="P25" s="14"/>
      <c r="Q25" s="13" t="s">
        <v>22</v>
      </c>
      <c r="R25" s="25">
        <f>SUM(R21:R24)</f>
        <v>83.229119999999995</v>
      </c>
    </row>
    <row r="26" spans="1:18">
      <c r="A26" s="2"/>
      <c r="B26" s="16" t="s">
        <v>13</v>
      </c>
      <c r="C26" s="14"/>
      <c r="D26" s="14"/>
      <c r="E26" s="14"/>
      <c r="F26" s="14"/>
      <c r="G26" s="13"/>
      <c r="H26" s="35">
        <f>M25+R25+H25</f>
        <v>589.92511999999999</v>
      </c>
      <c r="I26" s="17"/>
      <c r="J26" s="14"/>
      <c r="K26" s="14"/>
      <c r="L26" s="13"/>
      <c r="M26" s="15"/>
      <c r="N26" s="14"/>
      <c r="O26" s="14"/>
      <c r="P26" s="14"/>
      <c r="Q26" s="14"/>
      <c r="R26" s="17"/>
    </row>
    <row r="27" spans="1:18">
      <c r="A27" s="2"/>
      <c r="B27" s="11" t="s">
        <v>25</v>
      </c>
      <c r="C27" s="4"/>
      <c r="D27" s="4"/>
      <c r="E27" s="4"/>
      <c r="F27" s="4"/>
      <c r="G27" s="18"/>
      <c r="H27" s="36">
        <v>0</v>
      </c>
      <c r="I27" s="20"/>
      <c r="J27" s="4" t="s">
        <v>26</v>
      </c>
      <c r="K27" s="4"/>
      <c r="L27" s="18"/>
      <c r="M27" s="19"/>
      <c r="N27" s="4"/>
      <c r="O27" s="4"/>
      <c r="P27" s="4"/>
      <c r="Q27" s="4"/>
      <c r="R27" s="20"/>
    </row>
    <row r="28" spans="1:18">
      <c r="A28" s="23"/>
      <c r="B28" s="11" t="s">
        <v>14</v>
      </c>
      <c r="C28" s="4"/>
      <c r="D28" s="4"/>
      <c r="E28" s="4"/>
      <c r="F28" s="4"/>
      <c r="G28" s="18"/>
      <c r="H28" s="36">
        <f>SUM(H26:H27)</f>
        <v>589.92511999999999</v>
      </c>
      <c r="I28" s="20"/>
      <c r="J28" s="111"/>
      <c r="K28" s="112"/>
      <c r="L28" s="112"/>
      <c r="M28" s="112"/>
      <c r="N28" s="112"/>
      <c r="O28" s="112"/>
      <c r="P28" s="112"/>
      <c r="Q28" s="112"/>
      <c r="R28" s="113"/>
    </row>
    <row r="29" spans="1:18">
      <c r="A29" s="23"/>
      <c r="B29" s="11" t="s">
        <v>24</v>
      </c>
      <c r="C29" s="4"/>
      <c r="D29" s="4"/>
      <c r="E29" s="4"/>
      <c r="F29" s="4"/>
      <c r="G29" s="18"/>
      <c r="H29" s="36">
        <f>H28*15%</f>
        <v>88.488767999999993</v>
      </c>
      <c r="I29" s="20"/>
      <c r="J29" s="114"/>
      <c r="K29" s="115"/>
      <c r="L29" s="115"/>
      <c r="M29" s="115"/>
      <c r="N29" s="115"/>
      <c r="O29" s="115"/>
      <c r="P29" s="115"/>
      <c r="Q29" s="115"/>
      <c r="R29" s="116"/>
    </row>
    <row r="30" spans="1:18">
      <c r="A30" s="23"/>
      <c r="B30" s="11" t="s">
        <v>15</v>
      </c>
      <c r="C30" s="4"/>
      <c r="D30" s="4"/>
      <c r="E30" s="4"/>
      <c r="F30" s="4"/>
      <c r="G30" s="21" t="s">
        <v>16</v>
      </c>
      <c r="H30" s="37">
        <f>H29+H28</f>
        <v>678.41388800000004</v>
      </c>
      <c r="I30" s="38" t="str">
        <f>CONCATENATE("per ",C21)</f>
        <v>per cum</v>
      </c>
      <c r="J30" s="114"/>
      <c r="K30" s="120" t="s">
        <v>200</v>
      </c>
      <c r="L30" s="121">
        <v>1</v>
      </c>
      <c r="M30" s="115" t="s">
        <v>94</v>
      </c>
      <c r="N30" s="122">
        <v>10</v>
      </c>
      <c r="O30" s="115"/>
      <c r="P30" s="115"/>
      <c r="Q30" s="115"/>
      <c r="R30" s="116"/>
    </row>
    <row r="31" spans="1:18">
      <c r="A31" s="23"/>
      <c r="B31" s="11" t="s">
        <v>18</v>
      </c>
      <c r="C31" s="4" t="s">
        <v>19</v>
      </c>
      <c r="D31" s="4"/>
      <c r="E31" s="4"/>
      <c r="F31" s="4"/>
      <c r="G31" s="21" t="s">
        <v>16</v>
      </c>
      <c r="H31" s="37">
        <f>CEILING(H30,0.5)</f>
        <v>678.5</v>
      </c>
      <c r="I31" s="38" t="str">
        <f>CONCATENATE("per ",C21)</f>
        <v>per cum</v>
      </c>
      <c r="J31" s="114"/>
      <c r="K31" s="115" t="s">
        <v>201</v>
      </c>
      <c r="L31" s="123">
        <f>2*(L30/N30)</f>
        <v>0.2</v>
      </c>
      <c r="M31" s="115"/>
      <c r="N31" s="115"/>
      <c r="O31" s="115"/>
      <c r="P31" s="115"/>
      <c r="Q31" s="115"/>
      <c r="R31" s="116"/>
    </row>
    <row r="32" spans="1:18">
      <c r="A32" s="23"/>
      <c r="B32" s="11"/>
      <c r="C32" s="4"/>
      <c r="D32" s="4"/>
      <c r="E32" s="4"/>
      <c r="F32" s="4"/>
      <c r="G32" s="24" t="s">
        <v>17</v>
      </c>
      <c r="H32" s="37">
        <f>H31/exr</f>
        <v>5.2192307692307693</v>
      </c>
      <c r="I32" s="38" t="str">
        <f>CONCATENATE("per ",C21)</f>
        <v>per cum</v>
      </c>
      <c r="J32" s="117"/>
      <c r="K32" s="118"/>
      <c r="L32" s="118"/>
      <c r="M32" s="118"/>
      <c r="N32" s="118"/>
      <c r="O32" s="118"/>
      <c r="P32" s="118"/>
      <c r="Q32" s="118"/>
      <c r="R32" s="119"/>
    </row>
    <row r="33" spans="1:18">
      <c r="A33" s="39"/>
      <c r="B33" s="40"/>
      <c r="C33" s="41"/>
      <c r="D33" s="41"/>
      <c r="E33" s="41"/>
      <c r="F33" s="41"/>
      <c r="G33" s="149" t="s">
        <v>460</v>
      </c>
      <c r="H33" s="150">
        <f>CEILING(SUM(M22,R22)/H26,0.0025)</f>
        <v>0.28000000000000003</v>
      </c>
      <c r="I33" s="42"/>
      <c r="J33" s="43"/>
      <c r="K33" s="43"/>
      <c r="L33" s="43"/>
      <c r="M33" s="43"/>
      <c r="N33" s="43"/>
      <c r="O33" s="43"/>
      <c r="P33" s="43"/>
      <c r="Q33" s="43"/>
      <c r="R33" s="44"/>
    </row>
    <row r="34" spans="1:18">
      <c r="A34" s="22"/>
      <c r="B34" s="22"/>
      <c r="C34" s="22"/>
      <c r="D34" s="22"/>
      <c r="E34" s="22"/>
      <c r="F34" s="22"/>
      <c r="G34" s="22"/>
      <c r="H34" s="22"/>
      <c r="I34" s="22"/>
      <c r="J34" s="22"/>
      <c r="K34" s="22"/>
      <c r="L34" s="22"/>
      <c r="M34" s="22"/>
      <c r="N34" s="22"/>
      <c r="O34" s="22"/>
      <c r="P34" s="22"/>
      <c r="Q34" s="22"/>
      <c r="R34" s="22"/>
    </row>
    <row r="35" spans="1:18">
      <c r="A35" s="693" t="s">
        <v>0</v>
      </c>
      <c r="B35" s="695" t="s">
        <v>1</v>
      </c>
      <c r="C35" s="695" t="s">
        <v>2</v>
      </c>
      <c r="D35" s="697" t="s">
        <v>3</v>
      </c>
      <c r="E35" s="698"/>
      <c r="F35" s="698"/>
      <c r="G35" s="698"/>
      <c r="H35" s="698"/>
      <c r="I35" s="699" t="s">
        <v>4</v>
      </c>
      <c r="J35" s="700"/>
      <c r="K35" s="700"/>
      <c r="L35" s="700"/>
      <c r="M35" s="700"/>
      <c r="N35" s="698" t="s">
        <v>5</v>
      </c>
      <c r="O35" s="698"/>
      <c r="P35" s="698"/>
      <c r="Q35" s="698"/>
      <c r="R35" s="698"/>
    </row>
    <row r="36" spans="1:18">
      <c r="A36" s="694"/>
      <c r="B36" s="696"/>
      <c r="C36" s="696"/>
      <c r="D36" s="45" t="s">
        <v>6</v>
      </c>
      <c r="E36" s="46" t="s">
        <v>2</v>
      </c>
      <c r="F36" s="46" t="s">
        <v>7</v>
      </c>
      <c r="G36" s="46" t="s">
        <v>8</v>
      </c>
      <c r="H36" s="46" t="s">
        <v>9</v>
      </c>
      <c r="I36" s="46" t="s">
        <v>10</v>
      </c>
      <c r="J36" s="46" t="s">
        <v>2</v>
      </c>
      <c r="K36" s="46" t="s">
        <v>7</v>
      </c>
      <c r="L36" s="46" t="s">
        <v>8</v>
      </c>
      <c r="M36" s="47" t="s">
        <v>9</v>
      </c>
      <c r="N36" s="46" t="s">
        <v>10</v>
      </c>
      <c r="O36" s="46" t="s">
        <v>2</v>
      </c>
      <c r="P36" s="46" t="s">
        <v>7</v>
      </c>
      <c r="Q36" s="46" t="s">
        <v>8</v>
      </c>
      <c r="R36" s="46" t="s">
        <v>9</v>
      </c>
    </row>
    <row r="37" spans="1:18" ht="15.75" customHeight="1">
      <c r="A37" s="33" t="s">
        <v>23</v>
      </c>
      <c r="B37" s="73" t="s">
        <v>206</v>
      </c>
      <c r="C37" s="31"/>
      <c r="D37" s="31"/>
      <c r="E37" s="31"/>
      <c r="F37" s="31"/>
      <c r="G37" s="31"/>
      <c r="H37" s="31"/>
      <c r="I37" s="31"/>
      <c r="J37" s="31"/>
      <c r="K37" s="31"/>
      <c r="L37" s="31"/>
      <c r="M37" s="31"/>
      <c r="N37" s="31"/>
      <c r="O37" s="31"/>
      <c r="P37" s="31"/>
      <c r="Q37" s="31"/>
      <c r="R37" s="32"/>
    </row>
    <row r="38" spans="1:18" ht="15.75" customHeight="1">
      <c r="A38" s="34">
        <f>A21+1</f>
        <v>3</v>
      </c>
      <c r="B38" s="701" t="s">
        <v>208</v>
      </c>
      <c r="C38" s="6" t="s">
        <v>11</v>
      </c>
      <c r="D38" s="4"/>
      <c r="E38" s="6"/>
      <c r="F38" s="29"/>
      <c r="G38" s="26"/>
      <c r="H38" s="26"/>
      <c r="I38" s="6"/>
      <c r="J38" s="6"/>
      <c r="K38" s="29"/>
      <c r="L38" s="26"/>
      <c r="M38" s="26"/>
      <c r="N38" s="6"/>
      <c r="O38" s="6"/>
      <c r="P38" s="29"/>
      <c r="Q38" s="26"/>
      <c r="R38" s="26"/>
    </row>
    <row r="39" spans="1:18">
      <c r="A39" s="2"/>
      <c r="B39" s="702"/>
      <c r="C39" s="6"/>
      <c r="D39" s="4" t="s">
        <v>97</v>
      </c>
      <c r="E39" s="6" t="s">
        <v>81</v>
      </c>
      <c r="F39" s="29">
        <v>0.4</v>
      </c>
      <c r="G39" s="26">
        <f>ur</f>
        <v>850</v>
      </c>
      <c r="H39" s="26">
        <f>F39*G39</f>
        <v>340</v>
      </c>
      <c r="I39" s="7" t="s">
        <v>67</v>
      </c>
      <c r="J39" s="8" t="s">
        <v>203</v>
      </c>
      <c r="K39" s="29">
        <f>2*L48</f>
        <v>0.8</v>
      </c>
      <c r="L39" s="28">
        <f>diesel</f>
        <v>177.6</v>
      </c>
      <c r="M39" s="26">
        <f>K39*L39</f>
        <v>142.08000000000001</v>
      </c>
      <c r="N39" s="8" t="s">
        <v>204</v>
      </c>
      <c r="O39" s="6" t="s">
        <v>101</v>
      </c>
      <c r="P39" s="29">
        <f>0.15*(L48+0.75)</f>
        <v>0.17249999999999999</v>
      </c>
      <c r="Q39" s="28">
        <f>truck</f>
        <v>486.72</v>
      </c>
      <c r="R39" s="26">
        <f>P39*Q39</f>
        <v>83.959199999999996</v>
      </c>
    </row>
    <row r="40" spans="1:18">
      <c r="A40" s="2"/>
      <c r="B40" s="702"/>
      <c r="C40" s="6"/>
      <c r="D40" s="4"/>
      <c r="E40" s="6"/>
      <c r="F40" s="29"/>
      <c r="G40" s="26"/>
      <c r="H40" s="26"/>
      <c r="I40" s="7"/>
      <c r="J40" s="8"/>
      <c r="K40" s="29"/>
      <c r="L40" s="28"/>
      <c r="M40" s="28"/>
      <c r="N40" s="8"/>
      <c r="O40" s="6"/>
      <c r="P40" s="29"/>
      <c r="Q40" s="28"/>
      <c r="R40" s="28"/>
    </row>
    <row r="41" spans="1:18">
      <c r="A41" s="2"/>
      <c r="B41" s="5"/>
      <c r="C41" s="6"/>
      <c r="D41" s="4"/>
      <c r="E41" s="9"/>
      <c r="F41" s="30"/>
      <c r="G41" s="27"/>
      <c r="H41" s="27"/>
      <c r="I41" s="9"/>
      <c r="J41" s="10"/>
      <c r="K41" s="30"/>
      <c r="L41" s="28"/>
      <c r="M41" s="28"/>
      <c r="N41" s="8"/>
      <c r="O41" s="6"/>
      <c r="P41" s="30"/>
      <c r="Q41" s="28"/>
      <c r="R41" s="28"/>
    </row>
    <row r="42" spans="1:18">
      <c r="A42" s="2"/>
      <c r="B42" s="11"/>
      <c r="C42" s="6"/>
      <c r="D42" s="12"/>
      <c r="E42" s="59"/>
      <c r="F42" s="13"/>
      <c r="G42" s="13" t="s">
        <v>20</v>
      </c>
      <c r="H42" s="25">
        <f>SUM(H38:H41)</f>
        <v>340</v>
      </c>
      <c r="I42" s="703"/>
      <c r="J42" s="703"/>
      <c r="K42" s="14"/>
      <c r="L42" s="13" t="s">
        <v>21</v>
      </c>
      <c r="M42" s="25">
        <f>SUM(M38:M41)</f>
        <v>142.08000000000001</v>
      </c>
      <c r="N42" s="3"/>
      <c r="O42" s="14"/>
      <c r="P42" s="14"/>
      <c r="Q42" s="13" t="s">
        <v>22</v>
      </c>
      <c r="R42" s="25">
        <f>SUM(R38:R41)</f>
        <v>83.959199999999996</v>
      </c>
    </row>
    <row r="43" spans="1:18">
      <c r="A43" s="2"/>
      <c r="B43" s="16" t="s">
        <v>13</v>
      </c>
      <c r="C43" s="14"/>
      <c r="D43" s="14"/>
      <c r="E43" s="14"/>
      <c r="F43" s="14"/>
      <c r="G43" s="13"/>
      <c r="H43" s="35">
        <f>M42+R42+H42</f>
        <v>566.03919999999994</v>
      </c>
      <c r="I43" s="17"/>
      <c r="J43" s="14"/>
      <c r="K43" s="14"/>
      <c r="L43" s="13"/>
      <c r="M43" s="15"/>
      <c r="N43" s="14"/>
      <c r="O43" s="14"/>
      <c r="P43" s="14"/>
      <c r="Q43" s="14"/>
      <c r="R43" s="17"/>
    </row>
    <row r="44" spans="1:18">
      <c r="A44" s="2"/>
      <c r="B44" s="11" t="s">
        <v>25</v>
      </c>
      <c r="C44" s="4"/>
      <c r="D44" s="4"/>
      <c r="E44" s="4"/>
      <c r="F44" s="4"/>
      <c r="G44" s="18"/>
      <c r="H44" s="36">
        <v>0</v>
      </c>
      <c r="I44" s="20"/>
      <c r="J44" s="4" t="s">
        <v>26</v>
      </c>
      <c r="K44" s="4"/>
      <c r="L44" s="18"/>
      <c r="M44" s="19"/>
      <c r="N44" s="4"/>
      <c r="O44" s="4"/>
      <c r="P44" s="4"/>
      <c r="Q44" s="4"/>
      <c r="R44" s="20"/>
    </row>
    <row r="45" spans="1:18">
      <c r="A45" s="23"/>
      <c r="B45" s="11" t="s">
        <v>14</v>
      </c>
      <c r="C45" s="4"/>
      <c r="D45" s="4"/>
      <c r="E45" s="4"/>
      <c r="F45" s="4"/>
      <c r="G45" s="18"/>
      <c r="H45" s="36">
        <f>SUM(H43:H44)</f>
        <v>566.03919999999994</v>
      </c>
      <c r="I45" s="20"/>
      <c r="J45" s="111"/>
      <c r="K45" s="112"/>
      <c r="L45" s="112"/>
      <c r="M45" s="112"/>
      <c r="N45" s="112"/>
      <c r="O45" s="112"/>
      <c r="P45" s="112"/>
      <c r="Q45" s="112"/>
      <c r="R45" s="113"/>
    </row>
    <row r="46" spans="1:18">
      <c r="A46" s="23"/>
      <c r="B46" s="11" t="s">
        <v>24</v>
      </c>
      <c r="C46" s="4"/>
      <c r="D46" s="4"/>
      <c r="E46" s="4"/>
      <c r="F46" s="4"/>
      <c r="G46" s="18"/>
      <c r="H46" s="36">
        <f>H45*15%</f>
        <v>84.905879999999982</v>
      </c>
      <c r="I46" s="20"/>
      <c r="J46" s="114"/>
      <c r="K46" s="115"/>
      <c r="L46" s="115"/>
      <c r="M46" s="115"/>
      <c r="N46" s="115"/>
      <c r="O46" s="115"/>
      <c r="P46" s="115"/>
      <c r="Q46" s="115"/>
      <c r="R46" s="116"/>
    </row>
    <row r="47" spans="1:18">
      <c r="A47" s="23"/>
      <c r="B47" s="11" t="s">
        <v>15</v>
      </c>
      <c r="C47" s="4"/>
      <c r="D47" s="4"/>
      <c r="E47" s="4"/>
      <c r="F47" s="4"/>
      <c r="G47" s="21" t="s">
        <v>16</v>
      </c>
      <c r="H47" s="37">
        <f>H46+H45</f>
        <v>650.94507999999996</v>
      </c>
      <c r="I47" s="38" t="str">
        <f>CONCATENATE("per ",C38)</f>
        <v>per cum</v>
      </c>
      <c r="J47" s="114"/>
      <c r="K47" s="120" t="s">
        <v>200</v>
      </c>
      <c r="L47" s="121">
        <v>2</v>
      </c>
      <c r="M47" s="115" t="s">
        <v>94</v>
      </c>
      <c r="N47" s="122">
        <v>10</v>
      </c>
      <c r="O47" s="115"/>
      <c r="P47" s="115"/>
      <c r="Q47" s="115"/>
      <c r="R47" s="116"/>
    </row>
    <row r="48" spans="1:18">
      <c r="A48" s="23"/>
      <c r="B48" s="11" t="s">
        <v>18</v>
      </c>
      <c r="C48" s="4" t="s">
        <v>19</v>
      </c>
      <c r="D48" s="4"/>
      <c r="E48" s="4"/>
      <c r="F48" s="4"/>
      <c r="G48" s="21" t="s">
        <v>16</v>
      </c>
      <c r="H48" s="37">
        <f>CEILING(H47,0.5)</f>
        <v>651</v>
      </c>
      <c r="I48" s="38" t="str">
        <f>CONCATENATE("per ",C38)</f>
        <v>per cum</v>
      </c>
      <c r="J48" s="114"/>
      <c r="K48" s="115" t="s">
        <v>201</v>
      </c>
      <c r="L48" s="123">
        <f>2*(L47/N47)</f>
        <v>0.4</v>
      </c>
      <c r="M48" s="115"/>
      <c r="N48" s="115"/>
      <c r="O48" s="115"/>
      <c r="P48" s="115"/>
      <c r="Q48" s="115"/>
      <c r="R48" s="116"/>
    </row>
    <row r="49" spans="1:18">
      <c r="A49" s="23"/>
      <c r="B49" s="11"/>
      <c r="C49" s="4"/>
      <c r="D49" s="4"/>
      <c r="E49" s="4"/>
      <c r="F49" s="4"/>
      <c r="G49" s="24" t="s">
        <v>17</v>
      </c>
      <c r="H49" s="37">
        <f>H48/exr</f>
        <v>5.0076923076923077</v>
      </c>
      <c r="I49" s="38" t="str">
        <f>CONCATENATE("per ",C38)</f>
        <v>per cum</v>
      </c>
      <c r="J49" s="117"/>
      <c r="K49" s="118"/>
      <c r="L49" s="118"/>
      <c r="M49" s="118"/>
      <c r="N49" s="118"/>
      <c r="O49" s="118"/>
      <c r="P49" s="118"/>
      <c r="Q49" s="118"/>
      <c r="R49" s="119"/>
    </row>
    <row r="50" spans="1:18">
      <c r="A50" s="39"/>
      <c r="B50" s="40"/>
      <c r="C50" s="41"/>
      <c r="D50" s="41"/>
      <c r="E50" s="41"/>
      <c r="F50" s="41"/>
      <c r="G50" s="149" t="s">
        <v>460</v>
      </c>
      <c r="H50" s="150">
        <f>CEILING(SUM(M39,R39)/H43,0.0025)</f>
        <v>0.4</v>
      </c>
      <c r="I50" s="42"/>
      <c r="J50" s="43"/>
      <c r="K50" s="43"/>
      <c r="L50" s="43"/>
      <c r="M50" s="43"/>
      <c r="N50" s="43"/>
      <c r="O50" s="43"/>
      <c r="P50" s="43"/>
      <c r="Q50" s="43"/>
      <c r="R50" s="44"/>
    </row>
    <row r="51" spans="1:18">
      <c r="A51" s="22"/>
      <c r="B51" s="22"/>
      <c r="C51" s="22"/>
      <c r="D51" s="22"/>
      <c r="E51" s="22"/>
      <c r="F51" s="22"/>
      <c r="G51" s="22"/>
      <c r="H51" s="22"/>
      <c r="I51" s="22"/>
      <c r="J51" s="22"/>
      <c r="K51" s="22"/>
      <c r="L51" s="22"/>
      <c r="M51" s="22"/>
      <c r="N51" s="22"/>
      <c r="O51" s="22"/>
      <c r="P51" s="22"/>
      <c r="Q51" s="22"/>
      <c r="R51" s="22"/>
    </row>
    <row r="52" spans="1:18">
      <c r="A52" s="693" t="s">
        <v>0</v>
      </c>
      <c r="B52" s="695" t="s">
        <v>1</v>
      </c>
      <c r="C52" s="695" t="s">
        <v>2</v>
      </c>
      <c r="D52" s="697" t="s">
        <v>3</v>
      </c>
      <c r="E52" s="698"/>
      <c r="F52" s="698"/>
      <c r="G52" s="698"/>
      <c r="H52" s="698"/>
      <c r="I52" s="699" t="s">
        <v>4</v>
      </c>
      <c r="J52" s="700"/>
      <c r="K52" s="700"/>
      <c r="L52" s="700"/>
      <c r="M52" s="700"/>
      <c r="N52" s="698" t="s">
        <v>5</v>
      </c>
      <c r="O52" s="698"/>
      <c r="P52" s="698"/>
      <c r="Q52" s="698"/>
      <c r="R52" s="698"/>
    </row>
    <row r="53" spans="1:18">
      <c r="A53" s="694"/>
      <c r="B53" s="696"/>
      <c r="C53" s="696"/>
      <c r="D53" s="45" t="s">
        <v>6</v>
      </c>
      <c r="E53" s="46" t="s">
        <v>2</v>
      </c>
      <c r="F53" s="46" t="s">
        <v>7</v>
      </c>
      <c r="G53" s="46" t="s">
        <v>8</v>
      </c>
      <c r="H53" s="46" t="s">
        <v>9</v>
      </c>
      <c r="I53" s="46" t="s">
        <v>10</v>
      </c>
      <c r="J53" s="46" t="s">
        <v>2</v>
      </c>
      <c r="K53" s="46" t="s">
        <v>7</v>
      </c>
      <c r="L53" s="46" t="s">
        <v>8</v>
      </c>
      <c r="M53" s="47" t="s">
        <v>9</v>
      </c>
      <c r="N53" s="46" t="s">
        <v>10</v>
      </c>
      <c r="O53" s="46" t="s">
        <v>2</v>
      </c>
      <c r="P53" s="46" t="s">
        <v>7</v>
      </c>
      <c r="Q53" s="46" t="s">
        <v>8</v>
      </c>
      <c r="R53" s="46" t="s">
        <v>9</v>
      </c>
    </row>
    <row r="54" spans="1:18" ht="15.75" customHeight="1">
      <c r="A54" s="33" t="s">
        <v>23</v>
      </c>
      <c r="B54" s="73" t="s">
        <v>207</v>
      </c>
      <c r="C54" s="31"/>
      <c r="D54" s="31"/>
      <c r="E54" s="31"/>
      <c r="F54" s="31"/>
      <c r="G54" s="31"/>
      <c r="H54" s="31"/>
      <c r="I54" s="31"/>
      <c r="J54" s="31"/>
      <c r="K54" s="31"/>
      <c r="L54" s="31"/>
      <c r="M54" s="31"/>
      <c r="N54" s="31"/>
      <c r="O54" s="31"/>
      <c r="P54" s="31"/>
      <c r="Q54" s="31"/>
      <c r="R54" s="32"/>
    </row>
    <row r="55" spans="1:18" ht="15.75" customHeight="1">
      <c r="A55" s="34">
        <f>A38+1</f>
        <v>4</v>
      </c>
      <c r="B55" s="701" t="s">
        <v>209</v>
      </c>
      <c r="C55" s="6" t="s">
        <v>11</v>
      </c>
      <c r="D55" s="4"/>
      <c r="E55" s="6"/>
      <c r="F55" s="29"/>
      <c r="G55" s="26"/>
      <c r="H55" s="26"/>
      <c r="I55" s="6"/>
      <c r="J55" s="6"/>
      <c r="K55" s="29"/>
      <c r="L55" s="26"/>
      <c r="M55" s="26"/>
      <c r="N55" s="6"/>
      <c r="O55" s="6"/>
      <c r="P55" s="29"/>
      <c r="Q55" s="26"/>
      <c r="R55" s="26"/>
    </row>
    <row r="56" spans="1:18">
      <c r="A56" s="2"/>
      <c r="B56" s="702"/>
      <c r="C56" s="6"/>
      <c r="D56" s="4" t="s">
        <v>97</v>
      </c>
      <c r="E56" s="6" t="s">
        <v>81</v>
      </c>
      <c r="F56" s="29">
        <v>0.5</v>
      </c>
      <c r="G56" s="26">
        <f>ur</f>
        <v>850</v>
      </c>
      <c r="H56" s="26">
        <f>F56*G56</f>
        <v>425</v>
      </c>
      <c r="I56" s="7" t="s">
        <v>67</v>
      </c>
      <c r="J56" s="8" t="s">
        <v>203</v>
      </c>
      <c r="K56" s="29">
        <f>2.3*L65</f>
        <v>0.91999999999999993</v>
      </c>
      <c r="L56" s="28">
        <f>diesel</f>
        <v>177.6</v>
      </c>
      <c r="M56" s="26">
        <f>K56*L56</f>
        <v>163.392</v>
      </c>
      <c r="N56" s="8" t="s">
        <v>204</v>
      </c>
      <c r="O56" s="6" t="s">
        <v>101</v>
      </c>
      <c r="P56" s="29">
        <f>0.18*(L65+0.75)</f>
        <v>0.20699999999999999</v>
      </c>
      <c r="Q56" s="28">
        <f>truck</f>
        <v>486.72</v>
      </c>
      <c r="R56" s="26">
        <f>P56*Q56</f>
        <v>100.75104</v>
      </c>
    </row>
    <row r="57" spans="1:18">
      <c r="A57" s="2"/>
      <c r="B57" s="702"/>
      <c r="C57" s="6"/>
      <c r="D57" s="4"/>
      <c r="E57" s="6"/>
      <c r="F57" s="29"/>
      <c r="G57" s="26"/>
      <c r="H57" s="26"/>
      <c r="I57" s="7"/>
      <c r="J57" s="8"/>
      <c r="K57" s="29"/>
      <c r="L57" s="28"/>
      <c r="M57" s="28"/>
      <c r="N57" s="8"/>
      <c r="O57" s="6"/>
      <c r="P57" s="29"/>
      <c r="Q57" s="28"/>
      <c r="R57" s="28"/>
    </row>
    <row r="58" spans="1:18">
      <c r="A58" s="2"/>
      <c r="B58" s="5"/>
      <c r="C58" s="6"/>
      <c r="D58" s="4"/>
      <c r="E58" s="9"/>
      <c r="F58" s="30"/>
      <c r="G58" s="27"/>
      <c r="H58" s="27"/>
      <c r="I58" s="9"/>
      <c r="J58" s="10"/>
      <c r="K58" s="30"/>
      <c r="L58" s="28"/>
      <c r="M58" s="28"/>
      <c r="N58" s="8"/>
      <c r="O58" s="6"/>
      <c r="P58" s="30"/>
      <c r="Q58" s="28"/>
      <c r="R58" s="28"/>
    </row>
    <row r="59" spans="1:18">
      <c r="A59" s="2"/>
      <c r="B59" s="11"/>
      <c r="C59" s="6"/>
      <c r="D59" s="12"/>
      <c r="E59" s="59"/>
      <c r="F59" s="13"/>
      <c r="G59" s="13" t="s">
        <v>20</v>
      </c>
      <c r="H59" s="25">
        <f>SUM(H55:H58)</f>
        <v>425</v>
      </c>
      <c r="I59" s="703"/>
      <c r="J59" s="703"/>
      <c r="K59" s="14"/>
      <c r="L59" s="13" t="s">
        <v>21</v>
      </c>
      <c r="M59" s="25">
        <f>SUM(M55:M58)</f>
        <v>163.392</v>
      </c>
      <c r="N59" s="3"/>
      <c r="O59" s="14"/>
      <c r="P59" s="14"/>
      <c r="Q59" s="13" t="s">
        <v>22</v>
      </c>
      <c r="R59" s="25">
        <f>SUM(R55:R58)</f>
        <v>100.75104</v>
      </c>
    </row>
    <row r="60" spans="1:18">
      <c r="A60" s="2"/>
      <c r="B60" s="16" t="s">
        <v>13</v>
      </c>
      <c r="C60" s="14"/>
      <c r="D60" s="14"/>
      <c r="E60" s="14"/>
      <c r="F60" s="14"/>
      <c r="G60" s="13"/>
      <c r="H60" s="35">
        <f>M59+R59+H59</f>
        <v>689.14303999999993</v>
      </c>
      <c r="I60" s="17"/>
      <c r="J60" s="14"/>
      <c r="K60" s="14"/>
      <c r="L60" s="13"/>
      <c r="M60" s="15"/>
      <c r="N60" s="14"/>
      <c r="O60" s="14"/>
      <c r="P60" s="14"/>
      <c r="Q60" s="14"/>
      <c r="R60" s="17"/>
    </row>
    <row r="61" spans="1:18">
      <c r="A61" s="2"/>
      <c r="B61" s="11" t="s">
        <v>25</v>
      </c>
      <c r="C61" s="4"/>
      <c r="D61" s="4"/>
      <c r="E61" s="4"/>
      <c r="F61" s="4"/>
      <c r="G61" s="18"/>
      <c r="H61" s="36">
        <v>0</v>
      </c>
      <c r="I61" s="20"/>
      <c r="J61" s="4" t="s">
        <v>26</v>
      </c>
      <c r="K61" s="4"/>
      <c r="L61" s="18"/>
      <c r="M61" s="19"/>
      <c r="N61" s="4"/>
      <c r="O61" s="4"/>
      <c r="P61" s="4"/>
      <c r="Q61" s="4"/>
      <c r="R61" s="20"/>
    </row>
    <row r="62" spans="1:18">
      <c r="A62" s="23"/>
      <c r="B62" s="11" t="s">
        <v>14</v>
      </c>
      <c r="C62" s="4"/>
      <c r="D62" s="4"/>
      <c r="E62" s="4"/>
      <c r="F62" s="4"/>
      <c r="G62" s="18"/>
      <c r="H62" s="36">
        <f>SUM(H60:H61)</f>
        <v>689.14303999999993</v>
      </c>
      <c r="I62" s="20"/>
      <c r="J62" s="111"/>
      <c r="K62" s="112"/>
      <c r="L62" s="112"/>
      <c r="M62" s="112"/>
      <c r="N62" s="112"/>
      <c r="O62" s="112"/>
      <c r="P62" s="112"/>
      <c r="Q62" s="112"/>
      <c r="R62" s="113"/>
    </row>
    <row r="63" spans="1:18">
      <c r="A63" s="23"/>
      <c r="B63" s="11" t="s">
        <v>24</v>
      </c>
      <c r="C63" s="4"/>
      <c r="D63" s="4"/>
      <c r="E63" s="4"/>
      <c r="F63" s="4"/>
      <c r="G63" s="18"/>
      <c r="H63" s="36">
        <f>H62*15%</f>
        <v>103.37145599999998</v>
      </c>
      <c r="I63" s="20"/>
      <c r="J63" s="114"/>
      <c r="K63" s="115"/>
      <c r="L63" s="115"/>
      <c r="M63" s="115"/>
      <c r="N63" s="115"/>
      <c r="O63" s="115"/>
      <c r="P63" s="115"/>
      <c r="Q63" s="115"/>
      <c r="R63" s="116"/>
    </row>
    <row r="64" spans="1:18">
      <c r="A64" s="23"/>
      <c r="B64" s="11" t="s">
        <v>15</v>
      </c>
      <c r="C64" s="4"/>
      <c r="D64" s="4"/>
      <c r="E64" s="4"/>
      <c r="F64" s="4"/>
      <c r="G64" s="21" t="s">
        <v>16</v>
      </c>
      <c r="H64" s="37">
        <f>H63+H62</f>
        <v>792.51449599999989</v>
      </c>
      <c r="I64" s="38" t="str">
        <f>CONCATENATE("per ",C55)</f>
        <v>per cum</v>
      </c>
      <c r="J64" s="114"/>
      <c r="K64" s="120" t="s">
        <v>200</v>
      </c>
      <c r="L64" s="121">
        <v>2</v>
      </c>
      <c r="M64" s="115" t="s">
        <v>94</v>
      </c>
      <c r="N64" s="122">
        <v>10</v>
      </c>
      <c r="O64" s="115"/>
      <c r="P64" s="115"/>
      <c r="Q64" s="115"/>
      <c r="R64" s="116"/>
    </row>
    <row r="65" spans="1:18">
      <c r="A65" s="23"/>
      <c r="B65" s="11" t="s">
        <v>18</v>
      </c>
      <c r="C65" s="4" t="s">
        <v>19</v>
      </c>
      <c r="D65" s="4"/>
      <c r="E65" s="4"/>
      <c r="F65" s="4"/>
      <c r="G65" s="21" t="s">
        <v>16</v>
      </c>
      <c r="H65" s="37">
        <f>CEILING(H64,0.5)</f>
        <v>793</v>
      </c>
      <c r="I65" s="38" t="str">
        <f>CONCATENATE("per ",C55)</f>
        <v>per cum</v>
      </c>
      <c r="J65" s="114"/>
      <c r="K65" s="115" t="s">
        <v>201</v>
      </c>
      <c r="L65" s="123">
        <f>2*(L64/N64)</f>
        <v>0.4</v>
      </c>
      <c r="M65" s="115"/>
      <c r="N65" s="115"/>
      <c r="O65" s="115"/>
      <c r="P65" s="115"/>
      <c r="Q65" s="115"/>
      <c r="R65" s="116"/>
    </row>
    <row r="66" spans="1:18">
      <c r="A66" s="23"/>
      <c r="B66" s="11"/>
      <c r="C66" s="4"/>
      <c r="D66" s="4"/>
      <c r="E66" s="4"/>
      <c r="F66" s="4"/>
      <c r="G66" s="24" t="s">
        <v>17</v>
      </c>
      <c r="H66" s="37">
        <f>H65/exr</f>
        <v>6.1</v>
      </c>
      <c r="I66" s="38" t="str">
        <f>CONCATENATE("per ",C55)</f>
        <v>per cum</v>
      </c>
      <c r="J66" s="117"/>
      <c r="K66" s="118"/>
      <c r="L66" s="118"/>
      <c r="M66" s="118"/>
      <c r="N66" s="118"/>
      <c r="O66" s="118"/>
      <c r="P66" s="118"/>
      <c r="Q66" s="118"/>
      <c r="R66" s="119"/>
    </row>
    <row r="67" spans="1:18">
      <c r="A67" s="39"/>
      <c r="B67" s="40"/>
      <c r="C67" s="41"/>
      <c r="D67" s="41"/>
      <c r="E67" s="41"/>
      <c r="F67" s="41"/>
      <c r="G67" s="149" t="s">
        <v>460</v>
      </c>
      <c r="H67" s="150">
        <f>CEILING(SUM(M56,R56)/H60,0.0025)</f>
        <v>0.38500000000000001</v>
      </c>
      <c r="I67" s="42"/>
      <c r="J67" s="43"/>
      <c r="K67" s="43"/>
      <c r="L67" s="43"/>
      <c r="M67" s="43"/>
      <c r="N67" s="43"/>
      <c r="O67" s="43"/>
      <c r="P67" s="43"/>
      <c r="Q67" s="43"/>
      <c r="R67" s="44"/>
    </row>
    <row r="68" spans="1:18">
      <c r="A68" s="22"/>
      <c r="B68" s="22"/>
      <c r="C68" s="22"/>
      <c r="D68" s="22"/>
      <c r="E68" s="22"/>
      <c r="F68" s="22"/>
      <c r="G68" s="22"/>
      <c r="H68" s="22"/>
      <c r="I68" s="22"/>
      <c r="J68" s="22"/>
      <c r="K68" s="22"/>
      <c r="L68" s="22"/>
      <c r="M68" s="22"/>
      <c r="N68" s="22"/>
      <c r="O68" s="22"/>
      <c r="P68" s="22"/>
      <c r="Q68" s="22"/>
      <c r="R68" s="22"/>
    </row>
    <row r="69" spans="1:18">
      <c r="A69" s="693" t="s">
        <v>0</v>
      </c>
      <c r="B69" s="695" t="s">
        <v>1</v>
      </c>
      <c r="C69" s="695" t="s">
        <v>2</v>
      </c>
      <c r="D69" s="697" t="s">
        <v>3</v>
      </c>
      <c r="E69" s="698"/>
      <c r="F69" s="698"/>
      <c r="G69" s="698"/>
      <c r="H69" s="698"/>
      <c r="I69" s="699" t="s">
        <v>4</v>
      </c>
      <c r="J69" s="700"/>
      <c r="K69" s="700"/>
      <c r="L69" s="700"/>
      <c r="M69" s="700"/>
      <c r="N69" s="698" t="s">
        <v>5</v>
      </c>
      <c r="O69" s="698"/>
      <c r="P69" s="698"/>
      <c r="Q69" s="698"/>
      <c r="R69" s="698"/>
    </row>
    <row r="70" spans="1:18">
      <c r="A70" s="694"/>
      <c r="B70" s="696"/>
      <c r="C70" s="696"/>
      <c r="D70" s="45" t="s">
        <v>6</v>
      </c>
      <c r="E70" s="46" t="s">
        <v>2</v>
      </c>
      <c r="F70" s="46" t="s">
        <v>7</v>
      </c>
      <c r="G70" s="46" t="s">
        <v>8</v>
      </c>
      <c r="H70" s="46" t="s">
        <v>9</v>
      </c>
      <c r="I70" s="46" t="s">
        <v>10</v>
      </c>
      <c r="J70" s="46" t="s">
        <v>2</v>
      </c>
      <c r="K70" s="46" t="s">
        <v>7</v>
      </c>
      <c r="L70" s="46" t="s">
        <v>8</v>
      </c>
      <c r="M70" s="47" t="s">
        <v>9</v>
      </c>
      <c r="N70" s="46" t="s">
        <v>10</v>
      </c>
      <c r="O70" s="46" t="s">
        <v>2</v>
      </c>
      <c r="P70" s="46" t="s">
        <v>7</v>
      </c>
      <c r="Q70" s="46" t="s">
        <v>8</v>
      </c>
      <c r="R70" s="46" t="s">
        <v>9</v>
      </c>
    </row>
    <row r="71" spans="1:18">
      <c r="A71" s="33" t="s">
        <v>23</v>
      </c>
      <c r="B71" s="73" t="s">
        <v>211</v>
      </c>
      <c r="C71" s="31"/>
      <c r="D71" s="31"/>
      <c r="E71" s="31"/>
      <c r="F71" s="31"/>
      <c r="G71" s="31"/>
      <c r="H71" s="31"/>
      <c r="I71" s="31"/>
      <c r="J71" s="31"/>
      <c r="K71" s="31"/>
      <c r="L71" s="31"/>
      <c r="M71" s="31"/>
      <c r="N71" s="31"/>
      <c r="O71" s="31"/>
      <c r="P71" s="31"/>
      <c r="Q71" s="31"/>
      <c r="R71" s="32"/>
    </row>
    <row r="72" spans="1:18" ht="15.75" customHeight="1">
      <c r="A72" s="34">
        <f>A55+1</f>
        <v>5</v>
      </c>
      <c r="B72" s="727" t="s">
        <v>210</v>
      </c>
      <c r="C72" s="6" t="s">
        <v>11</v>
      </c>
      <c r="D72" s="4"/>
      <c r="E72" s="6"/>
      <c r="F72" s="29"/>
      <c r="G72" s="26"/>
      <c r="H72" s="26"/>
      <c r="I72" s="6"/>
      <c r="J72" s="6"/>
      <c r="K72" s="29"/>
      <c r="L72" s="26"/>
      <c r="M72" s="26"/>
      <c r="N72" s="6"/>
      <c r="O72" s="6"/>
      <c r="P72" s="29"/>
      <c r="Q72" s="26"/>
      <c r="R72" s="26"/>
    </row>
    <row r="73" spans="1:18">
      <c r="A73" s="2"/>
      <c r="B73" s="728"/>
      <c r="C73" s="6"/>
      <c r="D73" s="4" t="s">
        <v>97</v>
      </c>
      <c r="E73" s="6" t="s">
        <v>81</v>
      </c>
      <c r="F73" s="29">
        <v>0.2</v>
      </c>
      <c r="G73" s="26">
        <f>ur</f>
        <v>850</v>
      </c>
      <c r="H73" s="26">
        <f>F73*G73</f>
        <v>170</v>
      </c>
      <c r="I73" s="7" t="s">
        <v>212</v>
      </c>
      <c r="J73" s="8" t="s">
        <v>213</v>
      </c>
      <c r="K73" s="29">
        <v>1.1000000000000001</v>
      </c>
      <c r="L73" s="28">
        <v>0</v>
      </c>
      <c r="M73" s="26">
        <f>K73*L73</f>
        <v>0</v>
      </c>
      <c r="N73" s="8" t="s">
        <v>128</v>
      </c>
      <c r="O73" s="6"/>
      <c r="P73" s="29"/>
      <c r="Q73" s="28"/>
      <c r="R73" s="28">
        <f>3%*H79</f>
        <v>5.0999999999999996</v>
      </c>
    </row>
    <row r="74" spans="1:18">
      <c r="A74" s="2"/>
      <c r="B74" s="728"/>
      <c r="C74" s="6"/>
      <c r="D74" s="4"/>
      <c r="E74" s="6"/>
      <c r="F74" s="29"/>
      <c r="G74" s="26"/>
      <c r="H74" s="26"/>
      <c r="I74" s="7" t="s">
        <v>214</v>
      </c>
      <c r="J74" s="8" t="s">
        <v>203</v>
      </c>
      <c r="K74" s="29">
        <v>4.7E-2</v>
      </c>
      <c r="L74" s="28">
        <f>diesel</f>
        <v>177.6</v>
      </c>
      <c r="M74" s="26">
        <f>K74*L74</f>
        <v>8.3471999999999991</v>
      </c>
      <c r="N74" s="8" t="s">
        <v>216</v>
      </c>
      <c r="O74" s="6" t="s">
        <v>101</v>
      </c>
      <c r="P74" s="29">
        <v>0.01</v>
      </c>
      <c r="Q74" s="28">
        <f>roller_steel</f>
        <v>551.62</v>
      </c>
      <c r="R74" s="26">
        <f>P74*Q74</f>
        <v>5.5162000000000004</v>
      </c>
    </row>
    <row r="75" spans="1:18">
      <c r="A75" s="2"/>
      <c r="B75" s="728"/>
      <c r="C75" s="6"/>
      <c r="D75" s="4"/>
      <c r="E75" s="6"/>
      <c r="F75" s="29"/>
      <c r="G75" s="26"/>
      <c r="H75" s="26"/>
      <c r="I75" s="7" t="s">
        <v>215</v>
      </c>
      <c r="J75" s="8" t="s">
        <v>203</v>
      </c>
      <c r="K75" s="29">
        <v>100</v>
      </c>
      <c r="L75" s="28"/>
      <c r="M75" s="26">
        <f>K75*L75</f>
        <v>0</v>
      </c>
      <c r="N75" s="8"/>
      <c r="O75" s="6"/>
      <c r="P75" s="29"/>
      <c r="Q75" s="28"/>
      <c r="R75" s="28"/>
    </row>
    <row r="76" spans="1:18">
      <c r="A76" s="2"/>
      <c r="B76" s="728"/>
      <c r="C76" s="6"/>
      <c r="D76" s="4"/>
      <c r="E76" s="6"/>
      <c r="F76" s="29"/>
      <c r="G76" s="26"/>
      <c r="H76" s="26"/>
      <c r="I76" s="7"/>
      <c r="J76" s="8"/>
      <c r="K76" s="29"/>
      <c r="L76" s="28"/>
      <c r="M76" s="28"/>
      <c r="N76" s="8"/>
      <c r="O76" s="6"/>
      <c r="P76" s="29"/>
      <c r="Q76" s="28"/>
      <c r="R76" s="28"/>
    </row>
    <row r="77" spans="1:18">
      <c r="A77" s="2"/>
      <c r="B77" s="728"/>
      <c r="C77" s="6"/>
      <c r="D77" s="4"/>
      <c r="E77" s="6"/>
      <c r="F77" s="29"/>
      <c r="G77" s="26"/>
      <c r="H77" s="26"/>
      <c r="I77" s="7"/>
      <c r="J77" s="8"/>
      <c r="K77" s="29"/>
      <c r="L77" s="28"/>
      <c r="M77" s="28"/>
      <c r="N77" s="8"/>
      <c r="O77" s="6"/>
      <c r="P77" s="29"/>
      <c r="Q77" s="28"/>
      <c r="R77" s="28"/>
    </row>
    <row r="78" spans="1:18">
      <c r="A78" s="2"/>
      <c r="B78" s="84"/>
      <c r="C78" s="6"/>
      <c r="D78" s="4"/>
      <c r="E78" s="9"/>
      <c r="F78" s="30"/>
      <c r="G78" s="27"/>
      <c r="H78" s="27"/>
      <c r="I78" s="9"/>
      <c r="J78" s="10"/>
      <c r="K78" s="30"/>
      <c r="L78" s="28"/>
      <c r="M78" s="28"/>
      <c r="N78" s="8"/>
      <c r="O78" s="6"/>
      <c r="P78" s="30"/>
      <c r="Q78" s="28"/>
      <c r="R78" s="28"/>
    </row>
    <row r="79" spans="1:18">
      <c r="A79" s="2"/>
      <c r="B79" s="11"/>
      <c r="C79" s="6"/>
      <c r="D79" s="12"/>
      <c r="E79" s="59"/>
      <c r="F79" s="13"/>
      <c r="G79" s="13" t="s">
        <v>20</v>
      </c>
      <c r="H79" s="25">
        <f>SUM(H72:H78)</f>
        <v>170</v>
      </c>
      <c r="I79" s="703"/>
      <c r="J79" s="703"/>
      <c r="K79" s="14"/>
      <c r="L79" s="13" t="s">
        <v>21</v>
      </c>
      <c r="M79" s="25">
        <f>SUM(M72:M78)</f>
        <v>8.3471999999999991</v>
      </c>
      <c r="N79" s="3"/>
      <c r="O79" s="14"/>
      <c r="P79" s="14"/>
      <c r="Q79" s="13" t="s">
        <v>22</v>
      </c>
      <c r="R79" s="25">
        <f>SUM(R72:R78)</f>
        <v>10.616199999999999</v>
      </c>
    </row>
    <row r="80" spans="1:18">
      <c r="A80" s="2"/>
      <c r="B80" s="16" t="s">
        <v>13</v>
      </c>
      <c r="C80" s="14"/>
      <c r="D80" s="14"/>
      <c r="E80" s="14"/>
      <c r="F80" s="14"/>
      <c r="G80" s="13"/>
      <c r="H80" s="35">
        <f>M79+R79+H79</f>
        <v>188.96340000000001</v>
      </c>
      <c r="I80" s="17"/>
      <c r="J80" s="14"/>
      <c r="K80" s="14"/>
      <c r="L80" s="13"/>
      <c r="M80" s="15"/>
      <c r="N80" s="14"/>
      <c r="O80" s="14"/>
      <c r="P80" s="14"/>
      <c r="Q80" s="14"/>
      <c r="R80" s="17"/>
    </row>
    <row r="81" spans="1:18">
      <c r="A81" s="2"/>
      <c r="B81" s="11" t="s">
        <v>25</v>
      </c>
      <c r="C81" s="4"/>
      <c r="D81" s="4"/>
      <c r="E81" s="4"/>
      <c r="F81" s="4"/>
      <c r="G81" s="18"/>
      <c r="H81" s="36">
        <v>0</v>
      </c>
      <c r="I81" s="20"/>
      <c r="J81" s="4" t="s">
        <v>26</v>
      </c>
      <c r="K81" s="4"/>
      <c r="L81" s="18"/>
      <c r="M81" s="19"/>
      <c r="N81" s="4"/>
      <c r="O81" s="4"/>
      <c r="P81" s="4"/>
      <c r="Q81" s="4"/>
      <c r="R81" s="20"/>
    </row>
    <row r="82" spans="1:18">
      <c r="A82" s="23"/>
      <c r="B82" s="11" t="s">
        <v>14</v>
      </c>
      <c r="C82" s="4"/>
      <c r="D82" s="4"/>
      <c r="E82" s="4"/>
      <c r="F82" s="4"/>
      <c r="G82" s="18"/>
      <c r="H82" s="36">
        <f>SUM(H80:H81)</f>
        <v>188.96340000000001</v>
      </c>
      <c r="I82" s="20"/>
      <c r="J82" s="704" t="s">
        <v>217</v>
      </c>
      <c r="K82" s="705"/>
      <c r="L82" s="705"/>
      <c r="M82" s="705"/>
      <c r="N82" s="705"/>
      <c r="O82" s="705"/>
      <c r="P82" s="705"/>
      <c r="Q82" s="705"/>
      <c r="R82" s="706"/>
    </row>
    <row r="83" spans="1:18">
      <c r="A83" s="23"/>
      <c r="B83" s="11" t="s">
        <v>24</v>
      </c>
      <c r="C83" s="4"/>
      <c r="D83" s="4"/>
      <c r="E83" s="4"/>
      <c r="F83" s="4"/>
      <c r="G83" s="18"/>
      <c r="H83" s="36">
        <f>H82*15%</f>
        <v>28.34451</v>
      </c>
      <c r="I83" s="20"/>
      <c r="J83" s="707"/>
      <c r="K83" s="708"/>
      <c r="L83" s="708"/>
      <c r="M83" s="708"/>
      <c r="N83" s="708"/>
      <c r="O83" s="708"/>
      <c r="P83" s="708"/>
      <c r="Q83" s="708"/>
      <c r="R83" s="709"/>
    </row>
    <row r="84" spans="1:18">
      <c r="A84" s="23"/>
      <c r="B84" s="11" t="s">
        <v>15</v>
      </c>
      <c r="C84" s="4"/>
      <c r="D84" s="4"/>
      <c r="E84" s="4"/>
      <c r="F84" s="4"/>
      <c r="G84" s="21" t="s">
        <v>16</v>
      </c>
      <c r="H84" s="37">
        <f>H83+H82</f>
        <v>217.30790999999999</v>
      </c>
      <c r="I84" s="38" t="str">
        <f>CONCATENATE("per ",C72)</f>
        <v>per cum</v>
      </c>
      <c r="J84" s="707"/>
      <c r="K84" s="708"/>
      <c r="L84" s="708"/>
      <c r="M84" s="708"/>
      <c r="N84" s="708"/>
      <c r="O84" s="708"/>
      <c r="P84" s="708"/>
      <c r="Q84" s="708"/>
      <c r="R84" s="709"/>
    </row>
    <row r="85" spans="1:18">
      <c r="A85" s="23"/>
      <c r="B85" s="11" t="s">
        <v>18</v>
      </c>
      <c r="C85" s="4" t="s">
        <v>19</v>
      </c>
      <c r="D85" s="4"/>
      <c r="E85" s="4"/>
      <c r="F85" s="4"/>
      <c r="G85" s="21" t="s">
        <v>16</v>
      </c>
      <c r="H85" s="37">
        <f>CEILING(H84,0.5)</f>
        <v>217.5</v>
      </c>
      <c r="I85" s="38" t="str">
        <f>CONCATENATE("per ",C72)</f>
        <v>per cum</v>
      </c>
      <c r="J85" s="707"/>
      <c r="K85" s="708"/>
      <c r="L85" s="708"/>
      <c r="M85" s="708"/>
      <c r="N85" s="708"/>
      <c r="O85" s="708"/>
      <c r="P85" s="708"/>
      <c r="Q85" s="708"/>
      <c r="R85" s="709"/>
    </row>
    <row r="86" spans="1:18">
      <c r="A86" s="23"/>
      <c r="B86" s="11"/>
      <c r="C86" s="4"/>
      <c r="D86" s="4"/>
      <c r="E86" s="4"/>
      <c r="F86" s="4"/>
      <c r="G86" s="24" t="s">
        <v>17</v>
      </c>
      <c r="H86" s="37">
        <f>H85/exr</f>
        <v>1.6730769230769231</v>
      </c>
      <c r="I86" s="38" t="str">
        <f>CONCATENATE("per ",C72)</f>
        <v>per cum</v>
      </c>
      <c r="J86" s="710"/>
      <c r="K86" s="711"/>
      <c r="L86" s="711"/>
      <c r="M86" s="711"/>
      <c r="N86" s="711"/>
      <c r="O86" s="711"/>
      <c r="P86" s="711"/>
      <c r="Q86" s="711"/>
      <c r="R86" s="712"/>
    </row>
    <row r="87" spans="1:18">
      <c r="A87" s="39"/>
      <c r="B87" s="40"/>
      <c r="C87" s="41"/>
      <c r="D87" s="41"/>
      <c r="E87" s="41"/>
      <c r="F87" s="41"/>
      <c r="G87" s="149" t="s">
        <v>460</v>
      </c>
      <c r="H87" s="150">
        <f>CEILING(SUM(M73,M74,R74)/H80,0.0025)</f>
        <v>7.4999999999999997E-2</v>
      </c>
      <c r="I87" s="42"/>
      <c r="J87" s="43"/>
      <c r="K87" s="43"/>
      <c r="L87" s="43"/>
      <c r="M87" s="43"/>
      <c r="N87" s="43"/>
      <c r="O87" s="43"/>
      <c r="P87" s="43"/>
      <c r="Q87" s="43"/>
      <c r="R87" s="44"/>
    </row>
    <row r="89" spans="1:18">
      <c r="A89" s="693" t="s">
        <v>0</v>
      </c>
      <c r="B89" s="695" t="s">
        <v>1</v>
      </c>
      <c r="C89" s="695" t="s">
        <v>2</v>
      </c>
      <c r="D89" s="697" t="s">
        <v>3</v>
      </c>
      <c r="E89" s="698"/>
      <c r="F89" s="698"/>
      <c r="G89" s="698"/>
      <c r="H89" s="698"/>
      <c r="I89" s="699" t="s">
        <v>4</v>
      </c>
      <c r="J89" s="700"/>
      <c r="K89" s="700"/>
      <c r="L89" s="700"/>
      <c r="M89" s="700"/>
      <c r="N89" s="698" t="s">
        <v>5</v>
      </c>
      <c r="O89" s="698"/>
      <c r="P89" s="698"/>
      <c r="Q89" s="698"/>
      <c r="R89" s="698"/>
    </row>
    <row r="90" spans="1:18">
      <c r="A90" s="694"/>
      <c r="B90" s="696"/>
      <c r="C90" s="696"/>
      <c r="D90" s="45" t="s">
        <v>6</v>
      </c>
      <c r="E90" s="46" t="s">
        <v>2</v>
      </c>
      <c r="F90" s="46" t="s">
        <v>7</v>
      </c>
      <c r="G90" s="46" t="s">
        <v>8</v>
      </c>
      <c r="H90" s="46" t="s">
        <v>9</v>
      </c>
      <c r="I90" s="46" t="s">
        <v>10</v>
      </c>
      <c r="J90" s="46" t="s">
        <v>2</v>
      </c>
      <c r="K90" s="46" t="s">
        <v>7</v>
      </c>
      <c r="L90" s="46" t="s">
        <v>8</v>
      </c>
      <c r="M90" s="47" t="s">
        <v>9</v>
      </c>
      <c r="N90" s="46" t="s">
        <v>10</v>
      </c>
      <c r="O90" s="46" t="s">
        <v>2</v>
      </c>
      <c r="P90" s="46" t="s">
        <v>7</v>
      </c>
      <c r="Q90" s="46" t="s">
        <v>8</v>
      </c>
      <c r="R90" s="46" t="s">
        <v>9</v>
      </c>
    </row>
    <row r="91" spans="1:18">
      <c r="A91" s="33" t="s">
        <v>23</v>
      </c>
      <c r="B91" s="73" t="s">
        <v>218</v>
      </c>
      <c r="C91" s="31"/>
      <c r="D91" s="31"/>
      <c r="E91" s="31"/>
      <c r="F91" s="31"/>
      <c r="G91" s="31"/>
      <c r="H91" s="31"/>
      <c r="I91" s="31"/>
      <c r="J91" s="31"/>
      <c r="K91" s="31"/>
      <c r="L91" s="31"/>
      <c r="M91" s="31"/>
      <c r="N91" s="31"/>
      <c r="O91" s="31"/>
      <c r="P91" s="31"/>
      <c r="Q91" s="31"/>
      <c r="R91" s="32"/>
    </row>
    <row r="92" spans="1:18">
      <c r="A92" s="34">
        <f>A72+1</f>
        <v>6</v>
      </c>
      <c r="B92" s="713" t="s">
        <v>219</v>
      </c>
      <c r="C92" s="6" t="s">
        <v>11</v>
      </c>
      <c r="D92" s="4"/>
      <c r="E92" s="6"/>
      <c r="F92" s="29"/>
      <c r="G92" s="26"/>
      <c r="H92" s="26"/>
      <c r="I92" s="6"/>
      <c r="J92" s="6"/>
      <c r="K92" s="29"/>
      <c r="L92" s="26"/>
      <c r="M92" s="26"/>
      <c r="N92" s="6"/>
      <c r="O92" s="6"/>
      <c r="P92" s="29"/>
      <c r="Q92" s="26"/>
      <c r="R92" s="26"/>
    </row>
    <row r="93" spans="1:18">
      <c r="A93" s="2"/>
      <c r="B93" s="714"/>
      <c r="C93" s="6"/>
      <c r="D93" s="4" t="s">
        <v>97</v>
      </c>
      <c r="E93" s="6" t="s">
        <v>81</v>
      </c>
      <c r="F93" s="29">
        <v>1.27</v>
      </c>
      <c r="G93" s="26">
        <f>ur</f>
        <v>850</v>
      </c>
      <c r="H93" s="26">
        <f>F93*G93</f>
        <v>1079.5</v>
      </c>
      <c r="I93" s="7" t="s">
        <v>220</v>
      </c>
      <c r="J93" s="8" t="s">
        <v>213</v>
      </c>
      <c r="K93" s="29">
        <v>1.1000000000000001</v>
      </c>
      <c r="L93" s="28">
        <f>H65</f>
        <v>793</v>
      </c>
      <c r="M93" s="26">
        <f>K93*L93</f>
        <v>872.30000000000007</v>
      </c>
      <c r="N93" s="8" t="s">
        <v>128</v>
      </c>
      <c r="O93" s="6"/>
      <c r="P93" s="29"/>
      <c r="Q93" s="28"/>
      <c r="R93" s="28">
        <f>3%*H98</f>
        <v>32.384999999999998</v>
      </c>
    </row>
    <row r="94" spans="1:18">
      <c r="A94" s="2"/>
      <c r="B94" s="714"/>
      <c r="C94" s="6"/>
      <c r="D94" s="4"/>
      <c r="E94" s="6"/>
      <c r="F94" s="29"/>
      <c r="G94" s="26"/>
      <c r="H94" s="26"/>
      <c r="I94" s="7" t="s">
        <v>214</v>
      </c>
      <c r="J94" s="8" t="s">
        <v>203</v>
      </c>
      <c r="K94" s="29">
        <v>0.08</v>
      </c>
      <c r="L94" s="28">
        <f>diesel</f>
        <v>177.6</v>
      </c>
      <c r="M94" s="26">
        <f>K94*L94</f>
        <v>14.208</v>
      </c>
      <c r="N94" s="8" t="s">
        <v>216</v>
      </c>
      <c r="O94" s="6" t="s">
        <v>101</v>
      </c>
      <c r="P94" s="29">
        <v>1.7000000000000001E-2</v>
      </c>
      <c r="Q94" s="28">
        <f>roller_steel</f>
        <v>551.62</v>
      </c>
      <c r="R94" s="26">
        <f>P94*Q94</f>
        <v>9.3775400000000015</v>
      </c>
    </row>
    <row r="95" spans="1:18">
      <c r="A95" s="2"/>
      <c r="B95" s="714"/>
      <c r="C95" s="6"/>
      <c r="D95" s="4"/>
      <c r="E95" s="6"/>
      <c r="F95" s="29"/>
      <c r="G95" s="26"/>
      <c r="H95" s="26"/>
      <c r="I95" s="7" t="s">
        <v>215</v>
      </c>
      <c r="J95" s="8" t="s">
        <v>203</v>
      </c>
      <c r="K95" s="29">
        <v>50</v>
      </c>
      <c r="L95" s="28"/>
      <c r="M95" s="26">
        <f>K95*L95</f>
        <v>0</v>
      </c>
      <c r="N95" s="8"/>
      <c r="O95" s="6"/>
      <c r="P95" s="29"/>
      <c r="Q95" s="28"/>
      <c r="R95" s="28"/>
    </row>
    <row r="96" spans="1:18">
      <c r="A96" s="2"/>
      <c r="B96" s="714"/>
      <c r="C96" s="6"/>
      <c r="D96" s="4"/>
      <c r="E96" s="6"/>
      <c r="F96" s="29"/>
      <c r="G96" s="26"/>
      <c r="H96" s="26"/>
      <c r="I96" s="7"/>
      <c r="J96" s="8"/>
      <c r="K96" s="29"/>
      <c r="L96" s="28"/>
      <c r="M96" s="28"/>
      <c r="N96" s="8"/>
      <c r="O96" s="6"/>
      <c r="P96" s="29"/>
      <c r="Q96" s="28"/>
      <c r="R96" s="28"/>
    </row>
    <row r="97" spans="1:18">
      <c r="A97" s="2"/>
      <c r="B97" s="84"/>
      <c r="C97" s="6"/>
      <c r="D97" s="4"/>
      <c r="E97" s="9"/>
      <c r="F97" s="30"/>
      <c r="G97" s="27"/>
      <c r="H97" s="27"/>
      <c r="I97" s="9"/>
      <c r="J97" s="10"/>
      <c r="K97" s="30"/>
      <c r="L97" s="28"/>
      <c r="M97" s="28"/>
      <c r="N97" s="8"/>
      <c r="O97" s="6"/>
      <c r="P97" s="30"/>
      <c r="Q97" s="28"/>
      <c r="R97" s="28"/>
    </row>
    <row r="98" spans="1:18">
      <c r="A98" s="2"/>
      <c r="B98" s="11"/>
      <c r="C98" s="6"/>
      <c r="D98" s="12"/>
      <c r="E98" s="59"/>
      <c r="F98" s="13"/>
      <c r="G98" s="13" t="s">
        <v>20</v>
      </c>
      <c r="H98" s="25">
        <f>SUM(H92:H97)</f>
        <v>1079.5</v>
      </c>
      <c r="I98" s="703"/>
      <c r="J98" s="703"/>
      <c r="K98" s="14"/>
      <c r="L98" s="13" t="s">
        <v>21</v>
      </c>
      <c r="M98" s="25">
        <f>SUM(M92:M97)</f>
        <v>886.50800000000004</v>
      </c>
      <c r="N98" s="3"/>
      <c r="O98" s="14"/>
      <c r="P98" s="14"/>
      <c r="Q98" s="13" t="s">
        <v>22</v>
      </c>
      <c r="R98" s="25">
        <f>SUM(R92:R97)</f>
        <v>41.762540000000001</v>
      </c>
    </row>
    <row r="99" spans="1:18">
      <c r="A99" s="2"/>
      <c r="B99" s="16" t="s">
        <v>13</v>
      </c>
      <c r="C99" s="14"/>
      <c r="D99" s="14"/>
      <c r="E99" s="14"/>
      <c r="F99" s="14"/>
      <c r="G99" s="13"/>
      <c r="H99" s="35">
        <f>M98+R98+H98</f>
        <v>2007.77054</v>
      </c>
      <c r="I99" s="17"/>
      <c r="J99" s="14"/>
      <c r="K99" s="14"/>
      <c r="L99" s="13"/>
      <c r="M99" s="15"/>
      <c r="N99" s="14"/>
      <c r="O99" s="14"/>
      <c r="P99" s="14"/>
      <c r="Q99" s="14"/>
      <c r="R99" s="17"/>
    </row>
    <row r="100" spans="1:18">
      <c r="A100" s="2"/>
      <c r="B100" s="11" t="s">
        <v>25</v>
      </c>
      <c r="C100" s="4"/>
      <c r="D100" s="4"/>
      <c r="E100" s="4"/>
      <c r="F100" s="4"/>
      <c r="G100" s="18"/>
      <c r="H100" s="36">
        <v>0</v>
      </c>
      <c r="I100" s="20"/>
      <c r="J100" s="4" t="s">
        <v>26</v>
      </c>
      <c r="K100" s="4"/>
      <c r="L100" s="18"/>
      <c r="M100" s="19"/>
      <c r="N100" s="4"/>
      <c r="O100" s="4"/>
      <c r="P100" s="4"/>
      <c r="Q100" s="4"/>
      <c r="R100" s="20"/>
    </row>
    <row r="101" spans="1:18">
      <c r="A101" s="23"/>
      <c r="B101" s="11" t="s">
        <v>14</v>
      </c>
      <c r="C101" s="4"/>
      <c r="D101" s="4"/>
      <c r="E101" s="4"/>
      <c r="F101" s="4"/>
      <c r="G101" s="18"/>
      <c r="H101" s="36">
        <f>SUM(H99:H100)</f>
        <v>2007.77054</v>
      </c>
      <c r="I101" s="20"/>
      <c r="J101" s="704" t="s">
        <v>217</v>
      </c>
      <c r="K101" s="705"/>
      <c r="L101" s="705"/>
      <c r="M101" s="705"/>
      <c r="N101" s="705"/>
      <c r="O101" s="705"/>
      <c r="P101" s="705"/>
      <c r="Q101" s="705"/>
      <c r="R101" s="706"/>
    </row>
    <row r="102" spans="1:18">
      <c r="A102" s="23"/>
      <c r="B102" s="11" t="s">
        <v>24</v>
      </c>
      <c r="C102" s="4"/>
      <c r="D102" s="4"/>
      <c r="E102" s="4"/>
      <c r="F102" s="4"/>
      <c r="G102" s="18"/>
      <c r="H102" s="36">
        <f>H101*15%</f>
        <v>301.16558099999997</v>
      </c>
      <c r="I102" s="20"/>
      <c r="J102" s="707"/>
      <c r="K102" s="708"/>
      <c r="L102" s="708"/>
      <c r="M102" s="708"/>
      <c r="N102" s="708"/>
      <c r="O102" s="708"/>
      <c r="P102" s="708"/>
      <c r="Q102" s="708"/>
      <c r="R102" s="709"/>
    </row>
    <row r="103" spans="1:18">
      <c r="A103" s="23"/>
      <c r="B103" s="11" t="s">
        <v>15</v>
      </c>
      <c r="C103" s="4"/>
      <c r="D103" s="4"/>
      <c r="E103" s="4"/>
      <c r="F103" s="4"/>
      <c r="G103" s="21" t="s">
        <v>16</v>
      </c>
      <c r="H103" s="37">
        <f>H102+H101</f>
        <v>2308.9361209999997</v>
      </c>
      <c r="I103" s="38" t="str">
        <f>CONCATENATE("per ",C92)</f>
        <v>per cum</v>
      </c>
      <c r="J103" s="707"/>
      <c r="K103" s="708"/>
      <c r="L103" s="708"/>
      <c r="M103" s="708"/>
      <c r="N103" s="708"/>
      <c r="O103" s="708"/>
      <c r="P103" s="708"/>
      <c r="Q103" s="708"/>
      <c r="R103" s="709"/>
    </row>
    <row r="104" spans="1:18">
      <c r="A104" s="23"/>
      <c r="B104" s="11" t="s">
        <v>18</v>
      </c>
      <c r="C104" s="4" t="s">
        <v>19</v>
      </c>
      <c r="D104" s="4"/>
      <c r="E104" s="4"/>
      <c r="F104" s="4"/>
      <c r="G104" s="21" t="s">
        <v>16</v>
      </c>
      <c r="H104" s="37">
        <f>CEILING(H103,0.5)</f>
        <v>2309</v>
      </c>
      <c r="I104" s="38" t="str">
        <f>CONCATENATE("per ",C92)</f>
        <v>per cum</v>
      </c>
      <c r="J104" s="707"/>
      <c r="K104" s="708"/>
      <c r="L104" s="708"/>
      <c r="M104" s="708"/>
      <c r="N104" s="708"/>
      <c r="O104" s="708"/>
      <c r="P104" s="708"/>
      <c r="Q104" s="708"/>
      <c r="R104" s="709"/>
    </row>
    <row r="105" spans="1:18">
      <c r="A105" s="23"/>
      <c r="B105" s="11"/>
      <c r="C105" s="4"/>
      <c r="D105" s="4"/>
      <c r="E105" s="4"/>
      <c r="F105" s="4"/>
      <c r="G105" s="24" t="s">
        <v>17</v>
      </c>
      <c r="H105" s="37">
        <f>H104/exr</f>
        <v>17.761538461538461</v>
      </c>
      <c r="I105" s="38" t="str">
        <f>CONCATENATE("per ",C92)</f>
        <v>per cum</v>
      </c>
      <c r="J105" s="710"/>
      <c r="K105" s="711"/>
      <c r="L105" s="711"/>
      <c r="M105" s="711"/>
      <c r="N105" s="711"/>
      <c r="O105" s="711"/>
      <c r="P105" s="711"/>
      <c r="Q105" s="711"/>
      <c r="R105" s="712"/>
    </row>
    <row r="106" spans="1:18">
      <c r="A106" s="39"/>
      <c r="B106" s="40"/>
      <c r="C106" s="41"/>
      <c r="D106" s="41"/>
      <c r="E106" s="41"/>
      <c r="F106" s="41"/>
      <c r="G106" s="149" t="s">
        <v>460</v>
      </c>
      <c r="H106" s="150">
        <f>CEILING(SUM(M93,M94,R94)/H99,0.0025)</f>
        <v>0.44750000000000001</v>
      </c>
      <c r="I106" s="42"/>
      <c r="J106" s="43"/>
      <c r="K106" s="43"/>
      <c r="L106" s="43"/>
      <c r="M106" s="43"/>
      <c r="N106" s="43"/>
      <c r="O106" s="43"/>
      <c r="P106" s="43"/>
      <c r="Q106" s="43"/>
      <c r="R106" s="44"/>
    </row>
    <row r="108" spans="1:18">
      <c r="A108" s="693" t="s">
        <v>0</v>
      </c>
      <c r="B108" s="695" t="s">
        <v>1</v>
      </c>
      <c r="C108" s="695" t="s">
        <v>2</v>
      </c>
      <c r="D108" s="697" t="s">
        <v>3</v>
      </c>
      <c r="E108" s="698"/>
      <c r="F108" s="698"/>
      <c r="G108" s="698"/>
      <c r="H108" s="698"/>
      <c r="I108" s="699" t="s">
        <v>4</v>
      </c>
      <c r="J108" s="700"/>
      <c r="K108" s="700"/>
      <c r="L108" s="700"/>
      <c r="M108" s="700"/>
      <c r="N108" s="698" t="s">
        <v>5</v>
      </c>
      <c r="O108" s="698"/>
      <c r="P108" s="698"/>
      <c r="Q108" s="698"/>
      <c r="R108" s="698"/>
    </row>
    <row r="109" spans="1:18">
      <c r="A109" s="694"/>
      <c r="B109" s="696"/>
      <c r="C109" s="696"/>
      <c r="D109" s="45" t="s">
        <v>6</v>
      </c>
      <c r="E109" s="46" t="s">
        <v>2</v>
      </c>
      <c r="F109" s="46" t="s">
        <v>7</v>
      </c>
      <c r="G109" s="46" t="s">
        <v>8</v>
      </c>
      <c r="H109" s="46" t="s">
        <v>9</v>
      </c>
      <c r="I109" s="46" t="s">
        <v>10</v>
      </c>
      <c r="J109" s="46" t="s">
        <v>2</v>
      </c>
      <c r="K109" s="46" t="s">
        <v>7</v>
      </c>
      <c r="L109" s="46" t="s">
        <v>8</v>
      </c>
      <c r="M109" s="47" t="s">
        <v>9</v>
      </c>
      <c r="N109" s="46" t="s">
        <v>10</v>
      </c>
      <c r="O109" s="46" t="s">
        <v>2</v>
      </c>
      <c r="P109" s="46" t="s">
        <v>7</v>
      </c>
      <c r="Q109" s="46" t="s">
        <v>8</v>
      </c>
      <c r="R109" s="46" t="s">
        <v>9</v>
      </c>
    </row>
    <row r="110" spans="1:18">
      <c r="A110" s="33" t="s">
        <v>23</v>
      </c>
      <c r="B110" s="73" t="s">
        <v>222</v>
      </c>
      <c r="C110" s="31"/>
      <c r="D110" s="31"/>
      <c r="E110" s="31"/>
      <c r="F110" s="31"/>
      <c r="G110" s="31"/>
      <c r="H110" s="31"/>
      <c r="I110" s="31"/>
      <c r="J110" s="31"/>
      <c r="K110" s="31"/>
      <c r="L110" s="31"/>
      <c r="M110" s="31"/>
      <c r="N110" s="31"/>
      <c r="O110" s="31"/>
      <c r="P110" s="31"/>
      <c r="Q110" s="31"/>
      <c r="R110" s="32"/>
    </row>
    <row r="111" spans="1:18">
      <c r="A111" s="34">
        <f>A92+1</f>
        <v>7</v>
      </c>
      <c r="B111" s="713" t="s">
        <v>221</v>
      </c>
      <c r="C111" s="6" t="s">
        <v>11</v>
      </c>
      <c r="D111" s="4"/>
      <c r="E111" s="6"/>
      <c r="F111" s="29"/>
      <c r="G111" s="26"/>
      <c r="H111" s="26"/>
      <c r="I111" s="6"/>
      <c r="J111" s="6"/>
      <c r="K111" s="29"/>
      <c r="L111" s="26"/>
      <c r="M111" s="26"/>
      <c r="N111" s="6"/>
      <c r="O111" s="6"/>
      <c r="P111" s="29"/>
      <c r="Q111" s="26"/>
      <c r="R111" s="26"/>
    </row>
    <row r="112" spans="1:18">
      <c r="A112" s="2"/>
      <c r="B112" s="714"/>
      <c r="C112" s="6"/>
      <c r="D112" s="4" t="s">
        <v>97</v>
      </c>
      <c r="E112" s="6" t="s">
        <v>81</v>
      </c>
      <c r="F112" s="29">
        <v>0.5</v>
      </c>
      <c r="G112" s="26">
        <f>ur</f>
        <v>850</v>
      </c>
      <c r="H112" s="26">
        <f>F112*G112</f>
        <v>425</v>
      </c>
      <c r="I112" s="7"/>
      <c r="J112" s="8"/>
      <c r="K112" s="29"/>
      <c r="L112" s="28"/>
      <c r="M112" s="26"/>
      <c r="N112" s="8" t="s">
        <v>128</v>
      </c>
      <c r="O112" s="6"/>
      <c r="P112" s="29"/>
      <c r="Q112" s="28"/>
      <c r="R112" s="28">
        <f>3%*H116</f>
        <v>12.75</v>
      </c>
    </row>
    <row r="113" spans="1:18">
      <c r="A113" s="2"/>
      <c r="B113" s="714"/>
      <c r="C113" s="6"/>
      <c r="D113" s="4"/>
      <c r="E113" s="6"/>
      <c r="F113" s="29"/>
      <c r="G113" s="26"/>
      <c r="H113" s="26"/>
      <c r="I113" s="7"/>
      <c r="J113" s="8"/>
      <c r="K113" s="29"/>
      <c r="L113" s="28"/>
      <c r="M113" s="26"/>
      <c r="N113" s="8"/>
      <c r="O113" s="6"/>
      <c r="P113" s="29"/>
      <c r="Q113" s="28"/>
      <c r="R113" s="26"/>
    </row>
    <row r="114" spans="1:18">
      <c r="A114" s="2"/>
      <c r="B114" s="714"/>
      <c r="C114" s="6"/>
      <c r="D114" s="4"/>
      <c r="E114" s="6"/>
      <c r="F114" s="29"/>
      <c r="G114" s="26"/>
      <c r="H114" s="26"/>
      <c r="I114" s="7"/>
      <c r="J114" s="8"/>
      <c r="K114" s="29"/>
      <c r="L114" s="28"/>
      <c r="M114" s="26"/>
      <c r="N114" s="8"/>
      <c r="O114" s="6"/>
      <c r="P114" s="29"/>
      <c r="Q114" s="28"/>
      <c r="R114" s="28"/>
    </row>
    <row r="115" spans="1:18">
      <c r="A115" s="2"/>
      <c r="B115" s="84"/>
      <c r="C115" s="6"/>
      <c r="D115" s="4"/>
      <c r="E115" s="9"/>
      <c r="F115" s="30"/>
      <c r="G115" s="27"/>
      <c r="H115" s="27"/>
      <c r="I115" s="9"/>
      <c r="J115" s="10"/>
      <c r="K115" s="30"/>
      <c r="L115" s="28"/>
      <c r="M115" s="28"/>
      <c r="N115" s="8"/>
      <c r="O115" s="6"/>
      <c r="P115" s="30"/>
      <c r="Q115" s="28"/>
      <c r="R115" s="28"/>
    </row>
    <row r="116" spans="1:18">
      <c r="A116" s="2"/>
      <c r="B116" s="11"/>
      <c r="C116" s="6"/>
      <c r="D116" s="12"/>
      <c r="E116" s="59"/>
      <c r="F116" s="13"/>
      <c r="G116" s="13" t="s">
        <v>20</v>
      </c>
      <c r="H116" s="25">
        <f>SUM(H111:H115)</f>
        <v>425</v>
      </c>
      <c r="I116" s="703"/>
      <c r="J116" s="703"/>
      <c r="K116" s="14"/>
      <c r="L116" s="13" t="s">
        <v>21</v>
      </c>
      <c r="M116" s="25">
        <f>SUM(M111:M115)</f>
        <v>0</v>
      </c>
      <c r="N116" s="3"/>
      <c r="O116" s="14"/>
      <c r="P116" s="14"/>
      <c r="Q116" s="13" t="s">
        <v>22</v>
      </c>
      <c r="R116" s="25">
        <f>SUM(R111:R115)</f>
        <v>12.75</v>
      </c>
    </row>
    <row r="117" spans="1:18">
      <c r="A117" s="2"/>
      <c r="B117" s="16" t="s">
        <v>13</v>
      </c>
      <c r="C117" s="14"/>
      <c r="D117" s="14"/>
      <c r="E117" s="14"/>
      <c r="F117" s="14"/>
      <c r="G117" s="13"/>
      <c r="H117" s="35">
        <f>M116+R116+H116</f>
        <v>437.75</v>
      </c>
      <c r="I117" s="17"/>
      <c r="J117" s="14"/>
      <c r="K117" s="14"/>
      <c r="L117" s="13"/>
      <c r="M117" s="15"/>
      <c r="N117" s="14"/>
      <c r="O117" s="14"/>
      <c r="P117" s="14"/>
      <c r="Q117" s="14"/>
      <c r="R117" s="17"/>
    </row>
    <row r="118" spans="1:18">
      <c r="A118" s="2"/>
      <c r="B118" s="11" t="s">
        <v>25</v>
      </c>
      <c r="C118" s="4"/>
      <c r="D118" s="4"/>
      <c r="E118" s="4"/>
      <c r="F118" s="4"/>
      <c r="G118" s="18"/>
      <c r="H118" s="36">
        <v>0</v>
      </c>
      <c r="I118" s="20"/>
      <c r="J118" s="4" t="s">
        <v>26</v>
      </c>
      <c r="K118" s="4"/>
      <c r="L118" s="18"/>
      <c r="M118" s="19"/>
      <c r="N118" s="4"/>
      <c r="O118" s="4"/>
      <c r="P118" s="4"/>
      <c r="Q118" s="4"/>
      <c r="R118" s="20"/>
    </row>
    <row r="119" spans="1:18">
      <c r="A119" s="23"/>
      <c r="B119" s="11" t="s">
        <v>14</v>
      </c>
      <c r="C119" s="4"/>
      <c r="D119" s="4"/>
      <c r="E119" s="4"/>
      <c r="F119" s="4"/>
      <c r="G119" s="18"/>
      <c r="H119" s="36">
        <f>SUM(H117:H118)</f>
        <v>437.75</v>
      </c>
      <c r="I119" s="20"/>
      <c r="J119" s="704"/>
      <c r="K119" s="705"/>
      <c r="L119" s="705"/>
      <c r="M119" s="705"/>
      <c r="N119" s="705"/>
      <c r="O119" s="705"/>
      <c r="P119" s="705"/>
      <c r="Q119" s="705"/>
      <c r="R119" s="706"/>
    </row>
    <row r="120" spans="1:18">
      <c r="A120" s="23"/>
      <c r="B120" s="11" t="s">
        <v>24</v>
      </c>
      <c r="C120" s="4"/>
      <c r="D120" s="4"/>
      <c r="E120" s="4"/>
      <c r="F120" s="4"/>
      <c r="G120" s="18"/>
      <c r="H120" s="36">
        <f>H119*15%</f>
        <v>65.662499999999994</v>
      </c>
      <c r="I120" s="20"/>
      <c r="J120" s="707"/>
      <c r="K120" s="708"/>
      <c r="L120" s="708"/>
      <c r="M120" s="708"/>
      <c r="N120" s="708"/>
      <c r="O120" s="708"/>
      <c r="P120" s="708"/>
      <c r="Q120" s="708"/>
      <c r="R120" s="709"/>
    </row>
    <row r="121" spans="1:18">
      <c r="A121" s="23"/>
      <c r="B121" s="11" t="s">
        <v>15</v>
      </c>
      <c r="C121" s="4"/>
      <c r="D121" s="4"/>
      <c r="E121" s="4"/>
      <c r="F121" s="4"/>
      <c r="G121" s="21" t="s">
        <v>16</v>
      </c>
      <c r="H121" s="37">
        <f>H120+H119</f>
        <v>503.41250000000002</v>
      </c>
      <c r="I121" s="38" t="str">
        <f>CONCATENATE("per ",C111)</f>
        <v>per cum</v>
      </c>
      <c r="J121" s="707"/>
      <c r="K121" s="708"/>
      <c r="L121" s="708"/>
      <c r="M121" s="708"/>
      <c r="N121" s="708"/>
      <c r="O121" s="708"/>
      <c r="P121" s="708"/>
      <c r="Q121" s="708"/>
      <c r="R121" s="709"/>
    </row>
    <row r="122" spans="1:18">
      <c r="A122" s="23"/>
      <c r="B122" s="11" t="s">
        <v>18</v>
      </c>
      <c r="C122" s="4" t="s">
        <v>19</v>
      </c>
      <c r="D122" s="4"/>
      <c r="E122" s="4"/>
      <c r="F122" s="4"/>
      <c r="G122" s="21" t="s">
        <v>16</v>
      </c>
      <c r="H122" s="37">
        <f>CEILING(H121,0.5)</f>
        <v>503.5</v>
      </c>
      <c r="I122" s="38" t="str">
        <f>CONCATENATE("per ",C111)</f>
        <v>per cum</v>
      </c>
      <c r="J122" s="707"/>
      <c r="K122" s="708"/>
      <c r="L122" s="708"/>
      <c r="M122" s="708"/>
      <c r="N122" s="708"/>
      <c r="O122" s="708"/>
      <c r="P122" s="708"/>
      <c r="Q122" s="708"/>
      <c r="R122" s="709"/>
    </row>
    <row r="123" spans="1:18">
      <c r="A123" s="23"/>
      <c r="B123" s="11"/>
      <c r="C123" s="4"/>
      <c r="D123" s="4"/>
      <c r="E123" s="4"/>
      <c r="F123" s="4"/>
      <c r="G123" s="24" t="s">
        <v>17</v>
      </c>
      <c r="H123" s="37">
        <f>H122/exr</f>
        <v>3.8730769230769231</v>
      </c>
      <c r="I123" s="38" t="str">
        <f>CONCATENATE("per ",C111)</f>
        <v>per cum</v>
      </c>
      <c r="J123" s="710"/>
      <c r="K123" s="711"/>
      <c r="L123" s="711"/>
      <c r="M123" s="711"/>
      <c r="N123" s="711"/>
      <c r="O123" s="711"/>
      <c r="P123" s="711"/>
      <c r="Q123" s="711"/>
      <c r="R123" s="712"/>
    </row>
    <row r="124" spans="1:18">
      <c r="A124" s="39"/>
      <c r="B124" s="40"/>
      <c r="C124" s="41"/>
      <c r="D124" s="41"/>
      <c r="E124" s="41"/>
      <c r="F124" s="41"/>
      <c r="G124" s="149" t="s">
        <v>460</v>
      </c>
      <c r="H124" s="150">
        <f>CEILING(0,0.0025)</f>
        <v>0</v>
      </c>
      <c r="I124" s="42"/>
      <c r="J124" s="43"/>
      <c r="K124" s="43"/>
      <c r="L124" s="43"/>
      <c r="M124" s="43"/>
      <c r="N124" s="43"/>
      <c r="O124" s="43"/>
      <c r="P124" s="43"/>
      <c r="Q124" s="43"/>
      <c r="R124" s="44"/>
    </row>
    <row r="126" spans="1:18">
      <c r="A126" s="693" t="s">
        <v>0</v>
      </c>
      <c r="B126" s="695" t="s">
        <v>1</v>
      </c>
      <c r="C126" s="695" t="s">
        <v>2</v>
      </c>
      <c r="D126" s="697" t="s">
        <v>3</v>
      </c>
      <c r="E126" s="698"/>
      <c r="F126" s="698"/>
      <c r="G126" s="698"/>
      <c r="H126" s="698"/>
      <c r="I126" s="699" t="s">
        <v>4</v>
      </c>
      <c r="J126" s="700"/>
      <c r="K126" s="700"/>
      <c r="L126" s="700"/>
      <c r="M126" s="700"/>
      <c r="N126" s="698" t="s">
        <v>5</v>
      </c>
      <c r="O126" s="698"/>
      <c r="P126" s="698"/>
      <c r="Q126" s="698"/>
      <c r="R126" s="698"/>
    </row>
    <row r="127" spans="1:18">
      <c r="A127" s="694"/>
      <c r="B127" s="696"/>
      <c r="C127" s="696"/>
      <c r="D127" s="45" t="s">
        <v>6</v>
      </c>
      <c r="E127" s="46" t="s">
        <v>2</v>
      </c>
      <c r="F127" s="46" t="s">
        <v>7</v>
      </c>
      <c r="G127" s="46" t="s">
        <v>8</v>
      </c>
      <c r="H127" s="46" t="s">
        <v>9</v>
      </c>
      <c r="I127" s="46" t="s">
        <v>10</v>
      </c>
      <c r="J127" s="46" t="s">
        <v>2</v>
      </c>
      <c r="K127" s="46" t="s">
        <v>7</v>
      </c>
      <c r="L127" s="46" t="s">
        <v>8</v>
      </c>
      <c r="M127" s="47" t="s">
        <v>9</v>
      </c>
      <c r="N127" s="46" t="s">
        <v>10</v>
      </c>
      <c r="O127" s="46" t="s">
        <v>2</v>
      </c>
      <c r="P127" s="46" t="s">
        <v>7</v>
      </c>
      <c r="Q127" s="46" t="s">
        <v>8</v>
      </c>
      <c r="R127" s="46" t="s">
        <v>9</v>
      </c>
    </row>
    <row r="128" spans="1:18">
      <c r="A128" s="33" t="s">
        <v>23</v>
      </c>
      <c r="B128" s="73" t="s">
        <v>223</v>
      </c>
      <c r="C128" s="31"/>
      <c r="D128" s="31"/>
      <c r="E128" s="31"/>
      <c r="F128" s="31"/>
      <c r="G128" s="31"/>
      <c r="H128" s="31"/>
      <c r="I128" s="31"/>
      <c r="J128" s="31"/>
      <c r="K128" s="31"/>
      <c r="L128" s="31"/>
      <c r="M128" s="31"/>
      <c r="N128" s="31"/>
      <c r="O128" s="31"/>
      <c r="P128" s="31"/>
      <c r="Q128" s="31"/>
      <c r="R128" s="32"/>
    </row>
    <row r="129" spans="1:18">
      <c r="A129" s="34">
        <f>A111+1</f>
        <v>8</v>
      </c>
      <c r="B129" s="713" t="s">
        <v>224</v>
      </c>
      <c r="C129" s="6" t="s">
        <v>11</v>
      </c>
      <c r="D129" s="4"/>
      <c r="E129" s="6"/>
      <c r="F129" s="29"/>
      <c r="G129" s="26"/>
      <c r="H129" s="26"/>
      <c r="I129" s="6"/>
      <c r="J129" s="6"/>
      <c r="K129" s="29"/>
      <c r="L129" s="26"/>
      <c r="M129" s="26"/>
      <c r="N129" s="6"/>
      <c r="O129" s="6"/>
      <c r="P129" s="29"/>
      <c r="Q129" s="26"/>
      <c r="R129" s="26"/>
    </row>
    <row r="130" spans="1:18">
      <c r="A130" s="2"/>
      <c r="B130" s="714"/>
      <c r="C130" s="6"/>
      <c r="D130" s="4" t="s">
        <v>97</v>
      </c>
      <c r="E130" s="6" t="s">
        <v>81</v>
      </c>
      <c r="F130" s="29">
        <v>0.8</v>
      </c>
      <c r="G130" s="26">
        <f>ur</f>
        <v>850</v>
      </c>
      <c r="H130" s="26">
        <f>F130*G130</f>
        <v>680</v>
      </c>
      <c r="I130" s="7" t="s">
        <v>225</v>
      </c>
      <c r="J130" s="8" t="s">
        <v>11</v>
      </c>
      <c r="K130" s="29">
        <v>1.1000000000000001</v>
      </c>
      <c r="L130" s="28">
        <f>filter</f>
        <v>1100</v>
      </c>
      <c r="M130" s="26">
        <f>K130*L130</f>
        <v>1210</v>
      </c>
      <c r="N130" s="8"/>
      <c r="O130" s="6"/>
      <c r="P130" s="29"/>
      <c r="Q130" s="28"/>
      <c r="R130" s="28"/>
    </row>
    <row r="131" spans="1:18">
      <c r="A131" s="2"/>
      <c r="B131" s="714"/>
      <c r="C131" s="6"/>
      <c r="D131" s="4"/>
      <c r="E131" s="6"/>
      <c r="F131" s="29"/>
      <c r="G131" s="26"/>
      <c r="H131" s="26"/>
      <c r="I131" s="7"/>
      <c r="J131" s="8"/>
      <c r="K131" s="29"/>
      <c r="L131" s="28"/>
      <c r="M131" s="26"/>
      <c r="N131" s="8"/>
      <c r="O131" s="6"/>
      <c r="P131" s="29"/>
      <c r="Q131" s="28"/>
      <c r="R131" s="26"/>
    </row>
    <row r="132" spans="1:18">
      <c r="A132" s="2"/>
      <c r="B132" s="714"/>
      <c r="C132" s="6"/>
      <c r="D132" s="4"/>
      <c r="E132" s="6"/>
      <c r="F132" s="29"/>
      <c r="G132" s="26"/>
      <c r="H132" s="26"/>
      <c r="I132" s="7"/>
      <c r="J132" s="8"/>
      <c r="K132" s="29"/>
      <c r="L132" s="28"/>
      <c r="M132" s="26"/>
      <c r="N132" s="8"/>
      <c r="O132" s="6"/>
      <c r="P132" s="29"/>
      <c r="Q132" s="28"/>
      <c r="R132" s="28"/>
    </row>
    <row r="133" spans="1:18">
      <c r="A133" s="2"/>
      <c r="B133" s="84"/>
      <c r="C133" s="6"/>
      <c r="D133" s="4"/>
      <c r="E133" s="9"/>
      <c r="F133" s="30"/>
      <c r="G133" s="27"/>
      <c r="H133" s="27"/>
      <c r="I133" s="9"/>
      <c r="J133" s="10"/>
      <c r="K133" s="30"/>
      <c r="L133" s="28"/>
      <c r="M133" s="28"/>
      <c r="N133" s="8"/>
      <c r="O133" s="6"/>
      <c r="P133" s="30"/>
      <c r="Q133" s="28"/>
      <c r="R133" s="28"/>
    </row>
    <row r="134" spans="1:18">
      <c r="A134" s="2"/>
      <c r="B134" s="11"/>
      <c r="C134" s="6"/>
      <c r="D134" s="12"/>
      <c r="E134" s="59"/>
      <c r="F134" s="13"/>
      <c r="G134" s="13" t="s">
        <v>20</v>
      </c>
      <c r="H134" s="25">
        <f>SUM(H129:H133)</f>
        <v>680</v>
      </c>
      <c r="I134" s="703"/>
      <c r="J134" s="703"/>
      <c r="K134" s="14"/>
      <c r="L134" s="13" t="s">
        <v>21</v>
      </c>
      <c r="M134" s="25">
        <f>SUM(M129:M133)</f>
        <v>1210</v>
      </c>
      <c r="N134" s="3"/>
      <c r="O134" s="14"/>
      <c r="P134" s="14"/>
      <c r="Q134" s="13" t="s">
        <v>22</v>
      </c>
      <c r="R134" s="25">
        <f>SUM(R129:R133)</f>
        <v>0</v>
      </c>
    </row>
    <row r="135" spans="1:18">
      <c r="A135" s="2"/>
      <c r="B135" s="16" t="s">
        <v>13</v>
      </c>
      <c r="C135" s="14"/>
      <c r="D135" s="14"/>
      <c r="E135" s="14"/>
      <c r="F135" s="14"/>
      <c r="G135" s="13"/>
      <c r="H135" s="35">
        <f>M134+R134+H134</f>
        <v>1890</v>
      </c>
      <c r="I135" s="17"/>
      <c r="J135" s="14"/>
      <c r="K135" s="14"/>
      <c r="L135" s="13"/>
      <c r="M135" s="15"/>
      <c r="N135" s="14"/>
      <c r="O135" s="14"/>
      <c r="P135" s="14"/>
      <c r="Q135" s="14"/>
      <c r="R135" s="17"/>
    </row>
    <row r="136" spans="1:18">
      <c r="A136" s="2"/>
      <c r="B136" s="11" t="s">
        <v>25</v>
      </c>
      <c r="C136" s="4"/>
      <c r="D136" s="4"/>
      <c r="E136" s="4"/>
      <c r="F136" s="4"/>
      <c r="G136" s="18"/>
      <c r="H136" s="36">
        <v>0</v>
      </c>
      <c r="I136" s="20"/>
      <c r="J136" s="4" t="s">
        <v>26</v>
      </c>
      <c r="K136" s="4"/>
      <c r="L136" s="18"/>
      <c r="M136" s="19"/>
      <c r="N136" s="4"/>
      <c r="O136" s="4"/>
      <c r="P136" s="4"/>
      <c r="Q136" s="4"/>
      <c r="R136" s="20"/>
    </row>
    <row r="137" spans="1:18">
      <c r="A137" s="23"/>
      <c r="B137" s="11" t="s">
        <v>14</v>
      </c>
      <c r="C137" s="4"/>
      <c r="D137" s="4"/>
      <c r="E137" s="4"/>
      <c r="F137" s="4"/>
      <c r="G137" s="18"/>
      <c r="H137" s="36">
        <f>SUM(H135:H136)</f>
        <v>1890</v>
      </c>
      <c r="I137" s="20"/>
      <c r="J137" s="704"/>
      <c r="K137" s="705"/>
      <c r="L137" s="705"/>
      <c r="M137" s="705"/>
      <c r="N137" s="705"/>
      <c r="O137" s="705"/>
      <c r="P137" s="705"/>
      <c r="Q137" s="705"/>
      <c r="R137" s="706"/>
    </row>
    <row r="138" spans="1:18">
      <c r="A138" s="23"/>
      <c r="B138" s="11" t="s">
        <v>24</v>
      </c>
      <c r="C138" s="4"/>
      <c r="D138" s="4"/>
      <c r="E138" s="4"/>
      <c r="F138" s="4"/>
      <c r="G138" s="18"/>
      <c r="H138" s="36">
        <f>H137*15%</f>
        <v>283.5</v>
      </c>
      <c r="I138" s="20"/>
      <c r="J138" s="707"/>
      <c r="K138" s="708"/>
      <c r="L138" s="708"/>
      <c r="M138" s="708"/>
      <c r="N138" s="708"/>
      <c r="O138" s="708"/>
      <c r="P138" s="708"/>
      <c r="Q138" s="708"/>
      <c r="R138" s="709"/>
    </row>
    <row r="139" spans="1:18">
      <c r="A139" s="23"/>
      <c r="B139" s="11" t="s">
        <v>15</v>
      </c>
      <c r="C139" s="4"/>
      <c r="D139" s="4"/>
      <c r="E139" s="4"/>
      <c r="F139" s="4"/>
      <c r="G139" s="21" t="s">
        <v>16</v>
      </c>
      <c r="H139" s="37">
        <f>H138+H137</f>
        <v>2173.5</v>
      </c>
      <c r="I139" s="38" t="str">
        <f>CONCATENATE("per ",C129)</f>
        <v>per cum</v>
      </c>
      <c r="J139" s="707"/>
      <c r="K139" s="708"/>
      <c r="L139" s="708"/>
      <c r="M139" s="708"/>
      <c r="N139" s="708"/>
      <c r="O139" s="708"/>
      <c r="P139" s="708"/>
      <c r="Q139" s="708"/>
      <c r="R139" s="709"/>
    </row>
    <row r="140" spans="1:18">
      <c r="A140" s="23"/>
      <c r="B140" s="11" t="s">
        <v>18</v>
      </c>
      <c r="C140" s="4" t="s">
        <v>19</v>
      </c>
      <c r="D140" s="4"/>
      <c r="E140" s="4"/>
      <c r="F140" s="4"/>
      <c r="G140" s="21" t="s">
        <v>16</v>
      </c>
      <c r="H140" s="37">
        <f>CEILING(H139,0.5)</f>
        <v>2173.5</v>
      </c>
      <c r="I140" s="38" t="str">
        <f>CONCATENATE("per ",C129)</f>
        <v>per cum</v>
      </c>
      <c r="J140" s="707"/>
      <c r="K140" s="708"/>
      <c r="L140" s="708"/>
      <c r="M140" s="708"/>
      <c r="N140" s="708"/>
      <c r="O140" s="708"/>
      <c r="P140" s="708"/>
      <c r="Q140" s="708"/>
      <c r="R140" s="709"/>
    </row>
    <row r="141" spans="1:18">
      <c r="A141" s="23"/>
      <c r="B141" s="11"/>
      <c r="C141" s="4"/>
      <c r="D141" s="4"/>
      <c r="E141" s="4"/>
      <c r="F141" s="4"/>
      <c r="G141" s="24" t="s">
        <v>17</v>
      </c>
      <c r="H141" s="37">
        <f>H140/exr</f>
        <v>16.719230769230769</v>
      </c>
      <c r="I141" s="38" t="str">
        <f>CONCATENATE("per ",C129)</f>
        <v>per cum</v>
      </c>
      <c r="J141" s="710"/>
      <c r="K141" s="711"/>
      <c r="L141" s="711"/>
      <c r="M141" s="711"/>
      <c r="N141" s="711"/>
      <c r="O141" s="711"/>
      <c r="P141" s="711"/>
      <c r="Q141" s="711"/>
      <c r="R141" s="712"/>
    </row>
    <row r="142" spans="1:18">
      <c r="A142" s="39"/>
      <c r="B142" s="40"/>
      <c r="C142" s="41"/>
      <c r="D142" s="41"/>
      <c r="E142" s="41"/>
      <c r="F142" s="41"/>
      <c r="G142" s="149" t="s">
        <v>460</v>
      </c>
      <c r="H142" s="150">
        <f>CEILING(0,0.0025)</f>
        <v>0</v>
      </c>
      <c r="I142" s="42"/>
      <c r="J142" s="43"/>
      <c r="K142" s="43"/>
      <c r="L142" s="43"/>
      <c r="M142" s="43"/>
      <c r="N142" s="43"/>
      <c r="O142" s="43"/>
      <c r="P142" s="43"/>
      <c r="Q142" s="43"/>
      <c r="R142" s="44"/>
    </row>
    <row r="144" spans="1:18">
      <c r="A144" s="693" t="s">
        <v>0</v>
      </c>
      <c r="B144" s="695" t="s">
        <v>1</v>
      </c>
      <c r="C144" s="695" t="s">
        <v>2</v>
      </c>
      <c r="D144" s="697" t="s">
        <v>3</v>
      </c>
      <c r="E144" s="698"/>
      <c r="F144" s="698"/>
      <c r="G144" s="698"/>
      <c r="H144" s="698"/>
      <c r="I144" s="699" t="s">
        <v>4</v>
      </c>
      <c r="J144" s="700"/>
      <c r="K144" s="700"/>
      <c r="L144" s="700"/>
      <c r="M144" s="700"/>
      <c r="N144" s="698" t="s">
        <v>5</v>
      </c>
      <c r="O144" s="698"/>
      <c r="P144" s="698"/>
      <c r="Q144" s="698"/>
      <c r="R144" s="698"/>
    </row>
    <row r="145" spans="1:18">
      <c r="A145" s="694"/>
      <c r="B145" s="696"/>
      <c r="C145" s="696"/>
      <c r="D145" s="45" t="s">
        <v>6</v>
      </c>
      <c r="E145" s="46" t="s">
        <v>2</v>
      </c>
      <c r="F145" s="46" t="s">
        <v>7</v>
      </c>
      <c r="G145" s="46" t="s">
        <v>8</v>
      </c>
      <c r="H145" s="46" t="s">
        <v>9</v>
      </c>
      <c r="I145" s="46" t="s">
        <v>10</v>
      </c>
      <c r="J145" s="46" t="s">
        <v>2</v>
      </c>
      <c r="K145" s="46" t="s">
        <v>7</v>
      </c>
      <c r="L145" s="46" t="s">
        <v>8</v>
      </c>
      <c r="M145" s="47" t="s">
        <v>9</v>
      </c>
      <c r="N145" s="46" t="s">
        <v>10</v>
      </c>
      <c r="O145" s="46" t="s">
        <v>2</v>
      </c>
      <c r="P145" s="46" t="s">
        <v>7</v>
      </c>
      <c r="Q145" s="46" t="s">
        <v>8</v>
      </c>
      <c r="R145" s="46" t="s">
        <v>9</v>
      </c>
    </row>
    <row r="146" spans="1:18">
      <c r="A146" s="33" t="s">
        <v>23</v>
      </c>
      <c r="B146" s="73" t="s">
        <v>223</v>
      </c>
      <c r="C146" s="31"/>
      <c r="D146" s="31"/>
      <c r="E146" s="31"/>
      <c r="F146" s="31"/>
      <c r="G146" s="31"/>
      <c r="H146" s="31"/>
      <c r="I146" s="31"/>
      <c r="J146" s="31"/>
      <c r="K146" s="31"/>
      <c r="L146" s="31"/>
      <c r="M146" s="31"/>
      <c r="N146" s="31"/>
      <c r="O146" s="31"/>
      <c r="P146" s="31"/>
      <c r="Q146" s="31"/>
      <c r="R146" s="32"/>
    </row>
    <row r="147" spans="1:18">
      <c r="A147" s="34">
        <f>A129+1</f>
        <v>9</v>
      </c>
      <c r="B147" s="713" t="s">
        <v>867</v>
      </c>
      <c r="C147" s="6" t="s">
        <v>11</v>
      </c>
      <c r="D147" s="4"/>
      <c r="E147" s="6"/>
      <c r="F147" s="29"/>
      <c r="G147" s="26"/>
      <c r="H147" s="26"/>
      <c r="I147" s="6"/>
      <c r="J147" s="6"/>
      <c r="K147" s="29"/>
      <c r="L147" s="26"/>
      <c r="M147" s="26"/>
      <c r="N147" s="6"/>
      <c r="O147" s="6"/>
      <c r="P147" s="29"/>
      <c r="Q147" s="26"/>
      <c r="R147" s="26"/>
    </row>
    <row r="148" spans="1:18">
      <c r="A148" s="2"/>
      <c r="B148" s="714"/>
      <c r="C148" s="6"/>
      <c r="D148" s="4" t="s">
        <v>97</v>
      </c>
      <c r="E148" s="6" t="s">
        <v>81</v>
      </c>
      <c r="F148" s="29">
        <v>0.5</v>
      </c>
      <c r="G148" s="26">
        <f>ur</f>
        <v>850</v>
      </c>
      <c r="H148" s="26">
        <f>F148*G148</f>
        <v>425</v>
      </c>
      <c r="I148" s="7" t="s">
        <v>225</v>
      </c>
      <c r="J148" s="8" t="s">
        <v>11</v>
      </c>
      <c r="K148" s="29">
        <v>0.36699999999999999</v>
      </c>
      <c r="L148" s="28">
        <f>filter</f>
        <v>1100</v>
      </c>
      <c r="M148" s="26">
        <f>K148*L148</f>
        <v>403.7</v>
      </c>
      <c r="N148" s="8"/>
      <c r="O148" s="6"/>
      <c r="P148" s="29"/>
      <c r="Q148" s="28"/>
      <c r="R148" s="28"/>
    </row>
    <row r="149" spans="1:18">
      <c r="A149" s="2"/>
      <c r="B149" s="714"/>
      <c r="C149" s="6"/>
      <c r="D149" s="4"/>
      <c r="E149" s="6"/>
      <c r="F149" s="29"/>
      <c r="G149" s="26"/>
      <c r="H149" s="26"/>
      <c r="I149" s="7"/>
      <c r="J149" s="8"/>
      <c r="K149" s="29"/>
      <c r="L149" s="28"/>
      <c r="M149" s="26"/>
      <c r="N149" s="8"/>
      <c r="O149" s="6"/>
      <c r="P149" s="29"/>
      <c r="Q149" s="28"/>
      <c r="R149" s="26"/>
    </row>
    <row r="150" spans="1:18">
      <c r="A150" s="2"/>
      <c r="B150" s="714"/>
      <c r="C150" s="6"/>
      <c r="D150" s="4"/>
      <c r="E150" s="6"/>
      <c r="F150" s="29"/>
      <c r="G150" s="26"/>
      <c r="H150" s="26"/>
      <c r="I150" s="7"/>
      <c r="J150" s="8"/>
      <c r="K150" s="29"/>
      <c r="L150" s="28"/>
      <c r="M150" s="26"/>
      <c r="N150" s="8"/>
      <c r="O150" s="6"/>
      <c r="P150" s="29"/>
      <c r="Q150" s="28"/>
      <c r="R150" s="28"/>
    </row>
    <row r="151" spans="1:18">
      <c r="A151" s="2"/>
      <c r="B151" s="84"/>
      <c r="C151" s="6"/>
      <c r="D151" s="4"/>
      <c r="E151" s="9"/>
      <c r="F151" s="30"/>
      <c r="G151" s="27"/>
      <c r="H151" s="27"/>
      <c r="I151" s="9"/>
      <c r="J151" s="10"/>
      <c r="K151" s="30"/>
      <c r="L151" s="28"/>
      <c r="M151" s="28"/>
      <c r="N151" s="8"/>
      <c r="O151" s="6"/>
      <c r="P151" s="30"/>
      <c r="Q151" s="28"/>
      <c r="R151" s="28"/>
    </row>
    <row r="152" spans="1:18">
      <c r="A152" s="2"/>
      <c r="B152" s="11"/>
      <c r="C152" s="6"/>
      <c r="D152" s="12"/>
      <c r="E152" s="59"/>
      <c r="F152" s="13"/>
      <c r="G152" s="13" t="s">
        <v>20</v>
      </c>
      <c r="H152" s="25">
        <f>SUM(H147:H151)</f>
        <v>425</v>
      </c>
      <c r="I152" s="703"/>
      <c r="J152" s="703"/>
      <c r="K152" s="14"/>
      <c r="L152" s="13" t="s">
        <v>21</v>
      </c>
      <c r="M152" s="25">
        <f>SUM(M147:M151)</f>
        <v>403.7</v>
      </c>
      <c r="N152" s="3"/>
      <c r="O152" s="14"/>
      <c r="P152" s="14"/>
      <c r="Q152" s="13" t="s">
        <v>22</v>
      </c>
      <c r="R152" s="25">
        <f>SUM(R147:R151)</f>
        <v>0</v>
      </c>
    </row>
    <row r="153" spans="1:18">
      <c r="A153" s="2"/>
      <c r="B153" s="16" t="s">
        <v>13</v>
      </c>
      <c r="C153" s="14"/>
      <c r="D153" s="14"/>
      <c r="E153" s="14"/>
      <c r="F153" s="14"/>
      <c r="G153" s="13"/>
      <c r="H153" s="35">
        <f>M152+R152+H152</f>
        <v>828.7</v>
      </c>
      <c r="I153" s="17"/>
      <c r="J153" s="14"/>
      <c r="K153" s="14"/>
      <c r="L153" s="13"/>
      <c r="M153" s="15"/>
      <c r="N153" s="14"/>
      <c r="O153" s="14"/>
      <c r="P153" s="14"/>
      <c r="Q153" s="14"/>
      <c r="R153" s="17"/>
    </row>
    <row r="154" spans="1:18">
      <c r="A154" s="2"/>
      <c r="B154" s="11" t="s">
        <v>25</v>
      </c>
      <c r="C154" s="4"/>
      <c r="D154" s="4"/>
      <c r="E154" s="4"/>
      <c r="F154" s="4"/>
      <c r="G154" s="18"/>
      <c r="H154" s="36">
        <v>0</v>
      </c>
      <c r="I154" s="20"/>
      <c r="J154" s="4" t="s">
        <v>26</v>
      </c>
      <c r="K154" s="4"/>
      <c r="L154" s="18"/>
      <c r="M154" s="19"/>
      <c r="N154" s="4"/>
      <c r="O154" s="4"/>
      <c r="P154" s="4"/>
      <c r="Q154" s="4"/>
      <c r="R154" s="20"/>
    </row>
    <row r="155" spans="1:18">
      <c r="A155" s="23"/>
      <c r="B155" s="11" t="s">
        <v>14</v>
      </c>
      <c r="C155" s="4"/>
      <c r="D155" s="4"/>
      <c r="E155" s="4"/>
      <c r="F155" s="4"/>
      <c r="G155" s="18"/>
      <c r="H155" s="36">
        <f>SUM(H153:H154)</f>
        <v>828.7</v>
      </c>
      <c r="I155" s="20"/>
      <c r="J155" s="704"/>
      <c r="K155" s="705"/>
      <c r="L155" s="705"/>
      <c r="M155" s="705"/>
      <c r="N155" s="705"/>
      <c r="O155" s="705"/>
      <c r="P155" s="705"/>
      <c r="Q155" s="705"/>
      <c r="R155" s="706"/>
    </row>
    <row r="156" spans="1:18">
      <c r="A156" s="23"/>
      <c r="B156" s="11" t="s">
        <v>24</v>
      </c>
      <c r="C156" s="4"/>
      <c r="D156" s="4"/>
      <c r="E156" s="4"/>
      <c r="F156" s="4"/>
      <c r="G156" s="18"/>
      <c r="H156" s="36">
        <f>H155*15%</f>
        <v>124.30500000000001</v>
      </c>
      <c r="I156" s="20"/>
      <c r="J156" s="707"/>
      <c r="K156" s="708"/>
      <c r="L156" s="708"/>
      <c r="M156" s="708"/>
      <c r="N156" s="708"/>
      <c r="O156" s="708"/>
      <c r="P156" s="708"/>
      <c r="Q156" s="708"/>
      <c r="R156" s="709"/>
    </row>
    <row r="157" spans="1:18">
      <c r="A157" s="23"/>
      <c r="B157" s="11" t="s">
        <v>15</v>
      </c>
      <c r="C157" s="4"/>
      <c r="D157" s="4"/>
      <c r="E157" s="4"/>
      <c r="F157" s="4"/>
      <c r="G157" s="21" t="s">
        <v>16</v>
      </c>
      <c r="H157" s="37">
        <f>H156+H155</f>
        <v>953.00500000000011</v>
      </c>
      <c r="I157" s="38" t="str">
        <f>CONCATENATE("per ",C147)</f>
        <v>per cum</v>
      </c>
      <c r="J157" s="707"/>
      <c r="K157" s="708"/>
      <c r="L157" s="708"/>
      <c r="M157" s="708"/>
      <c r="N157" s="708"/>
      <c r="O157" s="708"/>
      <c r="P157" s="708"/>
      <c r="Q157" s="708"/>
      <c r="R157" s="709"/>
    </row>
    <row r="158" spans="1:18">
      <c r="A158" s="23"/>
      <c r="B158" s="11" t="s">
        <v>18</v>
      </c>
      <c r="C158" s="4" t="s">
        <v>19</v>
      </c>
      <c r="D158" s="4"/>
      <c r="E158" s="4"/>
      <c r="F158" s="4"/>
      <c r="G158" s="21" t="s">
        <v>16</v>
      </c>
      <c r="H158" s="37">
        <f>CEILING(H157,0.5)</f>
        <v>953.5</v>
      </c>
      <c r="I158" s="38" t="str">
        <f>CONCATENATE("per ",C147)</f>
        <v>per cum</v>
      </c>
      <c r="J158" s="707"/>
      <c r="K158" s="708"/>
      <c r="L158" s="708"/>
      <c r="M158" s="708"/>
      <c r="N158" s="708"/>
      <c r="O158" s="708"/>
      <c r="P158" s="708"/>
      <c r="Q158" s="708"/>
      <c r="R158" s="709"/>
    </row>
    <row r="159" spans="1:18">
      <c r="A159" s="23"/>
      <c r="B159" s="11"/>
      <c r="C159" s="4"/>
      <c r="D159" s="4"/>
      <c r="E159" s="4"/>
      <c r="F159" s="4"/>
      <c r="G159" s="24" t="s">
        <v>17</v>
      </c>
      <c r="H159" s="37">
        <f>H158/exr</f>
        <v>7.3346153846153843</v>
      </c>
      <c r="I159" s="38" t="str">
        <f>CONCATENATE("per ",C147)</f>
        <v>per cum</v>
      </c>
      <c r="J159" s="710"/>
      <c r="K159" s="711"/>
      <c r="L159" s="711"/>
      <c r="M159" s="711"/>
      <c r="N159" s="711"/>
      <c r="O159" s="711"/>
      <c r="P159" s="711"/>
      <c r="Q159" s="711"/>
      <c r="R159" s="712"/>
    </row>
    <row r="160" spans="1:18">
      <c r="A160" s="39"/>
      <c r="B160" s="40"/>
      <c r="C160" s="41"/>
      <c r="D160" s="41"/>
      <c r="E160" s="41"/>
      <c r="F160" s="41"/>
      <c r="G160" s="149" t="s">
        <v>460</v>
      </c>
      <c r="H160" s="150">
        <f>CEILING(0,0.0025)</f>
        <v>0</v>
      </c>
      <c r="I160" s="42"/>
      <c r="J160" s="43"/>
      <c r="K160" s="43"/>
      <c r="L160" s="43"/>
      <c r="M160" s="43"/>
      <c r="N160" s="43"/>
      <c r="O160" s="43"/>
      <c r="P160" s="43"/>
      <c r="Q160" s="43"/>
      <c r="R160" s="44"/>
    </row>
  </sheetData>
  <mergeCells count="77">
    <mergeCell ref="I134:J134"/>
    <mergeCell ref="J137:R141"/>
    <mergeCell ref="B126:B127"/>
    <mergeCell ref="C126:C127"/>
    <mergeCell ref="A1:A2"/>
    <mergeCell ref="B1:B2"/>
    <mergeCell ref="C1:C2"/>
    <mergeCell ref="D1:H1"/>
    <mergeCell ref="I1:M1"/>
    <mergeCell ref="A126:A127"/>
    <mergeCell ref="D126:H126"/>
    <mergeCell ref="I126:M126"/>
    <mergeCell ref="N126:R126"/>
    <mergeCell ref="B129:B132"/>
    <mergeCell ref="A89:A90"/>
    <mergeCell ref="B89:B90"/>
    <mergeCell ref="N1:R1"/>
    <mergeCell ref="B4:B6"/>
    <mergeCell ref="I8:J8"/>
    <mergeCell ref="A69:A70"/>
    <mergeCell ref="B69:B70"/>
    <mergeCell ref="C69:C70"/>
    <mergeCell ref="D69:H69"/>
    <mergeCell ref="I69:M69"/>
    <mergeCell ref="A52:A53"/>
    <mergeCell ref="N69:R69"/>
    <mergeCell ref="I25:J25"/>
    <mergeCell ref="B38:B40"/>
    <mergeCell ref="I42:J42"/>
    <mergeCell ref="B52:B53"/>
    <mergeCell ref="B35:B36"/>
    <mergeCell ref="D52:H52"/>
    <mergeCell ref="B111:B114"/>
    <mergeCell ref="A108:A109"/>
    <mergeCell ref="B108:B109"/>
    <mergeCell ref="C108:C109"/>
    <mergeCell ref="D108:H108"/>
    <mergeCell ref="I52:M52"/>
    <mergeCell ref="N108:R108"/>
    <mergeCell ref="B92:B96"/>
    <mergeCell ref="I98:J98"/>
    <mergeCell ref="J101:R105"/>
    <mergeCell ref="I108:M108"/>
    <mergeCell ref="N89:R89"/>
    <mergeCell ref="C89:C90"/>
    <mergeCell ref="D89:H89"/>
    <mergeCell ref="I89:M89"/>
    <mergeCell ref="B72:B77"/>
    <mergeCell ref="I79:J79"/>
    <mergeCell ref="J82:R86"/>
    <mergeCell ref="B55:B57"/>
    <mergeCell ref="I59:J59"/>
    <mergeCell ref="I116:J116"/>
    <mergeCell ref="J119:R123"/>
    <mergeCell ref="A18:A19"/>
    <mergeCell ref="B18:B19"/>
    <mergeCell ref="C18:C19"/>
    <mergeCell ref="D18:H18"/>
    <mergeCell ref="I18:M18"/>
    <mergeCell ref="N18:R18"/>
    <mergeCell ref="B21:B23"/>
    <mergeCell ref="A35:A36"/>
    <mergeCell ref="C35:C36"/>
    <mergeCell ref="D35:H35"/>
    <mergeCell ref="I35:M35"/>
    <mergeCell ref="N35:R35"/>
    <mergeCell ref="N52:R52"/>
    <mergeCell ref="C52:C53"/>
    <mergeCell ref="B147:B150"/>
    <mergeCell ref="I152:J152"/>
    <mergeCell ref="J155:R159"/>
    <mergeCell ref="A144:A145"/>
    <mergeCell ref="B144:B145"/>
    <mergeCell ref="C144:C145"/>
    <mergeCell ref="D144:H144"/>
    <mergeCell ref="I144:M144"/>
    <mergeCell ref="N144:R144"/>
  </mergeCells>
  <printOptions horizontalCentered="1"/>
  <pageMargins left="0.7" right="0.7" top="0.75" bottom="0.75" header="0.3" footer="0.3"/>
  <pageSetup paperSize="9" scale="69" orientation="landscape" r:id="rId1"/>
  <headerFooter>
    <oddHeader>&amp;L&amp;"Gill Sans MT,Italic"&amp;9Hydro Consult
Nyadi Hydropower Project&amp;C&amp;"Gill Sans MT,Regular"RATE ANALYSIS&amp;R&amp;"Gill Sans MT,Italic"&amp;9&amp;A</oddHeader>
    <oddFooter>&amp;R&amp;"Gill Sans MT,Italic"&amp;9Page &amp;P of &amp;N</oddFooter>
  </headerFooter>
  <rowBreaks count="3" manualBreakCount="3">
    <brk id="34" max="16383" man="1"/>
    <brk id="68" max="16383" man="1"/>
    <brk id="107" max="16383" man="1"/>
  </rowBreaks>
  <ignoredErrors>
    <ignoredError sqref="B9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72"/>
  <sheetViews>
    <sheetView topLeftCell="C1" workbookViewId="0">
      <selection activeCell="H14" sqref="H14"/>
    </sheetView>
  </sheetViews>
  <sheetFormatPr defaultColWidth="9.140625" defaultRowHeight="15.75"/>
  <cols>
    <col min="1" max="1" width="10.7109375" style="1" customWidth="1"/>
    <col min="2" max="2" width="25.42578125" style="1" customWidth="1"/>
    <col min="3" max="3" width="5.28515625" style="1" customWidth="1"/>
    <col min="4" max="4" width="9.140625" style="1"/>
    <col min="5" max="5" width="5.28515625" style="1" customWidth="1"/>
    <col min="6" max="7" width="9.140625" style="1"/>
    <col min="8" max="8" width="10.7109375" style="1" customWidth="1"/>
    <col min="9" max="9" width="20.140625" style="1" customWidth="1"/>
    <col min="10" max="10" width="5.28515625" style="1" customWidth="1"/>
    <col min="11" max="12" width="9.140625" style="1"/>
    <col min="13" max="13" width="10.7109375" style="1" customWidth="1"/>
    <col min="14" max="14" width="15.42578125" style="1" customWidth="1"/>
    <col min="15" max="15" width="5.28515625" style="1" customWidth="1"/>
    <col min="16" max="17" width="9.140625" style="1"/>
    <col min="18" max="18" width="10.7109375" style="1" customWidth="1"/>
    <col min="19" max="16384" width="9.140625" style="1"/>
  </cols>
  <sheetData>
    <row r="1" spans="1:18">
      <c r="A1" s="693" t="s">
        <v>0</v>
      </c>
      <c r="B1" s="695" t="s">
        <v>1</v>
      </c>
      <c r="C1" s="695" t="s">
        <v>2</v>
      </c>
      <c r="D1" s="697" t="s">
        <v>3</v>
      </c>
      <c r="E1" s="698"/>
      <c r="F1" s="698"/>
      <c r="G1" s="698"/>
      <c r="H1" s="698"/>
      <c r="I1" s="699" t="s">
        <v>4</v>
      </c>
      <c r="J1" s="700"/>
      <c r="K1" s="700"/>
      <c r="L1" s="700"/>
      <c r="M1" s="700"/>
      <c r="N1" s="698" t="s">
        <v>5</v>
      </c>
      <c r="O1" s="698"/>
      <c r="P1" s="698"/>
      <c r="Q1" s="698"/>
      <c r="R1" s="698"/>
    </row>
    <row r="2" spans="1:18">
      <c r="A2" s="694"/>
      <c r="B2" s="696"/>
      <c r="C2" s="696"/>
      <c r="D2" s="45" t="s">
        <v>6</v>
      </c>
      <c r="E2" s="46" t="s">
        <v>2</v>
      </c>
      <c r="F2" s="46" t="s">
        <v>7</v>
      </c>
      <c r="G2" s="46" t="s">
        <v>8</v>
      </c>
      <c r="H2" s="46" t="s">
        <v>9</v>
      </c>
      <c r="I2" s="46" t="s">
        <v>10</v>
      </c>
      <c r="J2" s="46" t="s">
        <v>2</v>
      </c>
      <c r="K2" s="46" t="s">
        <v>7</v>
      </c>
      <c r="L2" s="46" t="s">
        <v>8</v>
      </c>
      <c r="M2" s="47" t="s">
        <v>9</v>
      </c>
      <c r="N2" s="46" t="s">
        <v>10</v>
      </c>
      <c r="O2" s="46" t="s">
        <v>2</v>
      </c>
      <c r="P2" s="46" t="s">
        <v>7</v>
      </c>
      <c r="Q2" s="46" t="s">
        <v>8</v>
      </c>
      <c r="R2" s="46" t="s">
        <v>9</v>
      </c>
    </row>
    <row r="3" spans="1:18" ht="15.75" customHeight="1">
      <c r="A3" s="33" t="s">
        <v>23</v>
      </c>
      <c r="B3" s="73" t="s">
        <v>748</v>
      </c>
      <c r="C3" s="31"/>
      <c r="D3" s="31"/>
      <c r="E3" s="31"/>
      <c r="F3" s="31"/>
      <c r="G3" s="31"/>
      <c r="H3" s="31"/>
      <c r="I3" s="31"/>
      <c r="J3" s="31"/>
      <c r="K3" s="31"/>
      <c r="L3" s="31"/>
      <c r="M3" s="31"/>
      <c r="N3" s="31"/>
      <c r="O3" s="31"/>
      <c r="P3" s="31"/>
      <c r="Q3" s="31"/>
      <c r="R3" s="32"/>
    </row>
    <row r="4" spans="1:18" ht="15.75" customHeight="1">
      <c r="A4" s="34">
        <v>1</v>
      </c>
      <c r="B4" s="701" t="s">
        <v>746</v>
      </c>
      <c r="C4" s="6" t="s">
        <v>11</v>
      </c>
      <c r="D4" s="4"/>
      <c r="E4" s="6"/>
      <c r="F4" s="29"/>
      <c r="G4" s="26"/>
      <c r="H4" s="26"/>
      <c r="I4" s="6"/>
      <c r="J4" s="6"/>
      <c r="K4" s="29"/>
      <c r="L4" s="26"/>
      <c r="M4" s="26"/>
      <c r="N4" s="6"/>
      <c r="O4" s="6"/>
      <c r="P4" s="29"/>
      <c r="Q4" s="26"/>
      <c r="R4" s="26"/>
    </row>
    <row r="5" spans="1:18">
      <c r="A5" s="2"/>
      <c r="B5" s="702"/>
      <c r="C5" s="6"/>
      <c r="D5" s="4" t="s">
        <v>97</v>
      </c>
      <c r="E5" s="6" t="s">
        <v>81</v>
      </c>
      <c r="F5" s="29">
        <v>2</v>
      </c>
      <c r="G5" s="26">
        <f>ur</f>
        <v>850</v>
      </c>
      <c r="H5" s="26">
        <f>F5*G5</f>
        <v>1700</v>
      </c>
      <c r="I5" s="7" t="s">
        <v>749</v>
      </c>
      <c r="J5" s="8" t="s">
        <v>34</v>
      </c>
      <c r="K5" s="29">
        <v>1.1499999999999999</v>
      </c>
      <c r="L5" s="28">
        <f>stone</f>
        <v>1000</v>
      </c>
      <c r="M5" s="26">
        <f>K5*L5</f>
        <v>1150</v>
      </c>
      <c r="N5" s="8" t="s">
        <v>128</v>
      </c>
      <c r="O5" s="6"/>
      <c r="P5" s="29"/>
      <c r="Q5" s="28"/>
      <c r="R5" s="26">
        <f>3%*H8</f>
        <v>92.25</v>
      </c>
    </row>
    <row r="6" spans="1:18">
      <c r="A6" s="2"/>
      <c r="B6" s="702"/>
      <c r="C6" s="6"/>
      <c r="D6" s="4" t="s">
        <v>747</v>
      </c>
      <c r="E6" s="6" t="s">
        <v>81</v>
      </c>
      <c r="F6" s="29">
        <v>1.25</v>
      </c>
      <c r="G6" s="26">
        <f>sr</f>
        <v>1100</v>
      </c>
      <c r="H6" s="26">
        <f>F6*G6</f>
        <v>1375</v>
      </c>
      <c r="I6" s="7"/>
      <c r="J6" s="8"/>
      <c r="K6" s="29"/>
      <c r="L6" s="28"/>
      <c r="M6" s="28"/>
      <c r="N6" s="8"/>
      <c r="O6" s="6"/>
      <c r="P6" s="29"/>
      <c r="Q6" s="28"/>
      <c r="R6" s="28"/>
    </row>
    <row r="7" spans="1:18">
      <c r="A7" s="2"/>
      <c r="B7" s="5"/>
      <c r="C7" s="6"/>
      <c r="D7" s="4"/>
      <c r="E7" s="9"/>
      <c r="F7" s="30"/>
      <c r="G7" s="27"/>
      <c r="H7" s="27"/>
      <c r="I7" s="9"/>
      <c r="J7" s="10"/>
      <c r="K7" s="30"/>
      <c r="L7" s="28"/>
      <c r="M7" s="28"/>
      <c r="N7" s="8"/>
      <c r="O7" s="6"/>
      <c r="P7" s="30"/>
      <c r="Q7" s="28"/>
      <c r="R7" s="28"/>
    </row>
    <row r="8" spans="1:18">
      <c r="A8" s="2"/>
      <c r="B8" s="11"/>
      <c r="C8" s="6"/>
      <c r="D8" s="12"/>
      <c r="E8" s="59"/>
      <c r="F8" s="13"/>
      <c r="G8" s="13" t="s">
        <v>20</v>
      </c>
      <c r="H8" s="25">
        <f>SUM(H4:H7)</f>
        <v>3075</v>
      </c>
      <c r="I8" s="703"/>
      <c r="J8" s="703"/>
      <c r="K8" s="14"/>
      <c r="L8" s="13" t="s">
        <v>21</v>
      </c>
      <c r="M8" s="25">
        <f>SUM(M4:M7)</f>
        <v>1150</v>
      </c>
      <c r="N8" s="3"/>
      <c r="O8" s="14"/>
      <c r="P8" s="14"/>
      <c r="Q8" s="13" t="s">
        <v>22</v>
      </c>
      <c r="R8" s="25">
        <f>SUM(R4:R7)</f>
        <v>92.25</v>
      </c>
    </row>
    <row r="9" spans="1:18">
      <c r="A9" s="2"/>
      <c r="B9" s="16" t="s">
        <v>13</v>
      </c>
      <c r="C9" s="14"/>
      <c r="D9" s="14"/>
      <c r="E9" s="14"/>
      <c r="F9" s="14"/>
      <c r="G9" s="13"/>
      <c r="H9" s="35">
        <f>M8+R8+H8</f>
        <v>4317.25</v>
      </c>
      <c r="I9" s="17"/>
      <c r="J9" s="14"/>
      <c r="K9" s="14"/>
      <c r="L9" s="13"/>
      <c r="M9" s="15"/>
      <c r="N9" s="14"/>
      <c r="O9" s="14"/>
      <c r="P9" s="14"/>
      <c r="Q9" s="14"/>
      <c r="R9" s="17"/>
    </row>
    <row r="10" spans="1:18">
      <c r="A10" s="2"/>
      <c r="B10" s="11" t="s">
        <v>25</v>
      </c>
      <c r="C10" s="4"/>
      <c r="D10" s="4"/>
      <c r="E10" s="4"/>
      <c r="F10" s="4"/>
      <c r="G10" s="18"/>
      <c r="H10" s="36">
        <v>0</v>
      </c>
      <c r="I10" s="20"/>
      <c r="J10" s="4" t="s">
        <v>26</v>
      </c>
      <c r="K10" s="4"/>
      <c r="L10" s="18"/>
      <c r="M10" s="19"/>
      <c r="N10" s="4"/>
      <c r="O10" s="4"/>
      <c r="P10" s="4"/>
      <c r="Q10" s="4"/>
      <c r="R10" s="20"/>
    </row>
    <row r="11" spans="1:18">
      <c r="A11" s="23"/>
      <c r="B11" s="11" t="s">
        <v>14</v>
      </c>
      <c r="C11" s="4"/>
      <c r="D11" s="4"/>
      <c r="E11" s="4"/>
      <c r="F11" s="4"/>
      <c r="G11" s="18"/>
      <c r="H11" s="36">
        <f>SUM(H9:H10)</f>
        <v>4317.25</v>
      </c>
      <c r="I11" s="20"/>
      <c r="J11" s="111"/>
      <c r="K11" s="112"/>
      <c r="L11" s="112"/>
      <c r="M11" s="112"/>
      <c r="N11" s="112"/>
      <c r="O11" s="112"/>
      <c r="P11" s="112"/>
      <c r="Q11" s="112"/>
      <c r="R11" s="113"/>
    </row>
    <row r="12" spans="1:18">
      <c r="A12" s="23"/>
      <c r="B12" s="11" t="s">
        <v>24</v>
      </c>
      <c r="C12" s="4"/>
      <c r="D12" s="4"/>
      <c r="E12" s="4"/>
      <c r="F12" s="4"/>
      <c r="G12" s="18"/>
      <c r="H12" s="36">
        <f>H11*15%</f>
        <v>647.58749999999998</v>
      </c>
      <c r="I12" s="20"/>
      <c r="J12" s="114"/>
      <c r="K12" s="115"/>
      <c r="L12" s="115"/>
      <c r="M12" s="115"/>
      <c r="N12" s="115"/>
      <c r="O12" s="115"/>
      <c r="P12" s="115"/>
      <c r="Q12" s="115"/>
      <c r="R12" s="116"/>
    </row>
    <row r="13" spans="1:18">
      <c r="A13" s="23"/>
      <c r="B13" s="11" t="s">
        <v>15</v>
      </c>
      <c r="C13" s="4"/>
      <c r="D13" s="4"/>
      <c r="E13" s="4"/>
      <c r="F13" s="4"/>
      <c r="G13" s="21" t="s">
        <v>16</v>
      </c>
      <c r="H13" s="37">
        <f>H12+H11</f>
        <v>4964.8374999999996</v>
      </c>
      <c r="I13" s="38" t="str">
        <f>CONCATENATE("per ",C4)</f>
        <v>per cum</v>
      </c>
      <c r="J13" s="114"/>
      <c r="K13" s="120"/>
      <c r="L13" s="121"/>
      <c r="M13" s="115"/>
      <c r="N13" s="122"/>
      <c r="O13" s="115"/>
      <c r="P13" s="115"/>
      <c r="Q13" s="115"/>
      <c r="R13" s="116"/>
    </row>
    <row r="14" spans="1:18">
      <c r="A14" s="23"/>
      <c r="B14" s="11" t="s">
        <v>18</v>
      </c>
      <c r="C14" s="4" t="s">
        <v>19</v>
      </c>
      <c r="D14" s="4"/>
      <c r="E14" s="4"/>
      <c r="F14" s="4"/>
      <c r="G14" s="21" t="s">
        <v>16</v>
      </c>
      <c r="H14" s="37">
        <f>CEILING(H13,0.5)</f>
        <v>4965</v>
      </c>
      <c r="I14" s="38" t="str">
        <f>CONCATENATE("per ",C4)</f>
        <v>per cum</v>
      </c>
      <c r="J14" s="114"/>
      <c r="K14" s="115"/>
      <c r="L14" s="123"/>
      <c r="M14" s="115"/>
      <c r="N14" s="115"/>
      <c r="O14" s="115"/>
      <c r="P14" s="115"/>
      <c r="Q14" s="115"/>
      <c r="R14" s="116"/>
    </row>
    <row r="15" spans="1:18">
      <c r="A15" s="23"/>
      <c r="B15" s="11"/>
      <c r="C15" s="4"/>
      <c r="D15" s="4"/>
      <c r="E15" s="4"/>
      <c r="F15" s="4"/>
      <c r="G15" s="24" t="s">
        <v>17</v>
      </c>
      <c r="H15" s="37">
        <f>H14/exr</f>
        <v>38.192307692307693</v>
      </c>
      <c r="I15" s="38" t="str">
        <f>CONCATENATE("per ",C4)</f>
        <v>per cum</v>
      </c>
      <c r="J15" s="117"/>
      <c r="K15" s="118"/>
      <c r="L15" s="118"/>
      <c r="M15" s="118"/>
      <c r="N15" s="118"/>
      <c r="O15" s="118"/>
      <c r="P15" s="118"/>
      <c r="Q15" s="118"/>
      <c r="R15" s="119"/>
    </row>
    <row r="16" spans="1:18">
      <c r="A16" s="39"/>
      <c r="B16" s="40"/>
      <c r="C16" s="41"/>
      <c r="D16" s="41"/>
      <c r="E16" s="41"/>
      <c r="F16" s="41"/>
      <c r="G16" s="149" t="s">
        <v>460</v>
      </c>
      <c r="H16" s="150">
        <f>CEILING(0,0.0025)</f>
        <v>0</v>
      </c>
      <c r="I16" s="42"/>
      <c r="J16" s="43"/>
      <c r="K16" s="43"/>
      <c r="L16" s="43"/>
      <c r="M16" s="43"/>
      <c r="N16" s="43"/>
      <c r="O16" s="43"/>
      <c r="P16" s="43"/>
      <c r="Q16" s="43"/>
      <c r="R16" s="44"/>
    </row>
    <row r="17" spans="1:18">
      <c r="A17" s="22"/>
      <c r="B17" s="22"/>
      <c r="C17" s="22"/>
      <c r="D17" s="22"/>
      <c r="E17" s="22"/>
      <c r="F17" s="22"/>
      <c r="G17" s="22"/>
      <c r="H17" s="22"/>
      <c r="I17" s="22"/>
      <c r="J17" s="22"/>
      <c r="K17" s="22"/>
      <c r="L17" s="22"/>
      <c r="M17" s="22"/>
      <c r="N17" s="22"/>
      <c r="O17" s="22"/>
      <c r="P17" s="22"/>
      <c r="Q17" s="22"/>
      <c r="R17" s="22"/>
    </row>
    <row r="20" spans="1:18" ht="15.75" customHeight="1"/>
    <row r="21" spans="1:18" ht="15.75" customHeight="1"/>
    <row r="37" ht="15.75" customHeight="1"/>
    <row r="38" ht="15.75" customHeight="1"/>
    <row r="54" ht="15.75" customHeight="1"/>
    <row r="55" ht="15.75" customHeight="1"/>
    <row r="72" ht="15.75" customHeight="1"/>
  </sheetData>
  <mergeCells count="8">
    <mergeCell ref="N1:R1"/>
    <mergeCell ref="B4:B6"/>
    <mergeCell ref="I8:J8"/>
    <mergeCell ref="A1:A2"/>
    <mergeCell ref="B1:B2"/>
    <mergeCell ref="C1:C2"/>
    <mergeCell ref="D1:H1"/>
    <mergeCell ref="I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149</vt:i4>
      </vt:variant>
    </vt:vector>
  </HeadingPairs>
  <TitlesOfParts>
    <vt:vector size="189" baseType="lpstr">
      <vt:lpstr>Summary</vt:lpstr>
      <vt:lpstr>Basic Rates</vt:lpstr>
      <vt:lpstr>NoC fuel rates</vt:lpstr>
      <vt:lpstr>Distances</vt:lpstr>
      <vt:lpstr>RATES INCLUDING TRANSPORATION</vt:lpstr>
      <vt:lpstr>Site Clearance</vt:lpstr>
      <vt:lpstr>Excavation</vt:lpstr>
      <vt:lpstr>Filling</vt:lpstr>
      <vt:lpstr>Dry stone soling</vt:lpstr>
      <vt:lpstr>Formwork</vt:lpstr>
      <vt:lpstr>Surface_Rockbolt</vt:lpstr>
      <vt:lpstr>Surface Water Stopper</vt:lpstr>
      <vt:lpstr>Concrete</vt:lpstr>
      <vt:lpstr>Underground Concrete</vt:lpstr>
      <vt:lpstr>Reinforcement</vt:lpstr>
      <vt:lpstr>Underground Reinforcement</vt:lpstr>
      <vt:lpstr>Brickwork</vt:lpstr>
      <vt:lpstr>Plaster</vt:lpstr>
      <vt:lpstr>Masonry</vt:lpstr>
      <vt:lpstr>Gabion</vt:lpstr>
      <vt:lpstr>Grouting</vt:lpstr>
      <vt:lpstr>Protection(Boulder Riprap)</vt:lpstr>
      <vt:lpstr>Geotextile</vt:lpstr>
      <vt:lpstr>Roofing</vt:lpstr>
      <vt:lpstr>Painting</vt:lpstr>
      <vt:lpstr>Doors &amp; Windows</vt:lpstr>
      <vt:lpstr>Screeding &amp; Punning</vt:lpstr>
      <vt:lpstr>Boulder Riprap</vt:lpstr>
      <vt:lpstr>Exploratory Drilling 1</vt:lpstr>
      <vt:lpstr>Surface Shotcrete</vt:lpstr>
      <vt:lpstr>Underground</vt:lpstr>
      <vt:lpstr>Spilling rate</vt:lpstr>
      <vt:lpstr>Exploratory Drilling</vt:lpstr>
      <vt:lpstr>Mucking</vt:lpstr>
      <vt:lpstr>Underground Formworks</vt:lpstr>
      <vt:lpstr>U Formworks for vertical shaft</vt:lpstr>
      <vt:lpstr>Sheet3</vt:lpstr>
      <vt:lpstr>Steel Ribs</vt:lpstr>
      <vt:lpstr>Additionals</vt:lpstr>
      <vt:lpstr>Sheet1</vt:lpstr>
      <vt:lpstr>accelerator</vt:lpstr>
      <vt:lpstr>Agg_10</vt:lpstr>
      <vt:lpstr>Agg_20</vt:lpstr>
      <vt:lpstr>Agg_40</vt:lpstr>
      <vt:lpstr>agitator</vt:lpstr>
      <vt:lpstr>anchor_pin</vt:lpstr>
      <vt:lpstr>backhoe</vt:lpstr>
      <vt:lpstr>barbedwire</vt:lpstr>
      <vt:lpstr>bearing_plate</vt:lpstr>
      <vt:lpstr>'RATES INCLUDING TRANSPORATION'!Bentonite</vt:lpstr>
      <vt:lpstr>Bentonite</vt:lpstr>
      <vt:lpstr>binding</vt:lpstr>
      <vt:lpstr>'RATES INCLUDING TRANSPORATION'!Block_Stone</vt:lpstr>
      <vt:lpstr>Block_Stone</vt:lpstr>
      <vt:lpstr>'RATES INCLUDING TRANSPORATION'!Bond_Stone</vt:lpstr>
      <vt:lpstr>Bond_Stone</vt:lpstr>
      <vt:lpstr>br</vt:lpstr>
      <vt:lpstr>bricks</vt:lpstr>
      <vt:lpstr>cement</vt:lpstr>
      <vt:lpstr>cement_capsule</vt:lpstr>
      <vt:lpstr>CGI</vt:lpstr>
      <vt:lpstr>'RATES INCLUDING TRANSPORATION'!clamps</vt:lpstr>
      <vt:lpstr>Clamps</vt:lpstr>
      <vt:lpstr>compressor</vt:lpstr>
      <vt:lpstr>concrete_pump</vt:lpstr>
      <vt:lpstr>crane</vt:lpstr>
      <vt:lpstr>damite</vt:lpstr>
      <vt:lpstr>Detonating_chord</vt:lpstr>
      <vt:lpstr>detonator</vt:lpstr>
      <vt:lpstr>diesel</vt:lpstr>
      <vt:lpstr>distance</vt:lpstr>
      <vt:lpstr>dr</vt:lpstr>
      <vt:lpstr>draft</vt:lpstr>
      <vt:lpstr>drh</vt:lpstr>
      <vt:lpstr>drill_rod</vt:lpstr>
      <vt:lpstr>Drillbit_32</vt:lpstr>
      <vt:lpstr>Drillbit_38</vt:lpstr>
      <vt:lpstr>drv</vt:lpstr>
      <vt:lpstr>el</vt:lpstr>
      <vt:lpstr>enamel</vt:lpstr>
      <vt:lpstr>er</vt:lpstr>
      <vt:lpstr>excavator</vt:lpstr>
      <vt:lpstr>excavator_breaker</vt:lpstr>
      <vt:lpstr>exr</vt:lpstr>
      <vt:lpstr>fan</vt:lpstr>
      <vt:lpstr>filter</vt:lpstr>
      <vt:lpstr>fr</vt:lpstr>
      <vt:lpstr>gabion_10</vt:lpstr>
      <vt:lpstr>gabion_12</vt:lpstr>
      <vt:lpstr>gabion_9</vt:lpstr>
      <vt:lpstr>gelatine</vt:lpstr>
      <vt:lpstr>gen</vt:lpstr>
      <vt:lpstr>gen_30</vt:lpstr>
      <vt:lpstr>geotex</vt:lpstr>
      <vt:lpstr>GI_commercial</vt:lpstr>
      <vt:lpstr>gipipe</vt:lpstr>
      <vt:lpstr>glass</vt:lpstr>
      <vt:lpstr>grout_pump</vt:lpstr>
      <vt:lpstr>gum</vt:lpstr>
      <vt:lpstr>hand_drill</vt:lpstr>
      <vt:lpstr>handle</vt:lpstr>
      <vt:lpstr>HDPE</vt:lpstr>
      <vt:lpstr>hinges</vt:lpstr>
      <vt:lpstr>holdfast</vt:lpstr>
      <vt:lpstr>hose_pipe</vt:lpstr>
      <vt:lpstr>hr</vt:lpstr>
      <vt:lpstr>hydraulic_jack</vt:lpstr>
      <vt:lpstr>Hydraulic_oil</vt:lpstr>
      <vt:lpstr>jack_hammer</vt:lpstr>
      <vt:lpstr>jhooks</vt:lpstr>
      <vt:lpstr>kerosene</vt:lpstr>
      <vt:lpstr>locking</vt:lpstr>
      <vt:lpstr>lubricant</vt:lpstr>
      <vt:lpstr>mech</vt:lpstr>
      <vt:lpstr>Metal_Pipe</vt:lpstr>
      <vt:lpstr>minitruck</vt:lpstr>
      <vt:lpstr>mixer</vt:lpstr>
      <vt:lpstr>mr</vt:lpstr>
      <vt:lpstr>'RATES INCLUDING TRANSPORATION'!ms_pipe</vt:lpstr>
      <vt:lpstr>ms_pipe</vt:lpstr>
      <vt:lpstr>'RATES INCLUDING TRANSPORATION'!ms_sheet</vt:lpstr>
      <vt:lpstr>ms_sheet</vt:lpstr>
      <vt:lpstr>nails</vt:lpstr>
      <vt:lpstr>natural_gravel</vt:lpstr>
      <vt:lpstr>nipple</vt:lpstr>
      <vt:lpstr>Nut</vt:lpstr>
      <vt:lpstr>'RATES INCLUDING TRANSPORATION'!Nuts_bolts</vt:lpstr>
      <vt:lpstr>Nuts_Bolts</vt:lpstr>
      <vt:lpstr>or</vt:lpstr>
      <vt:lpstr>ovr</vt:lpstr>
      <vt:lpstr>packers</vt:lpstr>
      <vt:lpstr>petrol</vt:lpstr>
      <vt:lpstr>planks</vt:lpstr>
      <vt:lpstr>plasticizers</vt:lpstr>
      <vt:lpstr>plywood</vt:lpstr>
      <vt:lpstr>power_winch</vt:lpstr>
      <vt:lpstr>primer</vt:lpstr>
      <vt:lpstr>'Basic Rates'!Print_Area</vt:lpstr>
      <vt:lpstr>Distances!Print_Area</vt:lpstr>
      <vt:lpstr>'RATES INCLUDING TRANSPORATION'!Print_Area</vt:lpstr>
      <vt:lpstr>'RATES INCLUDING TRANSPORATION'!Print_Titles</vt:lpstr>
      <vt:lpstr>Summary!Print_Titles</vt:lpstr>
      <vt:lpstr>'Basic Rates'!Pusher_leg</vt:lpstr>
      <vt:lpstr>raiser_climber</vt:lpstr>
      <vt:lpstr>rammer</vt:lpstr>
      <vt:lpstr>rcr</vt:lpstr>
      <vt:lpstr>rebars</vt:lpstr>
      <vt:lpstr>redoxide</vt:lpstr>
      <vt:lpstr>rockbolt_20</vt:lpstr>
      <vt:lpstr>rockbolt_25</vt:lpstr>
      <vt:lpstr>rockbolt_32</vt:lpstr>
      <vt:lpstr>rockbolt_Exp_20</vt:lpstr>
      <vt:lpstr>rockbolt_Exp_25</vt:lpstr>
      <vt:lpstr>rockbolt_Exp_32</vt:lpstr>
      <vt:lpstr>rockdriller_pneumatic</vt:lpstr>
      <vt:lpstr>roller_steel</vt:lpstr>
      <vt:lpstr>roller_vibra</vt:lpstr>
      <vt:lpstr>sand</vt:lpstr>
      <vt:lpstr>screw</vt:lpstr>
      <vt:lpstr>Shotcrete_boomtruck</vt:lpstr>
      <vt:lpstr>silica_fumes</vt:lpstr>
      <vt:lpstr>snowcem</vt:lpstr>
      <vt:lpstr>sr</vt:lpstr>
      <vt:lpstr>stone</vt:lpstr>
      <vt:lpstr>structural_steel</vt:lpstr>
      <vt:lpstr>submersible_pump</vt:lpstr>
      <vt:lpstr>sup</vt:lpstr>
      <vt:lpstr>sur</vt:lpstr>
      <vt:lpstr>survey_equipments</vt:lpstr>
      <vt:lpstr>tech</vt:lpstr>
      <vt:lpstr>timber</vt:lpstr>
      <vt:lpstr>tractor</vt:lpstr>
      <vt:lpstr>truck</vt:lpstr>
      <vt:lpstr>ur</vt:lpstr>
      <vt:lpstr>Ventilation_duct</vt:lpstr>
      <vt:lpstr>'Basic Rates'!Ventilation_fan</vt:lpstr>
      <vt:lpstr>vibrator_concrete</vt:lpstr>
      <vt:lpstr>washer</vt:lpstr>
      <vt:lpstr>water_pump</vt:lpstr>
      <vt:lpstr>water_stop</vt:lpstr>
      <vt:lpstr>water_tank</vt:lpstr>
      <vt:lpstr>welder</vt:lpstr>
      <vt:lpstr>welding_machine</vt:lpstr>
      <vt:lpstr>welding_rod</vt:lpstr>
      <vt:lpstr>'Basic Rates'!wheel_barrow</vt:lpstr>
      <vt:lpstr>wheel_barrow</vt:lpstr>
      <vt:lpstr>wheel_loader</vt:lpstr>
      <vt:lpstr>white_cement</vt:lpstr>
      <vt:lpstr>wiremesh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basantag</dc:creator>
  <cp:lastModifiedBy>Bishal Koirala</cp:lastModifiedBy>
  <cp:lastPrinted>2021-06-01T08:48:42Z</cp:lastPrinted>
  <dcterms:created xsi:type="dcterms:W3CDTF">2011-10-14T03:40:56Z</dcterms:created>
  <dcterms:modified xsi:type="dcterms:W3CDTF">2022-11-14T06:39:58Z</dcterms:modified>
</cp:coreProperties>
</file>