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M:\ED\Jobs\OPEN\930100 TD of Myagdi Khola HPP\61 Design\Headloss &amp; Energy Calculation\"/>
    </mc:Choice>
  </mc:AlternateContent>
  <xr:revisionPtr revIDLastSave="0" documentId="13_ncr:1_{8A97791F-46FD-4066-8A06-50C89B149D45}" xr6:coauthVersionLast="47" xr6:coauthVersionMax="47" xr10:uidLastSave="{00000000-0000-0000-0000-000000000000}"/>
  <bookViews>
    <workbookView xWindow="-21720" yWindow="-120" windowWidth="21840" windowHeight="13020" firstSheet="1" activeTab="4" xr2:uid="{00000000-000D-0000-FFFF-FFFF00000000}"/>
  </bookViews>
  <sheets>
    <sheet name="efficiency from chart " sheetId="4" state="hidden" r:id="rId1"/>
    <sheet name="Headloss Estimation" sheetId="3" r:id="rId2"/>
    <sheet name="Sheet1" sheetId="5" r:id="rId3"/>
    <sheet name="HL calculation_Coefficient" sheetId="2" state="hidden" r:id="rId4"/>
    <sheet name="Energy " sheetId="1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</externalReferences>
  <definedNames>
    <definedName name="_Kt1" localSheetId="4">#REF!</definedName>
    <definedName name="_Kt1" localSheetId="1">#REF!</definedName>
    <definedName name="_Kt1" localSheetId="3">#REF!</definedName>
    <definedName name="_Kt1">#REF!</definedName>
    <definedName name="Ai" localSheetId="0">'[1]settling basin 240'!$D$7</definedName>
    <definedName name="Ai" localSheetId="4">'[2]settling basin 240'!$D$7</definedName>
    <definedName name="Ai" localSheetId="3">'[1]settling basin 240'!$D$7</definedName>
    <definedName name="Ai">'[2]settling basin 240'!$D$7</definedName>
    <definedName name="anscount" hidden="1">5</definedName>
    <definedName name="Area_orifice" localSheetId="4">#REF!</definedName>
    <definedName name="Area_orifice" localSheetId="1">#REF!</definedName>
    <definedName name="Area_orifice" localSheetId="3">#REF!</definedName>
    <definedName name="Area_orifice">#REF!</definedName>
    <definedName name="Area3000" localSheetId="4">#REF!</definedName>
    <definedName name="Area3000" localSheetId="1">#REF!</definedName>
    <definedName name="Area3000">#REF!</definedName>
    <definedName name="Area5000" localSheetId="4">#REF!</definedName>
    <definedName name="Area5000" localSheetId="1">#REF!</definedName>
    <definedName name="Area5000">#REF!</definedName>
    <definedName name="AverageParticle" localSheetId="4">#REF!</definedName>
    <definedName name="AverageParticle" localSheetId="1">#REF!</definedName>
    <definedName name="AverageParticle">#REF!</definedName>
    <definedName name="AX" localSheetId="4">#REF!</definedName>
    <definedName name="AX" localSheetId="1">#REF!</definedName>
    <definedName name="AX">#REF!</definedName>
    <definedName name="AX_canal" localSheetId="4">#REF!</definedName>
    <definedName name="AX_canal" localSheetId="1">#REF!</definedName>
    <definedName name="AX_canal">#REF!</definedName>
    <definedName name="AX_headcanal" localSheetId="4">#REF!</definedName>
    <definedName name="AX_headcanal" localSheetId="1">#REF!</definedName>
    <definedName name="AX_headcanal">#REF!</definedName>
    <definedName name="B" localSheetId="0">'[1]settling basin 240'!$D$6</definedName>
    <definedName name="B" localSheetId="4">'[2]settling basin 240'!$D$6</definedName>
    <definedName name="B" localSheetId="3">'[1]settling basin 240'!$D$6</definedName>
    <definedName name="B">'[2]settling basin 240'!$D$6</definedName>
    <definedName name="Basin" localSheetId="4">#REF!</definedName>
    <definedName name="Basin" localSheetId="1">#REF!</definedName>
    <definedName name="Basin" localSheetId="3">#REF!</definedName>
    <definedName name="Basin">#REF!</definedName>
    <definedName name="Basin_area" localSheetId="4">#REF!</definedName>
    <definedName name="Basin_area" localSheetId="1">#REF!</definedName>
    <definedName name="Basin_area">#REF!</definedName>
    <definedName name="Bcanal">'[3]Intake Canal'!$C$13</definedName>
    <definedName name="Bgt" localSheetId="4">#REF!</definedName>
    <definedName name="Bgt" localSheetId="1">#REF!</definedName>
    <definedName name="Bgt" localSheetId="3">#REF!</definedName>
    <definedName name="Bgt">#REF!</definedName>
    <definedName name="Bheadcanal" localSheetId="4">#REF!</definedName>
    <definedName name="Bheadcanal" localSheetId="1">#REF!</definedName>
    <definedName name="Bheadcanal">#REF!</definedName>
    <definedName name="bt" localSheetId="4">#REF!</definedName>
    <definedName name="bt" localSheetId="1">#REF!</definedName>
    <definedName name="bt">#REF!</definedName>
    <definedName name="Cgt" localSheetId="4">#REF!</definedName>
    <definedName name="Cgt" localSheetId="1">#REF!</definedName>
    <definedName name="Cgt">#REF!</definedName>
    <definedName name="Corific" localSheetId="4">#REF!</definedName>
    <definedName name="Corific" localSheetId="1">#REF!</definedName>
    <definedName name="Corific">#REF!</definedName>
    <definedName name="Cresrlevel" localSheetId="4">#REF!</definedName>
    <definedName name="Cresrlevel" localSheetId="1">#REF!</definedName>
    <definedName name="Cresrlevel">#REF!</definedName>
    <definedName name="CW" localSheetId="4">#REF!</definedName>
    <definedName name="CW" localSheetId="1">#REF!</definedName>
    <definedName name="CW">#REF!</definedName>
    <definedName name="Cweir" localSheetId="4">#REF!</definedName>
    <definedName name="Cweir" localSheetId="1">#REF!</definedName>
    <definedName name="Cweir">#REF!</definedName>
    <definedName name="DesignDischarge">'[3]Side Intake and Orifice'!$C$8</definedName>
    <definedName name="Discharg_1_basin" localSheetId="4">#REF!</definedName>
    <definedName name="Discharg_1_basin" localSheetId="1">#REF!</definedName>
    <definedName name="Discharg_1_basin" localSheetId="3">#REF!</definedName>
    <definedName name="Discharg_1_basin">#REF!</definedName>
    <definedName name="dlimit" localSheetId="4">#REF!</definedName>
    <definedName name="dlimit" localSheetId="1">#REF!</definedName>
    <definedName name="dlimit">#REF!</definedName>
    <definedName name="FLinlet" localSheetId="4">#REF!</definedName>
    <definedName name="FLinlet" localSheetId="1">#REF!</definedName>
    <definedName name="FLinlet">#REF!</definedName>
    <definedName name="Freaboard" localSheetId="4">#REF!</definedName>
    <definedName name="Freaboard" localSheetId="1">#REF!</definedName>
    <definedName name="Freaboard">#REF!</definedName>
    <definedName name="g" localSheetId="4">#REF!</definedName>
    <definedName name="g" localSheetId="1">#REF!</definedName>
    <definedName name="g">#REF!</definedName>
    <definedName name="H" localSheetId="4">#REF!</definedName>
    <definedName name="H" localSheetId="1">#REF!</definedName>
    <definedName name="H">#REF!</definedName>
    <definedName name="H_100" localSheetId="4">#REF!</definedName>
    <definedName name="H_100" localSheetId="1">#REF!</definedName>
    <definedName name="H_100">#REF!</definedName>
    <definedName name="H_20" localSheetId="4">#REF!</definedName>
    <definedName name="H_20" localSheetId="1">#REF!</definedName>
    <definedName name="H_20">#REF!</definedName>
    <definedName name="H_L_orifice" localSheetId="4">#REF!</definedName>
    <definedName name="H_L_orifice" localSheetId="1">#REF!</definedName>
    <definedName name="H_L_orifice">#REF!</definedName>
    <definedName name="H100y">'[4]Water Level'!$B$19</definedName>
    <definedName name="H10y" localSheetId="4">#REF!</definedName>
    <definedName name="H10y" localSheetId="1">#REF!</definedName>
    <definedName name="H10y" localSheetId="3">#REF!</definedName>
    <definedName name="H10y">#REF!</definedName>
    <definedName name="H20y" localSheetId="4">#REF!</definedName>
    <definedName name="H20y" localSheetId="1">#REF!</definedName>
    <definedName name="H20y">#REF!</definedName>
    <definedName name="H2y" localSheetId="4">#REF!</definedName>
    <definedName name="H2y" localSheetId="1">#REF!</definedName>
    <definedName name="H2y">#REF!</definedName>
    <definedName name="H5y" localSheetId="4">#REF!</definedName>
    <definedName name="H5y" localSheetId="1">#REF!</definedName>
    <definedName name="H5y">#REF!</definedName>
    <definedName name="Hbasin">'[5]Settling Basin'!$I$31</definedName>
    <definedName name="Hcanal" localSheetId="4">#REF!</definedName>
    <definedName name="Hcanal" localSheetId="1">#REF!</definedName>
    <definedName name="Hcanal" localSheetId="3">#REF!</definedName>
    <definedName name="Hcanal">#REF!</definedName>
    <definedName name="HcatCrest" localSheetId="4">#REF!</definedName>
    <definedName name="HcatCrest" localSheetId="1">#REF!</definedName>
    <definedName name="HcatCrest">#REF!</definedName>
    <definedName name="Hd">'[4]Water Level'!$B$14</definedName>
    <definedName name="Head" localSheetId="4">#REF!</definedName>
    <definedName name="Head" localSheetId="1">#REF!</definedName>
    <definedName name="Head" localSheetId="3">#REF!</definedName>
    <definedName name="Head">#REF!</definedName>
    <definedName name="Height_Orifice" localSheetId="4">#REF!</definedName>
    <definedName name="Height_Orifice" localSheetId="1">#REF!</definedName>
    <definedName name="Height_Orifice">#REF!</definedName>
    <definedName name="HFL" localSheetId="4">#REF!</definedName>
    <definedName name="HFL" localSheetId="1">#REF!</definedName>
    <definedName name="HFL">#REF!</definedName>
    <definedName name="Hflood" localSheetId="4">#REF!</definedName>
    <definedName name="Hflood" localSheetId="1">#REF!</definedName>
    <definedName name="Hflood">#REF!</definedName>
    <definedName name="Hmin" localSheetId="4">#REF!</definedName>
    <definedName name="Hmin" localSheetId="1">#REF!</definedName>
    <definedName name="Hmin">#REF!</definedName>
    <definedName name="Hr">'[4]Side Intake and Orifice'!$H$18</definedName>
    <definedName name="Htrash" localSheetId="4">#REF!</definedName>
    <definedName name="Htrash" localSheetId="1">#REF!</definedName>
    <definedName name="Htrash" localSheetId="3">#REF!</definedName>
    <definedName name="Htrash">#REF!</definedName>
    <definedName name="hWEIR" localSheetId="4">#REF!</definedName>
    <definedName name="hWEIR" localSheetId="1">#REF!</definedName>
    <definedName name="hWEIR">#REF!</definedName>
    <definedName name="kt" localSheetId="4">#REF!</definedName>
    <definedName name="kt" localSheetId="1">#REF!</definedName>
    <definedName name="kt">#REF!</definedName>
    <definedName name="Kv" localSheetId="4">#REF!</definedName>
    <definedName name="Kv" localSheetId="1">#REF!</definedName>
    <definedName name="Kv">#REF!</definedName>
    <definedName name="Laceyf" localSheetId="4">#REF!</definedName>
    <definedName name="Laceyf" localSheetId="1">#REF!</definedName>
    <definedName name="Laceyf">#REF!</definedName>
    <definedName name="Lbasin" localSheetId="4">#REF!</definedName>
    <definedName name="Lbasin" localSheetId="1">#REF!</definedName>
    <definedName name="Lbasin">#REF!</definedName>
    <definedName name="Lcanal" localSheetId="4">#REF!</definedName>
    <definedName name="Lcanal" localSheetId="1">#REF!</definedName>
    <definedName name="Lcanal">#REF!</definedName>
    <definedName name="Lcrest" localSheetId="4">#REF!</definedName>
    <definedName name="Lcrest" localSheetId="1">#REF!</definedName>
    <definedName name="Lcrest">#REF!</definedName>
    <definedName name="Lgt" localSheetId="4">#REF!</definedName>
    <definedName name="Lgt" localSheetId="1">#REF!</definedName>
    <definedName name="Lgt">#REF!</definedName>
    <definedName name="LHeadCanal" localSheetId="4">#REF!</definedName>
    <definedName name="LHeadCanal" localSheetId="1">#REF!</definedName>
    <definedName name="LHeadCanal">#REF!</definedName>
    <definedName name="limcount" hidden="1">1</definedName>
    <definedName name="Lo" localSheetId="3">'[6]fixing of water way crest '!$D$353</definedName>
    <definedName name="Lo">'[7]fixing of water way crest '!$D$353</definedName>
    <definedName name="MWI" localSheetId="4">#REF!</definedName>
    <definedName name="MWI" localSheetId="1">#REF!</definedName>
    <definedName name="MWI" localSheetId="3">#REF!</definedName>
    <definedName name="MWI">#REF!</definedName>
    <definedName name="n">'[5]Intake Canal'!$C$10</definedName>
    <definedName name="N_basin" localSheetId="4">#REF!</definedName>
    <definedName name="N_basin" localSheetId="1">#REF!</definedName>
    <definedName name="N_basin" localSheetId="3">#REF!</definedName>
    <definedName name="N_basin">#REF!</definedName>
    <definedName name="n_flush" localSheetId="4">#REF!</definedName>
    <definedName name="n_flush" localSheetId="1">#REF!</definedName>
    <definedName name="n_flush">#REF!</definedName>
    <definedName name="ncanal" localSheetId="4">#REF!</definedName>
    <definedName name="ncanal" localSheetId="1">#REF!</definedName>
    <definedName name="ncanal">#REF!</definedName>
    <definedName name="Nhead" localSheetId="4">#REF!</definedName>
    <definedName name="Nhead" localSheetId="1">#REF!</definedName>
    <definedName name="Nhead">#REF!</definedName>
    <definedName name="Nmaning" localSheetId="4">#REF!</definedName>
    <definedName name="Nmaning" localSheetId="1">#REF!</definedName>
    <definedName name="Nmaning">#REF!</definedName>
    <definedName name="NRs_USD" localSheetId="4">#REF!</definedName>
    <definedName name="NWL" localSheetId="4">#REF!</definedName>
    <definedName name="NWL" localSheetId="1">#REF!</definedName>
    <definedName name="NWL">#REF!</definedName>
    <definedName name="optAheadcanal">'[5]Headrace Canal '!$H$20</definedName>
    <definedName name="OptbCanal" localSheetId="4">#REF!</definedName>
    <definedName name="OptbCanal" localSheetId="1">#REF!</definedName>
    <definedName name="OptbCanal" localSheetId="3">#REF!</definedName>
    <definedName name="OptbCanal">#REF!</definedName>
    <definedName name="optBheadcanal" localSheetId="4">#REF!</definedName>
    <definedName name="optBheadcanal" localSheetId="1">#REF!</definedName>
    <definedName name="optBheadcanal">#REF!</definedName>
    <definedName name="optHheadcanal" localSheetId="4">#REF!</definedName>
    <definedName name="optHheadcanal" localSheetId="1">#REF!</definedName>
    <definedName name="optHheadcanal">#REF!</definedName>
    <definedName name="optHLheadcanal" localSheetId="4">#REF!</definedName>
    <definedName name="optHLheadcanal" localSheetId="1">#REF!</definedName>
    <definedName name="optHLheadcanal">#REF!</definedName>
    <definedName name="optPheadcanal" localSheetId="4">#REF!</definedName>
    <definedName name="optPheadcanal" localSheetId="1">#REF!</definedName>
    <definedName name="optPheadcanal">#REF!</definedName>
    <definedName name="optRheadCanal" localSheetId="4">#REF!</definedName>
    <definedName name="optRheadCanal" localSheetId="1">#REF!</definedName>
    <definedName name="optRheadCanal">#REF!</definedName>
    <definedName name="optSlopeheadcanal" localSheetId="4">#REF!</definedName>
    <definedName name="optSlopeheadcanal" localSheetId="1">#REF!</definedName>
    <definedName name="optSlopeheadcanal">#REF!</definedName>
    <definedName name="PAGE1" localSheetId="4">#REF!</definedName>
    <definedName name="PAGE2" localSheetId="4">#REF!</definedName>
    <definedName name="PAGE3" localSheetId="4">#REF!</definedName>
    <definedName name="Perimeter" localSheetId="4">#REF!</definedName>
    <definedName name="Perimeter" localSheetId="1">#REF!</definedName>
    <definedName name="Perimeter">#REF!</definedName>
    <definedName name="Pfactor" localSheetId="4">#REF!</definedName>
    <definedName name="Pfactor" localSheetId="1">#REF!</definedName>
    <definedName name="Pfactor">#REF!</definedName>
    <definedName name="Pi">'[2]settling basin 240'!$D$8</definedName>
    <definedName name="Popt" localSheetId="4">#REF!</definedName>
    <definedName name="Popt" localSheetId="1">#REF!</definedName>
    <definedName name="Popt" localSheetId="3">#REF!</definedName>
    <definedName name="Popt">#REF!</definedName>
    <definedName name="Power" localSheetId="4">#REF!</definedName>
    <definedName name="Power" localSheetId="1">#REF!</definedName>
    <definedName name="Power">#REF!</definedName>
    <definedName name="_xlnm.Print_Area" localSheetId="0">'efficiency from chart '!$B$1:$K$58</definedName>
    <definedName name="_xlnm.Print_Area" localSheetId="4">'Energy '!$A$1:$O$47</definedName>
    <definedName name="_xlnm.Print_Area" localSheetId="1">'Headloss Estimation'!$A$1:$R$522</definedName>
    <definedName name="_xlnm.Print_Titles" localSheetId="4">'Energy '!$2:$3</definedName>
    <definedName name="_xlnm.Print_Titles" localSheetId="1">'Headloss Estimation'!$1:$8</definedName>
    <definedName name="q" localSheetId="4">#REF!</definedName>
    <definedName name="q" localSheetId="1">#REF!</definedName>
    <definedName name="q" localSheetId="3">#REF!</definedName>
    <definedName name="q">#REF!</definedName>
    <definedName name="Q_100" localSheetId="4">#REF!</definedName>
    <definedName name="Q_100" localSheetId="1">#REF!</definedName>
    <definedName name="Q_100">#REF!</definedName>
    <definedName name="Q_20" localSheetId="4">#REF!</definedName>
    <definedName name="Q_20" localSheetId="1">#REF!</definedName>
    <definedName name="Q_20">#REF!</definedName>
    <definedName name="Q_des" localSheetId="3">'[6]fixing of water way crest '!$D$351</definedName>
    <definedName name="Q_des">'[7]fixing of water way crest '!$D$351</definedName>
    <definedName name="Q_idf" localSheetId="3">'[6]fixing of water way crest '!$D$1</definedName>
    <definedName name="Q_idf">'[7]fixing of water way crest '!$D$1</definedName>
    <definedName name="Q_o" localSheetId="3">'[6]fixing of water way crest '!$D$349</definedName>
    <definedName name="Q_o">'[7]fixing of water way crest '!$D$349</definedName>
    <definedName name="Q_p" localSheetId="3">'[6]fixing of water way crest '!$D$348</definedName>
    <definedName name="Q_p">'[7]fixing of water way crest '!$D$348</definedName>
    <definedName name="q_per" localSheetId="3">'[6]fixing of water way crest '!$D$397</definedName>
    <definedName name="q_per">'[7]fixing of water way crest '!$D$397</definedName>
    <definedName name="qd" localSheetId="4">#REF!</definedName>
    <definedName name="qd" localSheetId="1">#REF!</definedName>
    <definedName name="qd" localSheetId="3">#REF!</definedName>
    <definedName name="qd">#REF!</definedName>
    <definedName name="Qf" localSheetId="3">'[6]fixing of water way crest '!$D$2</definedName>
    <definedName name="Qf">'[7]fixing of water way crest '!$D$2</definedName>
    <definedName name="Qflush" localSheetId="4">#REF!</definedName>
    <definedName name="Qflush" localSheetId="1">#REF!</definedName>
    <definedName name="Qflush" localSheetId="3">#REF!</definedName>
    <definedName name="Qflush">#REF!</definedName>
    <definedName name="Qintake" localSheetId="4">#REF!</definedName>
    <definedName name="Qintake" localSheetId="1">#REF!</definedName>
    <definedName name="Qintake">#REF!</definedName>
    <definedName name="Qo">'[8]Side Intake and Orifice'!$H$22</definedName>
    <definedName name="Qtotal" localSheetId="4">#REF!</definedName>
    <definedName name="Qtotal" localSheetId="1">#REF!</definedName>
    <definedName name="Qtotal" localSheetId="3">#REF!</definedName>
    <definedName name="Qtotal">#REF!</definedName>
    <definedName name="R_" localSheetId="4">#REF!</definedName>
    <definedName name="R_" localSheetId="1">#REF!</definedName>
    <definedName name="R_">#REF!</definedName>
    <definedName name="R_hyd">'[2]settling basin 240'!$D$9</definedName>
    <definedName name="Rcanal" localSheetId="4">#REF!</definedName>
    <definedName name="Rcanal" localSheetId="1">#REF!</definedName>
    <definedName name="Rcanal" localSheetId="3">#REF!</definedName>
    <definedName name="Rcanal">#REF!</definedName>
    <definedName name="Ressources" localSheetId="4">#REF!</definedName>
    <definedName name="Return100D">[9]Hydrology!$B$22</definedName>
    <definedName name="Return10D" localSheetId="4">#REF!</definedName>
    <definedName name="Return10D" localSheetId="1">#REF!</definedName>
    <definedName name="Return10D" localSheetId="3">#REF!</definedName>
    <definedName name="Return10D">#REF!</definedName>
    <definedName name="Return20D" localSheetId="4">#REF!</definedName>
    <definedName name="Return20D" localSheetId="1">#REF!</definedName>
    <definedName name="Return20D">#REF!</definedName>
    <definedName name="Return2D" localSheetId="4">#REF!</definedName>
    <definedName name="Return2D" localSheetId="1">#REF!</definedName>
    <definedName name="Return2D">#REF!</definedName>
    <definedName name="Return5D" localSheetId="4">#REF!</definedName>
    <definedName name="Return5D" localSheetId="1">#REF!</definedName>
    <definedName name="Return5D">#REF!</definedName>
    <definedName name="ReverBed" localSheetId="4">#REF!</definedName>
    <definedName name="ReverBed" localSheetId="1">#REF!</definedName>
    <definedName name="ReverBed">#REF!</definedName>
    <definedName name="Rflush" localSheetId="4">#REF!</definedName>
    <definedName name="Rflush" localSheetId="1">#REF!</definedName>
    <definedName name="Rflush">#REF!</definedName>
    <definedName name="Rscour" localSheetId="4">#REF!</definedName>
    <definedName name="Rscour" localSheetId="1">#REF!</definedName>
    <definedName name="Rscour">#REF!</definedName>
    <definedName name="s" localSheetId="4">#REF!</definedName>
    <definedName name="s" localSheetId="1">#REF!</definedName>
    <definedName name="s">#REF!</definedName>
    <definedName name="S_flushCanal" localSheetId="4">#REF!</definedName>
    <definedName name="S_flushCanal" localSheetId="1">#REF!</definedName>
    <definedName name="S_flushCanal">#REF!</definedName>
    <definedName name="SConc" localSheetId="4">#REF!</definedName>
    <definedName name="SConc" localSheetId="1">#REF!</definedName>
    <definedName name="SConc">#REF!</definedName>
    <definedName name="Sediment_load" localSheetId="4">#REF!</definedName>
    <definedName name="Sediment_load" localSheetId="1">#REF!</definedName>
    <definedName name="Sediment_load">#REF!</definedName>
    <definedName name="sencount" hidden="1">1</definedName>
    <definedName name="Slope" localSheetId="4">#REF!</definedName>
    <definedName name="Slope" localSheetId="1">#REF!</definedName>
    <definedName name="Slope" localSheetId="3">#REF!</definedName>
    <definedName name="Slope">#REF!</definedName>
    <definedName name="SlopeCanal" localSheetId="4">#REF!</definedName>
    <definedName name="SlopeCanal" localSheetId="1">#REF!</definedName>
    <definedName name="SlopeCanal">#REF!</definedName>
    <definedName name="solver_adj" localSheetId="0" hidden="1">'[10]subs weir(100)'!$G$97</definedName>
    <definedName name="solver_adj" localSheetId="4" hidden="1">'[11]subs weir(100)'!$G$97</definedName>
    <definedName name="solver_adj" localSheetId="3" hidden="1">'[10]subs weir(100)'!$G$97</definedName>
    <definedName name="solver_adj" hidden="1">'[11]subs weir(100)'!$G$97</definedName>
    <definedName name="solver_cvg" hidden="1">0.0001</definedName>
    <definedName name="solver_drv" hidden="1">1</definedName>
    <definedName name="solver_est" hidden="1">1</definedName>
    <definedName name="solver_itr" hidden="1">100</definedName>
    <definedName name="solver_lin" hidden="1">2</definedName>
    <definedName name="solver_neg" hidden="1">2</definedName>
    <definedName name="solver_num" hidden="1">0</definedName>
    <definedName name="solver_nwt" hidden="1">1</definedName>
    <definedName name="solver_opt" localSheetId="0" hidden="1">'[10]subs weir(100)'!$G$98</definedName>
    <definedName name="solver_opt" localSheetId="4" hidden="1">'[11]subs weir(100)'!$G$98</definedName>
    <definedName name="solver_opt" localSheetId="3" hidden="1">'[10]subs weir(100)'!$G$98</definedName>
    <definedName name="solver_opt" hidden="1">'[11]subs weir(100)'!$G$98</definedName>
    <definedName name="solver_pre" hidden="1">0.000001</definedName>
    <definedName name="solver_scl" hidden="1">2</definedName>
    <definedName name="solver_sho" hidden="1">2</definedName>
    <definedName name="solver_tim" hidden="1">100</definedName>
    <definedName name="solver_tol" hidden="1">0.05</definedName>
    <definedName name="solver_typ" hidden="1">1</definedName>
    <definedName name="solver_val" hidden="1">0</definedName>
    <definedName name="Sopt" localSheetId="4">#REF!</definedName>
    <definedName name="Sopt" localSheetId="1">#REF!</definedName>
    <definedName name="Sopt" localSheetId="3">#REF!</definedName>
    <definedName name="Sopt">#REF!</definedName>
    <definedName name="T" localSheetId="4">#REF!</definedName>
    <definedName name="T" localSheetId="1">#REF!</definedName>
    <definedName name="T">#REF!</definedName>
    <definedName name="TopWHeadCanal" localSheetId="4">#REF!</definedName>
    <definedName name="TopWHeadCanal" localSheetId="1">#REF!</definedName>
    <definedName name="TopWHeadCanal">#REF!</definedName>
    <definedName name="Trash_Surface" localSheetId="4">#REF!</definedName>
    <definedName name="Trash_Surface" localSheetId="1">#REF!</definedName>
    <definedName name="Trash_Surface">#REF!</definedName>
    <definedName name="tt" localSheetId="4">#REF!</definedName>
    <definedName name="tt" localSheetId="1">#REF!</definedName>
    <definedName name="tt">#REF!</definedName>
    <definedName name="Tw" localSheetId="4">#REF!</definedName>
    <definedName name="Tw" localSheetId="1">#REF!</definedName>
    <definedName name="Tw">#REF!</definedName>
    <definedName name="V_orrifice" localSheetId="4">#REF!</definedName>
    <definedName name="V_orrifice" localSheetId="1">#REF!</definedName>
    <definedName name="V_orrifice">#REF!</definedName>
    <definedName name="Va" localSheetId="4">#REF!</definedName>
    <definedName name="Va" localSheetId="1">#REF!</definedName>
    <definedName name="Va">#REF!</definedName>
    <definedName name="Vapproach" localSheetId="4">#REF!</definedName>
    <definedName name="Vapproach" localSheetId="1">#REF!</definedName>
    <definedName name="Vapproach">#REF!</definedName>
    <definedName name="Vc_canal" localSheetId="4">#REF!</definedName>
    <definedName name="Vc_canal" localSheetId="1">#REF!</definedName>
    <definedName name="Vc_canal">#REF!</definedName>
    <definedName name="VheadCanal" localSheetId="4">#REF!</definedName>
    <definedName name="VheadCanal" localSheetId="1">#REF!</definedName>
    <definedName name="VheadCanal">#REF!</definedName>
    <definedName name="VIntakeCanal" localSheetId="4">#REF!</definedName>
    <definedName name="VIntakeCanal" localSheetId="1">#REF!</definedName>
    <definedName name="VIntakeCanal">#REF!</definedName>
    <definedName name="Vlimit" localSheetId="4">#REF!</definedName>
    <definedName name="Vlimit" localSheetId="1">#REF!</definedName>
    <definedName name="Vlimit">#REF!</definedName>
    <definedName name="Volume_sediment" localSheetId="4">#REF!</definedName>
    <definedName name="Volume_sediment" localSheetId="1">#REF!</definedName>
    <definedName name="Volume_sediment">#REF!</definedName>
    <definedName name="Vtrash" localSheetId="4">#REF!</definedName>
    <definedName name="Vtrash" localSheetId="1">#REF!</definedName>
    <definedName name="Vtrash">#REF!</definedName>
    <definedName name="Wbasin">'[8]Settling Basin'!$C$20</definedName>
    <definedName name="Wcrest" localSheetId="4">#REF!</definedName>
    <definedName name="Wcrest" localSheetId="1">#REF!</definedName>
    <definedName name="Wcrest" localSheetId="3">#REF!</definedName>
    <definedName name="Wcrest">#REF!</definedName>
    <definedName name="Weffec" localSheetId="4">#REF!</definedName>
    <definedName name="Weffec" localSheetId="1">#REF!</definedName>
    <definedName name="Weffec">#REF!</definedName>
    <definedName name="Wfall" localSheetId="4">#REF!</definedName>
    <definedName name="Wfall" localSheetId="1">#REF!</definedName>
    <definedName name="Wfall">#REF!</definedName>
    <definedName name="WLc" localSheetId="4">#REF!</definedName>
    <definedName name="WLc" localSheetId="1">#REF!</definedName>
    <definedName name="WLc">#REF!</definedName>
    <definedName name="WLcanal" localSheetId="4">#REF!</definedName>
    <definedName name="WLcanal" localSheetId="1">#REF!</definedName>
    <definedName name="WLcanal">#REF!</definedName>
    <definedName name="WLgt" localSheetId="4">#REF!</definedName>
    <definedName name="WLgt" localSheetId="1">#REF!</definedName>
    <definedName name="WLgt">#REF!</definedName>
    <definedName name="WLHeadCanal" localSheetId="4">#REF!</definedName>
    <definedName name="WLHeadCanal" localSheetId="1">#REF!</definedName>
    <definedName name="WLHeadCanal">#REF!</definedName>
    <definedName name="WLriver" localSheetId="4">#REF!</definedName>
    <definedName name="WLriver" localSheetId="1">#REF!</definedName>
    <definedName name="WLriver">#REF!</definedName>
    <definedName name="WLsetling" localSheetId="4">#REF!</definedName>
    <definedName name="WLsetling" localSheetId="1">#REF!</definedName>
    <definedName name="WLsetling">#REF!</definedName>
    <definedName name="wrn.5." localSheetId="0" hidden="1">{"Mahesh Maskey - Personal View",#N/A,FALSE,"HeadLossApril (2)";#N/A,#N/A,FALSE,"Hydraulic Gadient"}</definedName>
    <definedName name="wrn.5." localSheetId="4" hidden="1">{"Mahesh Maskey - Personal View",#N/A,FALSE,"HeadLossApril (2)";#N/A,#N/A,FALSE,"Hydraulic Gadient"}</definedName>
    <definedName name="wrn.5." localSheetId="1" hidden="1">{"Mahesh Maskey - Personal View",#N/A,FALSE,"HeadLossApril (2)";#N/A,#N/A,FALSE,"Hydraulic Gadient"}</definedName>
    <definedName name="wrn.5." localSheetId="3" hidden="1">{"Mahesh Maskey - Personal View",#N/A,FALSE,"HeadLossApril (2)";#N/A,#N/A,FALSE,"Hydraulic Gadient"}</definedName>
    <definedName name="wrn.5." hidden="1">{"Mahesh Maskey - Personal View",#N/A,FALSE,"HeadLossApril (2)";#N/A,#N/A,FALSE,"Hydraulic Gadient"}</definedName>
    <definedName name="wrn.Print." localSheetId="0" hidden="1">{#N/A,#N/A,TRUE,"Flat Before Crest";#N/A,#N/A,TRUE,"1-4 Before Crest";#N/A,#N/A,TRUE,"Crest";#N/A,#N/A,TRUE,"after crest";#N/A,#N/A,TRUE,"Data"}</definedName>
    <definedName name="wrn.Print." localSheetId="4" hidden="1">{#N/A,#N/A,TRUE,"Flat Before Crest";#N/A,#N/A,TRUE,"1-4 Before Crest";#N/A,#N/A,TRUE,"Crest";#N/A,#N/A,TRUE,"after crest";#N/A,#N/A,TRUE,"Data"}</definedName>
    <definedName name="wrn.Print." localSheetId="1" hidden="1">{#N/A,#N/A,TRUE,"Flat Before Crest";#N/A,#N/A,TRUE,"1-4 Before Crest";#N/A,#N/A,TRUE,"Crest";#N/A,#N/A,TRUE,"after crest";#N/A,#N/A,TRUE,"Data"}</definedName>
    <definedName name="wrn.Print." localSheetId="3" hidden="1">{#N/A,#N/A,TRUE,"Flat Before Crest";#N/A,#N/A,TRUE,"1-4 Before Crest";#N/A,#N/A,TRUE,"Crest";#N/A,#N/A,TRUE,"after crest";#N/A,#N/A,TRUE,"Data"}</definedName>
    <definedName name="wrn.Print." hidden="1">{#N/A,#N/A,TRUE,"Flat Before Crest";#N/A,#N/A,TRUE,"1-4 Before Crest";#N/A,#N/A,TRUE,"Crest";#N/A,#N/A,TRUE,"after crest";#N/A,#N/A,TRUE,"Data"}</definedName>
    <definedName name="Wspill" localSheetId="4">#REF!</definedName>
    <definedName name="Wspill" localSheetId="1">#REF!</definedName>
    <definedName name="Wspill" localSheetId="3">#REF!</definedName>
    <definedName name="Wspill">#REF!</definedName>
    <definedName name="β" localSheetId="4">'[7]fixing of water way crest '!#REF!</definedName>
    <definedName name="β" localSheetId="1">'[7]fixing of water way crest '!#REF!</definedName>
    <definedName name="β" localSheetId="3">'[6]fixing of water way crest '!#REF!</definedName>
    <definedName name="β">'[7]fixing of water way crest '!#REF!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2" i="1" l="1"/>
  <c r="F300" i="3" l="1"/>
  <c r="G299" i="3"/>
  <c r="H299" i="3" s="1"/>
  <c r="I299" i="3" s="1"/>
  <c r="J299" i="3" s="1"/>
  <c r="K299" i="3" s="1"/>
  <c r="L299" i="3" s="1"/>
  <c r="M299" i="3" s="1"/>
  <c r="N299" i="3" s="1"/>
  <c r="O299" i="3" s="1"/>
  <c r="P299" i="3" s="1"/>
  <c r="Q299" i="3" s="1"/>
  <c r="R299" i="3" s="1"/>
  <c r="R300" i="3" s="1"/>
  <c r="J300" i="3" l="1"/>
  <c r="L300" i="3"/>
  <c r="K300" i="3"/>
  <c r="I300" i="3"/>
  <c r="H300" i="3"/>
  <c r="G300" i="3"/>
  <c r="Q300" i="3"/>
  <c r="P300" i="3"/>
  <c r="O300" i="3"/>
  <c r="N300" i="3"/>
  <c r="M300" i="3"/>
  <c r="B174" i="3"/>
  <c r="B173" i="3"/>
  <c r="B205" i="3" s="1"/>
  <c r="F499" i="3"/>
  <c r="F495" i="3"/>
  <c r="G497" i="3"/>
  <c r="H497" i="3" s="1"/>
  <c r="I497" i="3" s="1"/>
  <c r="J497" i="3" s="1"/>
  <c r="K497" i="3" s="1"/>
  <c r="L497" i="3" s="1"/>
  <c r="M497" i="3" s="1"/>
  <c r="N497" i="3" s="1"/>
  <c r="O497" i="3" s="1"/>
  <c r="P497" i="3" s="1"/>
  <c r="Q497" i="3" s="1"/>
  <c r="R497" i="3" s="1"/>
  <c r="G494" i="3"/>
  <c r="F447" i="3"/>
  <c r="B418" i="3"/>
  <c r="F403" i="3"/>
  <c r="F399" i="3"/>
  <c r="G401" i="3"/>
  <c r="H401" i="3" s="1"/>
  <c r="I401" i="3" s="1"/>
  <c r="J401" i="3" s="1"/>
  <c r="K401" i="3" s="1"/>
  <c r="L401" i="3" s="1"/>
  <c r="M401" i="3" s="1"/>
  <c r="N401" i="3" s="1"/>
  <c r="O401" i="3" s="1"/>
  <c r="P401" i="3" s="1"/>
  <c r="Q401" i="3" s="1"/>
  <c r="R401" i="3" s="1"/>
  <c r="R403" i="3" s="1"/>
  <c r="G398" i="3"/>
  <c r="F395" i="3"/>
  <c r="F391" i="3"/>
  <c r="G393" i="3"/>
  <c r="H393" i="3" s="1"/>
  <c r="I393" i="3" s="1"/>
  <c r="J393" i="3" s="1"/>
  <c r="K393" i="3" s="1"/>
  <c r="L393" i="3" s="1"/>
  <c r="M393" i="3" s="1"/>
  <c r="N393" i="3" s="1"/>
  <c r="O393" i="3" s="1"/>
  <c r="P393" i="3" s="1"/>
  <c r="Q393" i="3" s="1"/>
  <c r="R393" i="3" s="1"/>
  <c r="R395" i="3" s="1"/>
  <c r="G390" i="3"/>
  <c r="H390" i="3" s="1"/>
  <c r="F345" i="3"/>
  <c r="G343" i="3"/>
  <c r="H343" i="3" s="1"/>
  <c r="I343" i="3" s="1"/>
  <c r="J343" i="3" s="1"/>
  <c r="K343" i="3" s="1"/>
  <c r="L343" i="3" s="1"/>
  <c r="M343" i="3" s="1"/>
  <c r="N343" i="3" s="1"/>
  <c r="O343" i="3" s="1"/>
  <c r="P343" i="3" s="1"/>
  <c r="Q343" i="3" s="1"/>
  <c r="R343" i="3" s="1"/>
  <c r="R345" i="3" s="1"/>
  <c r="G340" i="3"/>
  <c r="F336" i="3"/>
  <c r="G334" i="3"/>
  <c r="H334" i="3" s="1"/>
  <c r="I334" i="3" s="1"/>
  <c r="J334" i="3" s="1"/>
  <c r="K334" i="3" s="1"/>
  <c r="L334" i="3" s="1"/>
  <c r="M334" i="3" s="1"/>
  <c r="N334" i="3" s="1"/>
  <c r="O334" i="3" s="1"/>
  <c r="P334" i="3" s="1"/>
  <c r="Q334" i="3" s="1"/>
  <c r="R334" i="3" s="1"/>
  <c r="R336" i="3" s="1"/>
  <c r="G331" i="3"/>
  <c r="F327" i="3"/>
  <c r="G325" i="3"/>
  <c r="H325" i="3" s="1"/>
  <c r="I325" i="3" s="1"/>
  <c r="J325" i="3" s="1"/>
  <c r="K325" i="3" s="1"/>
  <c r="L325" i="3" s="1"/>
  <c r="M325" i="3" s="1"/>
  <c r="N325" i="3" s="1"/>
  <c r="O325" i="3" s="1"/>
  <c r="P325" i="3" s="1"/>
  <c r="Q325" i="3" s="1"/>
  <c r="R325" i="3" s="1"/>
  <c r="R327" i="3" s="1"/>
  <c r="G322" i="3"/>
  <c r="H322" i="3" s="1"/>
  <c r="F318" i="3"/>
  <c r="G316" i="3"/>
  <c r="G318" i="3" s="1"/>
  <c r="F314" i="3"/>
  <c r="F323" i="3" s="1"/>
  <c r="F332" i="3" s="1"/>
  <c r="F341" i="3" s="1"/>
  <c r="G313" i="3"/>
  <c r="H313" i="3" s="1"/>
  <c r="I313" i="3" s="1"/>
  <c r="J313" i="3" s="1"/>
  <c r="K313" i="3" s="1"/>
  <c r="L313" i="3" s="1"/>
  <c r="M313" i="3" s="1"/>
  <c r="N313" i="3" s="1"/>
  <c r="O313" i="3" s="1"/>
  <c r="P313" i="3" s="1"/>
  <c r="Q313" i="3" s="1"/>
  <c r="R313" i="3" s="1"/>
  <c r="R314" i="3" s="1"/>
  <c r="N395" i="3" l="1"/>
  <c r="P403" i="3"/>
  <c r="O403" i="3"/>
  <c r="N403" i="3"/>
  <c r="M403" i="3"/>
  <c r="Q395" i="3"/>
  <c r="L403" i="3"/>
  <c r="P395" i="3"/>
  <c r="G403" i="3"/>
  <c r="H494" i="3"/>
  <c r="K403" i="3"/>
  <c r="J403" i="3"/>
  <c r="I403" i="3"/>
  <c r="H403" i="3"/>
  <c r="Q403" i="3"/>
  <c r="H398" i="3"/>
  <c r="O395" i="3"/>
  <c r="M395" i="3"/>
  <c r="L395" i="3"/>
  <c r="K395" i="3"/>
  <c r="J395" i="3"/>
  <c r="I395" i="3"/>
  <c r="H395" i="3"/>
  <c r="G395" i="3"/>
  <c r="I390" i="3"/>
  <c r="Q345" i="3"/>
  <c r="P345" i="3"/>
  <c r="O345" i="3"/>
  <c r="N345" i="3"/>
  <c r="Q336" i="3"/>
  <c r="P336" i="3"/>
  <c r="M345" i="3"/>
  <c r="N336" i="3"/>
  <c r="L345" i="3"/>
  <c r="M336" i="3"/>
  <c r="K345" i="3"/>
  <c r="J345" i="3"/>
  <c r="I345" i="3"/>
  <c r="H345" i="3"/>
  <c r="G345" i="3"/>
  <c r="H340" i="3"/>
  <c r="O336" i="3"/>
  <c r="L336" i="3"/>
  <c r="K336" i="3"/>
  <c r="J336" i="3"/>
  <c r="I336" i="3"/>
  <c r="H336" i="3"/>
  <c r="G336" i="3"/>
  <c r="H327" i="3"/>
  <c r="H331" i="3"/>
  <c r="Q327" i="3"/>
  <c r="N327" i="3"/>
  <c r="M327" i="3"/>
  <c r="P327" i="3"/>
  <c r="H316" i="3"/>
  <c r="H318" i="3" s="1"/>
  <c r="L327" i="3"/>
  <c r="O327" i="3"/>
  <c r="K327" i="3"/>
  <c r="J327" i="3"/>
  <c r="I327" i="3"/>
  <c r="G327" i="3"/>
  <c r="I322" i="3"/>
  <c r="O314" i="3"/>
  <c r="N314" i="3"/>
  <c r="Q314" i="3"/>
  <c r="M314" i="3"/>
  <c r="L314" i="3"/>
  <c r="P314" i="3"/>
  <c r="K314" i="3"/>
  <c r="J314" i="3"/>
  <c r="I314" i="3"/>
  <c r="H314" i="3"/>
  <c r="H323" i="3" s="1"/>
  <c r="G314" i="3"/>
  <c r="G323" i="3" s="1"/>
  <c r="G332" i="3" s="1"/>
  <c r="G341" i="3" s="1"/>
  <c r="I494" i="3" l="1"/>
  <c r="J494" i="3" s="1"/>
  <c r="I398" i="3"/>
  <c r="J390" i="3"/>
  <c r="I340" i="3"/>
  <c r="I331" i="3"/>
  <c r="H332" i="3"/>
  <c r="H341" i="3" s="1"/>
  <c r="I316" i="3"/>
  <c r="I318" i="3" s="1"/>
  <c r="J322" i="3"/>
  <c r="I323" i="3"/>
  <c r="K494" i="3" l="1"/>
  <c r="J398" i="3"/>
  <c r="K390" i="3"/>
  <c r="J340" i="3"/>
  <c r="J316" i="3"/>
  <c r="J318" i="3" s="1"/>
  <c r="I332" i="3"/>
  <c r="I341" i="3" s="1"/>
  <c r="J331" i="3"/>
  <c r="K322" i="3"/>
  <c r="J323" i="3"/>
  <c r="L494" i="3" l="1"/>
  <c r="K398" i="3"/>
  <c r="L390" i="3"/>
  <c r="K340" i="3"/>
  <c r="K316" i="3"/>
  <c r="L316" i="3" s="1"/>
  <c r="J332" i="3"/>
  <c r="J341" i="3" s="1"/>
  <c r="K331" i="3"/>
  <c r="K323" i="3"/>
  <c r="L322" i="3"/>
  <c r="M494" i="3" l="1"/>
  <c r="L398" i="3"/>
  <c r="M390" i="3"/>
  <c r="L340" i="3"/>
  <c r="K318" i="3"/>
  <c r="K332" i="3"/>
  <c r="K341" i="3" s="1"/>
  <c r="L331" i="3"/>
  <c r="L323" i="3"/>
  <c r="M322" i="3"/>
  <c r="M316" i="3"/>
  <c r="L318" i="3"/>
  <c r="N494" i="3" l="1"/>
  <c r="M398" i="3"/>
  <c r="N390" i="3"/>
  <c r="M340" i="3"/>
  <c r="L332" i="3"/>
  <c r="L341" i="3" s="1"/>
  <c r="M331" i="3"/>
  <c r="M323" i="3"/>
  <c r="N322" i="3"/>
  <c r="N316" i="3"/>
  <c r="M318" i="3"/>
  <c r="O494" i="3" l="1"/>
  <c r="N398" i="3"/>
  <c r="O390" i="3"/>
  <c r="N340" i="3"/>
  <c r="M332" i="3"/>
  <c r="M341" i="3" s="1"/>
  <c r="N331" i="3"/>
  <c r="N323" i="3"/>
  <c r="O322" i="3"/>
  <c r="O316" i="3"/>
  <c r="N318" i="3"/>
  <c r="P494" i="3" l="1"/>
  <c r="O398" i="3"/>
  <c r="P390" i="3"/>
  <c r="O340" i="3"/>
  <c r="N332" i="3"/>
  <c r="N341" i="3" s="1"/>
  <c r="O331" i="3"/>
  <c r="P322" i="3"/>
  <c r="O323" i="3"/>
  <c r="P316" i="3"/>
  <c r="O318" i="3"/>
  <c r="Q494" i="3" l="1"/>
  <c r="P398" i="3"/>
  <c r="Q390" i="3"/>
  <c r="P340" i="3"/>
  <c r="O332" i="3"/>
  <c r="O341" i="3" s="1"/>
  <c r="P331" i="3"/>
  <c r="P323" i="3"/>
  <c r="Q322" i="3"/>
  <c r="Q316" i="3"/>
  <c r="P318" i="3"/>
  <c r="R494" i="3" l="1"/>
  <c r="Q398" i="3"/>
  <c r="R390" i="3"/>
  <c r="Q340" i="3"/>
  <c r="Q331" i="3"/>
  <c r="P332" i="3"/>
  <c r="P341" i="3" s="1"/>
  <c r="Q323" i="3"/>
  <c r="R322" i="3"/>
  <c r="R323" i="3" s="1"/>
  <c r="R316" i="3"/>
  <c r="R318" i="3" s="1"/>
  <c r="Q318" i="3"/>
  <c r="R398" i="3" l="1"/>
  <c r="R340" i="3"/>
  <c r="R331" i="3"/>
  <c r="R332" i="3" s="1"/>
  <c r="Q332" i="3"/>
  <c r="Q341" i="3" s="1"/>
  <c r="R341" i="3" l="1"/>
  <c r="F276" i="3" l="1"/>
  <c r="F277" i="3" s="1"/>
  <c r="G275" i="3"/>
  <c r="H275" i="3" s="1"/>
  <c r="I275" i="3" s="1"/>
  <c r="J275" i="3" s="1"/>
  <c r="K275" i="3" s="1"/>
  <c r="L275" i="3" s="1"/>
  <c r="M275" i="3" s="1"/>
  <c r="N275" i="3" s="1"/>
  <c r="O275" i="3" s="1"/>
  <c r="P275" i="3" s="1"/>
  <c r="Q275" i="3" s="1"/>
  <c r="R275" i="3" s="1"/>
  <c r="G274" i="3"/>
  <c r="H274" i="3" s="1"/>
  <c r="I274" i="3" s="1"/>
  <c r="J274" i="3" s="1"/>
  <c r="K274" i="3" s="1"/>
  <c r="L274" i="3" s="1"/>
  <c r="M274" i="3" s="1"/>
  <c r="N274" i="3" s="1"/>
  <c r="O274" i="3" s="1"/>
  <c r="P274" i="3" s="1"/>
  <c r="Q274" i="3" s="1"/>
  <c r="R274" i="3" s="1"/>
  <c r="G272" i="3"/>
  <c r="H272" i="3" s="1"/>
  <c r="I272" i="3" s="1"/>
  <c r="J272" i="3" s="1"/>
  <c r="K272" i="3" s="1"/>
  <c r="L272" i="3" s="1"/>
  <c r="M272" i="3" s="1"/>
  <c r="N272" i="3" s="1"/>
  <c r="O272" i="3" s="1"/>
  <c r="P272" i="3" s="1"/>
  <c r="Q272" i="3" s="1"/>
  <c r="R272" i="3" s="1"/>
  <c r="G270" i="3"/>
  <c r="H270" i="3" s="1"/>
  <c r="F118" i="3"/>
  <c r="F119" i="3" s="1"/>
  <c r="G114" i="3"/>
  <c r="H114" i="3" s="1"/>
  <c r="I114" i="3" s="1"/>
  <c r="J114" i="3" s="1"/>
  <c r="K114" i="3" s="1"/>
  <c r="L114" i="3" s="1"/>
  <c r="M114" i="3" s="1"/>
  <c r="N114" i="3" s="1"/>
  <c r="O114" i="3" s="1"/>
  <c r="P114" i="3" s="1"/>
  <c r="Q114" i="3" s="1"/>
  <c r="R114" i="3" s="1"/>
  <c r="F28" i="3"/>
  <c r="G112" i="3"/>
  <c r="H112" i="3" s="1"/>
  <c r="I112" i="3" s="1"/>
  <c r="J112" i="3" s="1"/>
  <c r="K112" i="3" s="1"/>
  <c r="L112" i="3" s="1"/>
  <c r="M112" i="3" s="1"/>
  <c r="N112" i="3" s="1"/>
  <c r="O112" i="3" s="1"/>
  <c r="P112" i="3" s="1"/>
  <c r="Q112" i="3" s="1"/>
  <c r="R112" i="3" s="1"/>
  <c r="I270" i="3" l="1"/>
  <c r="G276" i="3"/>
  <c r="H276" i="3" s="1"/>
  <c r="I276" i="3" s="1"/>
  <c r="J276" i="3" s="1"/>
  <c r="K276" i="3" s="1"/>
  <c r="L276" i="3" s="1"/>
  <c r="M276" i="3" s="1"/>
  <c r="N276" i="3" s="1"/>
  <c r="O276" i="3" s="1"/>
  <c r="P276" i="3" s="1"/>
  <c r="Q276" i="3" s="1"/>
  <c r="R276" i="3" s="1"/>
  <c r="G118" i="3"/>
  <c r="H118" i="3" s="1"/>
  <c r="I118" i="3" s="1"/>
  <c r="J118" i="3" s="1"/>
  <c r="K118" i="3" s="1"/>
  <c r="L118" i="3" s="1"/>
  <c r="M118" i="3" s="1"/>
  <c r="N118" i="3" s="1"/>
  <c r="O118" i="3" s="1"/>
  <c r="P118" i="3" s="1"/>
  <c r="Q118" i="3" s="1"/>
  <c r="R118" i="3" s="1"/>
  <c r="G117" i="3"/>
  <c r="H117" i="3" s="1"/>
  <c r="I117" i="3" s="1"/>
  <c r="J117" i="3" s="1"/>
  <c r="K117" i="3" s="1"/>
  <c r="L117" i="3" s="1"/>
  <c r="M117" i="3" s="1"/>
  <c r="N117" i="3" s="1"/>
  <c r="O117" i="3" s="1"/>
  <c r="P117" i="3" s="1"/>
  <c r="Q117" i="3" s="1"/>
  <c r="R117" i="3" s="1"/>
  <c r="G116" i="3"/>
  <c r="H116" i="3" s="1"/>
  <c r="I116" i="3" s="1"/>
  <c r="J116" i="3" s="1"/>
  <c r="K116" i="3" s="1"/>
  <c r="L116" i="3" s="1"/>
  <c r="M116" i="3" s="1"/>
  <c r="N116" i="3" s="1"/>
  <c r="O116" i="3" s="1"/>
  <c r="P116" i="3" s="1"/>
  <c r="Q116" i="3" s="1"/>
  <c r="R116" i="3" s="1"/>
  <c r="G277" i="3" l="1"/>
  <c r="H277" i="3"/>
  <c r="I277" i="3"/>
  <c r="J270" i="3"/>
  <c r="R119" i="3"/>
  <c r="L119" i="3"/>
  <c r="J119" i="3"/>
  <c r="K119" i="3"/>
  <c r="O119" i="3"/>
  <c r="P119" i="3"/>
  <c r="M119" i="3"/>
  <c r="H119" i="3"/>
  <c r="Q119" i="3"/>
  <c r="G119" i="3"/>
  <c r="N119" i="3"/>
  <c r="I119" i="3"/>
  <c r="G448" i="3"/>
  <c r="F477" i="3"/>
  <c r="B7" i="5"/>
  <c r="G302" i="3"/>
  <c r="H302" i="3" s="1"/>
  <c r="I302" i="3" s="1"/>
  <c r="J302" i="3" s="1"/>
  <c r="K302" i="3" s="1"/>
  <c r="L302" i="3" s="1"/>
  <c r="M302" i="3" s="1"/>
  <c r="N302" i="3" s="1"/>
  <c r="O302" i="3" s="1"/>
  <c r="P302" i="3" s="1"/>
  <c r="Q302" i="3" s="1"/>
  <c r="R302" i="3" s="1"/>
  <c r="B10" i="5"/>
  <c r="B8" i="5"/>
  <c r="B9" i="5" s="1"/>
  <c r="B11" i="5" s="1"/>
  <c r="B6" i="5"/>
  <c r="B5" i="5"/>
  <c r="G306" i="3"/>
  <c r="G47" i="1"/>
  <c r="C507" i="3"/>
  <c r="J277" i="3" l="1"/>
  <c r="K270" i="3"/>
  <c r="H448" i="3"/>
  <c r="B493" i="3"/>
  <c r="C490" i="3"/>
  <c r="G487" i="3"/>
  <c r="G344" i="3"/>
  <c r="H344" i="3" s="1"/>
  <c r="I344" i="3" s="1"/>
  <c r="J344" i="3" s="1"/>
  <c r="K344" i="3" s="1"/>
  <c r="L344" i="3" s="1"/>
  <c r="M344" i="3" s="1"/>
  <c r="N344" i="3" s="1"/>
  <c r="O344" i="3" s="1"/>
  <c r="P344" i="3" s="1"/>
  <c r="Q344" i="3" s="1"/>
  <c r="R344" i="3" s="1"/>
  <c r="G335" i="3"/>
  <c r="H335" i="3" s="1"/>
  <c r="I335" i="3" s="1"/>
  <c r="J335" i="3" s="1"/>
  <c r="K335" i="3" s="1"/>
  <c r="L335" i="3" s="1"/>
  <c r="M335" i="3" s="1"/>
  <c r="N335" i="3" s="1"/>
  <c r="O335" i="3" s="1"/>
  <c r="G326" i="3"/>
  <c r="H326" i="3" s="1"/>
  <c r="I326" i="3" s="1"/>
  <c r="J326" i="3" s="1"/>
  <c r="K326" i="3" s="1"/>
  <c r="L326" i="3" s="1"/>
  <c r="M326" i="3" s="1"/>
  <c r="N326" i="3" s="1"/>
  <c r="O326" i="3" s="1"/>
  <c r="P326" i="3" s="1"/>
  <c r="G317" i="3"/>
  <c r="H317" i="3" s="1"/>
  <c r="I317" i="3" s="1"/>
  <c r="J317" i="3" s="1"/>
  <c r="K317" i="3" s="1"/>
  <c r="L317" i="3" s="1"/>
  <c r="M317" i="3" s="1"/>
  <c r="N317" i="3" s="1"/>
  <c r="O317" i="3" s="1"/>
  <c r="H306" i="3"/>
  <c r="I306" i="3"/>
  <c r="J306" i="3"/>
  <c r="K306" i="3"/>
  <c r="L306" i="3"/>
  <c r="M306" i="3"/>
  <c r="N306" i="3"/>
  <c r="O306" i="3"/>
  <c r="P306" i="3"/>
  <c r="Q306" i="3"/>
  <c r="R306" i="3"/>
  <c r="F306" i="3"/>
  <c r="F251" i="3"/>
  <c r="F357" i="3"/>
  <c r="G215" i="3"/>
  <c r="G219" i="3" s="1"/>
  <c r="G221" i="3" s="1"/>
  <c r="H215" i="3"/>
  <c r="H219" i="3" s="1"/>
  <c r="H221" i="3" s="1"/>
  <c r="I215" i="3"/>
  <c r="I219" i="3" s="1"/>
  <c r="I221" i="3" s="1"/>
  <c r="J215" i="3"/>
  <c r="J219" i="3" s="1"/>
  <c r="J221" i="3" s="1"/>
  <c r="K215" i="3"/>
  <c r="K219" i="3" s="1"/>
  <c r="K221" i="3" s="1"/>
  <c r="L215" i="3"/>
  <c r="L219" i="3" s="1"/>
  <c r="L221" i="3" s="1"/>
  <c r="M215" i="3"/>
  <c r="M219" i="3" s="1"/>
  <c r="M221" i="3" s="1"/>
  <c r="N215" i="3"/>
  <c r="N219" i="3" s="1"/>
  <c r="N221" i="3" s="1"/>
  <c r="O215" i="3"/>
  <c r="O219" i="3" s="1"/>
  <c r="O221" i="3" s="1"/>
  <c r="P215" i="3"/>
  <c r="P219" i="3" s="1"/>
  <c r="P221" i="3" s="1"/>
  <c r="Q215" i="3"/>
  <c r="Q219" i="3" s="1"/>
  <c r="Q221" i="3" s="1"/>
  <c r="R215" i="3"/>
  <c r="R219" i="3" s="1"/>
  <c r="R221" i="3" s="1"/>
  <c r="F215" i="3"/>
  <c r="F219" i="3" s="1"/>
  <c r="F221" i="3" s="1"/>
  <c r="F184" i="3"/>
  <c r="F214" i="3"/>
  <c r="G187" i="3"/>
  <c r="H187" i="3"/>
  <c r="I187" i="3"/>
  <c r="J187" i="3"/>
  <c r="K187" i="3"/>
  <c r="L187" i="3"/>
  <c r="M187" i="3"/>
  <c r="N187" i="3"/>
  <c r="O187" i="3"/>
  <c r="P187" i="3"/>
  <c r="Q187" i="3"/>
  <c r="R187" i="3"/>
  <c r="F187" i="3"/>
  <c r="F186" i="3"/>
  <c r="H487" i="3" l="1"/>
  <c r="G495" i="3"/>
  <c r="K277" i="3"/>
  <c r="L270" i="3"/>
  <c r="I448" i="3"/>
  <c r="P335" i="3"/>
  <c r="Q335" i="3" s="1"/>
  <c r="R335" i="3" s="1"/>
  <c r="P317" i="3"/>
  <c r="Q317" i="3" s="1"/>
  <c r="R317" i="3" s="1"/>
  <c r="Q326" i="3"/>
  <c r="R326" i="3" s="1"/>
  <c r="F222" i="3"/>
  <c r="I487" i="3" l="1"/>
  <c r="H495" i="3"/>
  <c r="L277" i="3"/>
  <c r="M270" i="3"/>
  <c r="J448" i="3"/>
  <c r="G43" i="3"/>
  <c r="E7" i="1"/>
  <c r="H26" i="1"/>
  <c r="H41" i="1" s="1"/>
  <c r="AC41" i="1"/>
  <c r="AC40" i="1"/>
  <c r="J487" i="3" l="1"/>
  <c r="I495" i="3"/>
  <c r="M277" i="3"/>
  <c r="N270" i="3"/>
  <c r="K448" i="3"/>
  <c r="H32" i="1"/>
  <c r="H38" i="1"/>
  <c r="I38" i="1" s="1"/>
  <c r="H27" i="1"/>
  <c r="H33" i="1"/>
  <c r="H39" i="1"/>
  <c r="I39" i="1" s="1"/>
  <c r="H30" i="1"/>
  <c r="H34" i="1"/>
  <c r="H40" i="1"/>
  <c r="H31" i="1"/>
  <c r="H35" i="1"/>
  <c r="I35" i="1" s="1"/>
  <c r="I26" i="1"/>
  <c r="D11" i="4"/>
  <c r="D10" i="4"/>
  <c r="B25" i="4"/>
  <c r="B24" i="4"/>
  <c r="B23" i="4"/>
  <c r="B22" i="4"/>
  <c r="B21" i="4"/>
  <c r="B20" i="4"/>
  <c r="B19" i="4"/>
  <c r="B18" i="4"/>
  <c r="B17" i="4"/>
  <c r="B16" i="4"/>
  <c r="B15" i="4"/>
  <c r="B14" i="4"/>
  <c r="J495" i="3" l="1"/>
  <c r="K487" i="3"/>
  <c r="N277" i="3"/>
  <c r="O270" i="3"/>
  <c r="L448" i="3"/>
  <c r="D12" i="4"/>
  <c r="I33" i="1"/>
  <c r="I32" i="1"/>
  <c r="I41" i="1"/>
  <c r="I31" i="1"/>
  <c r="I40" i="1"/>
  <c r="I34" i="1"/>
  <c r="I30" i="1"/>
  <c r="F9" i="3"/>
  <c r="F12" i="3"/>
  <c r="F21" i="3" s="1"/>
  <c r="I519" i="3"/>
  <c r="K519" i="3" s="1"/>
  <c r="M519" i="3" s="1"/>
  <c r="O519" i="3" s="1"/>
  <c r="Q519" i="3" s="1"/>
  <c r="H519" i="3"/>
  <c r="J519" i="3" s="1"/>
  <c r="L519" i="3" s="1"/>
  <c r="N519" i="3" s="1"/>
  <c r="P519" i="3" s="1"/>
  <c r="R519" i="3" s="1"/>
  <c r="O510" i="3"/>
  <c r="N510" i="3"/>
  <c r="H510" i="3"/>
  <c r="G510" i="3"/>
  <c r="D510" i="3"/>
  <c r="K510" i="3" s="1"/>
  <c r="S506" i="3"/>
  <c r="S510" i="3" s="1"/>
  <c r="T510" i="3" s="1"/>
  <c r="F505" i="3"/>
  <c r="G498" i="3"/>
  <c r="H498" i="3" s="1"/>
  <c r="I498" i="3" s="1"/>
  <c r="J498" i="3" s="1"/>
  <c r="K498" i="3" s="1"/>
  <c r="L498" i="3" s="1"/>
  <c r="M498" i="3" s="1"/>
  <c r="N498" i="3" s="1"/>
  <c r="O498" i="3" s="1"/>
  <c r="P498" i="3" s="1"/>
  <c r="Q498" i="3" s="1"/>
  <c r="R498" i="3" s="1"/>
  <c r="F480" i="3"/>
  <c r="G479" i="3"/>
  <c r="G480" i="3" s="1"/>
  <c r="G478" i="3"/>
  <c r="H478" i="3" s="1"/>
  <c r="G477" i="3"/>
  <c r="H477" i="3" s="1"/>
  <c r="I477" i="3" s="1"/>
  <c r="J477" i="3" s="1"/>
  <c r="F469" i="3"/>
  <c r="G468" i="3"/>
  <c r="G469" i="3" s="1"/>
  <c r="G467" i="3"/>
  <c r="H467" i="3" s="1"/>
  <c r="I467" i="3" s="1"/>
  <c r="J467" i="3" s="1"/>
  <c r="K467" i="3" s="1"/>
  <c r="L467" i="3" s="1"/>
  <c r="M467" i="3" s="1"/>
  <c r="N467" i="3" s="1"/>
  <c r="O467" i="3" s="1"/>
  <c r="P467" i="3" s="1"/>
  <c r="Q467" i="3" s="1"/>
  <c r="R467" i="3" s="1"/>
  <c r="G466" i="3"/>
  <c r="H466" i="3" s="1"/>
  <c r="I466" i="3" s="1"/>
  <c r="C458" i="3"/>
  <c r="G455" i="3"/>
  <c r="H455" i="3" s="1"/>
  <c r="I455" i="3" s="1"/>
  <c r="J455" i="3" s="1"/>
  <c r="K455" i="3" s="1"/>
  <c r="L455" i="3" s="1"/>
  <c r="M455" i="3" s="1"/>
  <c r="N455" i="3" s="1"/>
  <c r="O455" i="3" s="1"/>
  <c r="P455" i="3" s="1"/>
  <c r="Q455" i="3" s="1"/>
  <c r="R455" i="3" s="1"/>
  <c r="F443" i="3"/>
  <c r="G442" i="3"/>
  <c r="G441" i="3"/>
  <c r="H441" i="3" s="1"/>
  <c r="I441" i="3" s="1"/>
  <c r="J441" i="3" s="1"/>
  <c r="K441" i="3" s="1"/>
  <c r="L441" i="3" s="1"/>
  <c r="M441" i="3" s="1"/>
  <c r="N441" i="3" s="1"/>
  <c r="O441" i="3" s="1"/>
  <c r="P441" i="3" s="1"/>
  <c r="Q441" i="3" s="1"/>
  <c r="R441" i="3" s="1"/>
  <c r="G440" i="3"/>
  <c r="G429" i="3"/>
  <c r="H429" i="3" s="1"/>
  <c r="F426" i="3"/>
  <c r="G425" i="3"/>
  <c r="G414" i="3"/>
  <c r="H414" i="3" s="1"/>
  <c r="I414" i="3" s="1"/>
  <c r="J414" i="3" s="1"/>
  <c r="K414" i="3" s="1"/>
  <c r="M414" i="3" s="1"/>
  <c r="N414" i="3" s="1"/>
  <c r="O414" i="3" s="1"/>
  <c r="P414" i="3" s="1"/>
  <c r="Q414" i="3" s="1"/>
  <c r="R414" i="3" s="1"/>
  <c r="G413" i="3"/>
  <c r="G402" i="3"/>
  <c r="H402" i="3" s="1"/>
  <c r="I402" i="3" s="1"/>
  <c r="J402" i="3" s="1"/>
  <c r="K402" i="3" s="1"/>
  <c r="L402" i="3" s="1"/>
  <c r="M402" i="3" s="1"/>
  <c r="N402" i="3" s="1"/>
  <c r="O402" i="3" s="1"/>
  <c r="P402" i="3" s="1"/>
  <c r="Q402" i="3" s="1"/>
  <c r="R402" i="3" s="1"/>
  <c r="G394" i="3"/>
  <c r="H394" i="3" s="1"/>
  <c r="I394" i="3" s="1"/>
  <c r="J394" i="3" s="1"/>
  <c r="K394" i="3" s="1"/>
  <c r="L394" i="3" s="1"/>
  <c r="M394" i="3" s="1"/>
  <c r="N394" i="3" s="1"/>
  <c r="O394" i="3" s="1"/>
  <c r="P394" i="3" s="1"/>
  <c r="Q394" i="3" s="1"/>
  <c r="R394" i="3" s="1"/>
  <c r="Y379" i="3"/>
  <c r="Y377" i="3"/>
  <c r="Y378" i="3" s="1"/>
  <c r="F371" i="3"/>
  <c r="F369" i="3"/>
  <c r="G362" i="3"/>
  <c r="H362" i="3" s="1"/>
  <c r="I362" i="3" s="1"/>
  <c r="J362" i="3" s="1"/>
  <c r="K362" i="3" s="1"/>
  <c r="L362" i="3" s="1"/>
  <c r="M362" i="3" s="1"/>
  <c r="N362" i="3" s="1"/>
  <c r="O362" i="3" s="1"/>
  <c r="P362" i="3" s="1"/>
  <c r="Q362" i="3" s="1"/>
  <c r="R362" i="3" s="1"/>
  <c r="G361" i="3"/>
  <c r="H361" i="3" s="1"/>
  <c r="I361" i="3" s="1"/>
  <c r="J361" i="3" s="1"/>
  <c r="K361" i="3" s="1"/>
  <c r="L361" i="3" s="1"/>
  <c r="M361" i="3" s="1"/>
  <c r="N361" i="3" s="1"/>
  <c r="O361" i="3" s="1"/>
  <c r="P361" i="3" s="1"/>
  <c r="Q361" i="3" s="1"/>
  <c r="R361" i="3" s="1"/>
  <c r="G360" i="3"/>
  <c r="F364" i="3"/>
  <c r="G358" i="3"/>
  <c r="H358" i="3" s="1"/>
  <c r="I358" i="3" s="1"/>
  <c r="J358" i="3" s="1"/>
  <c r="K358" i="3" s="1"/>
  <c r="L358" i="3" s="1"/>
  <c r="M358" i="3" s="1"/>
  <c r="N358" i="3" s="1"/>
  <c r="O358" i="3" s="1"/>
  <c r="P358" i="3" s="1"/>
  <c r="Q358" i="3" s="1"/>
  <c r="R358" i="3" s="1"/>
  <c r="S363" i="3"/>
  <c r="G356" i="3"/>
  <c r="H356" i="3" s="1"/>
  <c r="I356" i="3" s="1"/>
  <c r="J356" i="3" s="1"/>
  <c r="K356" i="3" s="1"/>
  <c r="L356" i="3" s="1"/>
  <c r="M356" i="3" s="1"/>
  <c r="N356" i="3" s="1"/>
  <c r="O356" i="3" s="1"/>
  <c r="P356" i="3" s="1"/>
  <c r="Q356" i="3" s="1"/>
  <c r="R356" i="3" s="1"/>
  <c r="G355" i="3"/>
  <c r="G354" i="3"/>
  <c r="G259" i="3"/>
  <c r="Z256" i="3"/>
  <c r="Z257" i="3" s="1"/>
  <c r="Z258" i="3" s="1"/>
  <c r="Z259" i="3" s="1"/>
  <c r="G252" i="3"/>
  <c r="H252" i="3" s="1"/>
  <c r="I252" i="3" s="1"/>
  <c r="J252" i="3" s="1"/>
  <c r="K252" i="3" s="1"/>
  <c r="L252" i="3" s="1"/>
  <c r="M252" i="3" s="1"/>
  <c r="N252" i="3" s="1"/>
  <c r="O252" i="3" s="1"/>
  <c r="P252" i="3" s="1"/>
  <c r="Q252" i="3" s="1"/>
  <c r="R252" i="3" s="1"/>
  <c r="F254" i="3"/>
  <c r="G250" i="3"/>
  <c r="H250" i="3" s="1"/>
  <c r="G249" i="3"/>
  <c r="F238" i="3"/>
  <c r="G237" i="3"/>
  <c r="H237" i="3" s="1"/>
  <c r="I237" i="3" s="1"/>
  <c r="J237" i="3" s="1"/>
  <c r="K237" i="3" s="1"/>
  <c r="L237" i="3" s="1"/>
  <c r="M237" i="3" s="1"/>
  <c r="N237" i="3" s="1"/>
  <c r="O237" i="3" s="1"/>
  <c r="P237" i="3" s="1"/>
  <c r="Q237" i="3" s="1"/>
  <c r="R237" i="3" s="1"/>
  <c r="G236" i="3"/>
  <c r="H236" i="3" s="1"/>
  <c r="I236" i="3" s="1"/>
  <c r="G235" i="3"/>
  <c r="H235" i="3" s="1"/>
  <c r="I235" i="3" s="1"/>
  <c r="J235" i="3" s="1"/>
  <c r="K235" i="3" s="1"/>
  <c r="L235" i="3" s="1"/>
  <c r="M235" i="3" s="1"/>
  <c r="N235" i="3" s="1"/>
  <c r="O235" i="3" s="1"/>
  <c r="P235" i="3" s="1"/>
  <c r="Q235" i="3" s="1"/>
  <c r="R235" i="3" s="1"/>
  <c r="F234" i="3"/>
  <c r="A233" i="3"/>
  <c r="F218" i="3"/>
  <c r="G217" i="3"/>
  <c r="H217" i="3" s="1"/>
  <c r="H218" i="3" s="1"/>
  <c r="G213" i="3"/>
  <c r="H213" i="3" s="1"/>
  <c r="I213" i="3" s="1"/>
  <c r="J213" i="3" s="1"/>
  <c r="K213" i="3" s="1"/>
  <c r="L213" i="3" s="1"/>
  <c r="M213" i="3" s="1"/>
  <c r="N213" i="3" s="1"/>
  <c r="O213" i="3" s="1"/>
  <c r="P213" i="3" s="1"/>
  <c r="Q213" i="3" s="1"/>
  <c r="R213" i="3" s="1"/>
  <c r="G212" i="3"/>
  <c r="G211" i="3"/>
  <c r="H211" i="3" s="1"/>
  <c r="I211" i="3" s="1"/>
  <c r="J211" i="3" s="1"/>
  <c r="K211" i="3" s="1"/>
  <c r="L211" i="3" s="1"/>
  <c r="M211" i="3" s="1"/>
  <c r="N211" i="3" s="1"/>
  <c r="O211" i="3" s="1"/>
  <c r="P211" i="3" s="1"/>
  <c r="Q211" i="3" s="1"/>
  <c r="R211" i="3" s="1"/>
  <c r="G210" i="3"/>
  <c r="H210" i="3" s="1"/>
  <c r="I210" i="3" s="1"/>
  <c r="J210" i="3" s="1"/>
  <c r="K210" i="3" s="1"/>
  <c r="L210" i="3" s="1"/>
  <c r="M210" i="3" s="1"/>
  <c r="N210" i="3" s="1"/>
  <c r="O210" i="3" s="1"/>
  <c r="P210" i="3" s="1"/>
  <c r="Q210" i="3" s="1"/>
  <c r="R210" i="3" s="1"/>
  <c r="A209" i="3"/>
  <c r="AB201" i="3"/>
  <c r="AC198" i="3"/>
  <c r="R197" i="3"/>
  <c r="Q197" i="3"/>
  <c r="P197" i="3"/>
  <c r="O197" i="3"/>
  <c r="N197" i="3"/>
  <c r="M197" i="3"/>
  <c r="L197" i="3"/>
  <c r="K197" i="3"/>
  <c r="J197" i="3"/>
  <c r="I197" i="3"/>
  <c r="H197" i="3"/>
  <c r="G197" i="3"/>
  <c r="F197" i="3"/>
  <c r="G190" i="3"/>
  <c r="H190" i="3" s="1"/>
  <c r="I190" i="3" s="1"/>
  <c r="J190" i="3" s="1"/>
  <c r="K190" i="3" s="1"/>
  <c r="L190" i="3" s="1"/>
  <c r="M190" i="3" s="1"/>
  <c r="N190" i="3" s="1"/>
  <c r="O190" i="3" s="1"/>
  <c r="P190" i="3" s="1"/>
  <c r="Q190" i="3" s="1"/>
  <c r="R190" i="3" s="1"/>
  <c r="G186" i="3"/>
  <c r="G189" i="3" s="1"/>
  <c r="G185" i="3"/>
  <c r="H185" i="3" s="1"/>
  <c r="I185" i="3" s="1"/>
  <c r="J185" i="3" s="1"/>
  <c r="K185" i="3" s="1"/>
  <c r="L185" i="3" s="1"/>
  <c r="M185" i="3" s="1"/>
  <c r="N185" i="3" s="1"/>
  <c r="O185" i="3" s="1"/>
  <c r="P185" i="3" s="1"/>
  <c r="Q185" i="3" s="1"/>
  <c r="R185" i="3" s="1"/>
  <c r="G184" i="3"/>
  <c r="H184" i="3" s="1"/>
  <c r="G183" i="3"/>
  <c r="H183" i="3" s="1"/>
  <c r="I183" i="3" s="1"/>
  <c r="J183" i="3" s="1"/>
  <c r="K183" i="3" s="1"/>
  <c r="L183" i="3" s="1"/>
  <c r="M183" i="3" s="1"/>
  <c r="N183" i="3" s="1"/>
  <c r="O183" i="3" s="1"/>
  <c r="P183" i="3" s="1"/>
  <c r="Q183" i="3" s="1"/>
  <c r="R183" i="3" s="1"/>
  <c r="A182" i="3"/>
  <c r="G180" i="3"/>
  <c r="H180" i="3" s="1"/>
  <c r="G178" i="3"/>
  <c r="H178" i="3" s="1"/>
  <c r="I178" i="3" s="1"/>
  <c r="J178" i="3" s="1"/>
  <c r="K178" i="3" s="1"/>
  <c r="L178" i="3" s="1"/>
  <c r="M178" i="3" s="1"/>
  <c r="N178" i="3" s="1"/>
  <c r="O178" i="3" s="1"/>
  <c r="P178" i="3" s="1"/>
  <c r="Q178" i="3" s="1"/>
  <c r="R178" i="3" s="1"/>
  <c r="F165" i="3"/>
  <c r="F192" i="3" s="1"/>
  <c r="G192" i="3" s="1"/>
  <c r="H192" i="3" s="1"/>
  <c r="I192" i="3" s="1"/>
  <c r="J192" i="3" s="1"/>
  <c r="K192" i="3" s="1"/>
  <c r="L192" i="3" s="1"/>
  <c r="M192" i="3" s="1"/>
  <c r="N192" i="3" s="1"/>
  <c r="O192" i="3" s="1"/>
  <c r="P192" i="3" s="1"/>
  <c r="Q192" i="3" s="1"/>
  <c r="R192" i="3" s="1"/>
  <c r="F164" i="3"/>
  <c r="G163" i="3"/>
  <c r="H163" i="3" s="1"/>
  <c r="I163" i="3" s="1"/>
  <c r="J163" i="3" s="1"/>
  <c r="K163" i="3" s="1"/>
  <c r="L163" i="3" s="1"/>
  <c r="M163" i="3" s="1"/>
  <c r="N163" i="3" s="1"/>
  <c r="O163" i="3" s="1"/>
  <c r="P163" i="3" s="1"/>
  <c r="Q163" i="3" s="1"/>
  <c r="R163" i="3" s="1"/>
  <c r="G162" i="3"/>
  <c r="H162" i="3" s="1"/>
  <c r="I162" i="3" s="1"/>
  <c r="F149" i="3"/>
  <c r="X148" i="3"/>
  <c r="G145" i="3"/>
  <c r="H145" i="3" s="1"/>
  <c r="I145" i="3" s="1"/>
  <c r="J145" i="3" s="1"/>
  <c r="K145" i="3" s="1"/>
  <c r="L145" i="3" s="1"/>
  <c r="M145" i="3" s="1"/>
  <c r="N145" i="3" s="1"/>
  <c r="O145" i="3" s="1"/>
  <c r="P145" i="3" s="1"/>
  <c r="Q145" i="3" s="1"/>
  <c r="R145" i="3" s="1"/>
  <c r="F141" i="3"/>
  <c r="F140" i="3"/>
  <c r="G139" i="3"/>
  <c r="H139" i="3" s="1"/>
  <c r="I139" i="3" s="1"/>
  <c r="G138" i="3"/>
  <c r="H138" i="3" s="1"/>
  <c r="G137" i="3"/>
  <c r="G135" i="3"/>
  <c r="H135" i="3" s="1"/>
  <c r="I135" i="3" s="1"/>
  <c r="J135" i="3" s="1"/>
  <c r="K135" i="3" s="1"/>
  <c r="L135" i="3" s="1"/>
  <c r="M135" i="3" s="1"/>
  <c r="N135" i="3" s="1"/>
  <c r="O135" i="3" s="1"/>
  <c r="P135" i="3" s="1"/>
  <c r="Q135" i="3" s="1"/>
  <c r="R135" i="3" s="1"/>
  <c r="G134" i="3"/>
  <c r="H134" i="3" s="1"/>
  <c r="G104" i="3"/>
  <c r="H104" i="3" s="1"/>
  <c r="I104" i="3" s="1"/>
  <c r="G102" i="3"/>
  <c r="H102" i="3" s="1"/>
  <c r="I102" i="3" s="1"/>
  <c r="J102" i="3" s="1"/>
  <c r="K102" i="3" s="1"/>
  <c r="L102" i="3" s="1"/>
  <c r="M102" i="3" s="1"/>
  <c r="N102" i="3" s="1"/>
  <c r="O102" i="3" s="1"/>
  <c r="P102" i="3" s="1"/>
  <c r="Q102" i="3" s="1"/>
  <c r="R102" i="3" s="1"/>
  <c r="G101" i="3"/>
  <c r="H101" i="3" s="1"/>
  <c r="I101" i="3" s="1"/>
  <c r="J101" i="3" s="1"/>
  <c r="K101" i="3" s="1"/>
  <c r="L101" i="3" s="1"/>
  <c r="M101" i="3" s="1"/>
  <c r="N101" i="3" s="1"/>
  <c r="O101" i="3" s="1"/>
  <c r="P101" i="3" s="1"/>
  <c r="Q101" i="3" s="1"/>
  <c r="R101" i="3" s="1"/>
  <c r="G100" i="3"/>
  <c r="H100" i="3" s="1"/>
  <c r="I100" i="3" s="1"/>
  <c r="J100" i="3" s="1"/>
  <c r="K100" i="3" s="1"/>
  <c r="L100" i="3" s="1"/>
  <c r="M100" i="3" s="1"/>
  <c r="N100" i="3" s="1"/>
  <c r="O100" i="3" s="1"/>
  <c r="P100" i="3" s="1"/>
  <c r="Q100" i="3" s="1"/>
  <c r="R100" i="3" s="1"/>
  <c r="F88" i="3"/>
  <c r="G88" i="3" s="1"/>
  <c r="H88" i="3" s="1"/>
  <c r="I88" i="3" s="1"/>
  <c r="J88" i="3" s="1"/>
  <c r="K88" i="3" s="1"/>
  <c r="L88" i="3" s="1"/>
  <c r="M88" i="3" s="1"/>
  <c r="N88" i="3" s="1"/>
  <c r="P88" i="3" s="1"/>
  <c r="Q88" i="3" s="1"/>
  <c r="R88" i="3" s="1"/>
  <c r="G82" i="3"/>
  <c r="H82" i="3" s="1"/>
  <c r="I82" i="3" s="1"/>
  <c r="J82" i="3" s="1"/>
  <c r="K82" i="3" s="1"/>
  <c r="L82" i="3" s="1"/>
  <c r="M82" i="3" s="1"/>
  <c r="N82" i="3" s="1"/>
  <c r="O82" i="3" s="1"/>
  <c r="P82" i="3" s="1"/>
  <c r="Q82" i="3" s="1"/>
  <c r="R82" i="3" s="1"/>
  <c r="G81" i="3"/>
  <c r="F80" i="3"/>
  <c r="F83" i="3" s="1"/>
  <c r="G79" i="3"/>
  <c r="H79" i="3" s="1"/>
  <c r="I79" i="3" s="1"/>
  <c r="J79" i="3" s="1"/>
  <c r="K79" i="3" s="1"/>
  <c r="L79" i="3" s="1"/>
  <c r="M79" i="3" s="1"/>
  <c r="N79" i="3" s="1"/>
  <c r="O79" i="3" s="1"/>
  <c r="P79" i="3" s="1"/>
  <c r="Q79" i="3" s="1"/>
  <c r="R79" i="3" s="1"/>
  <c r="G78" i="3"/>
  <c r="H78" i="3" s="1"/>
  <c r="I78" i="3" s="1"/>
  <c r="J78" i="3" s="1"/>
  <c r="K78" i="3" s="1"/>
  <c r="L78" i="3" s="1"/>
  <c r="M78" i="3" s="1"/>
  <c r="N78" i="3" s="1"/>
  <c r="O78" i="3" s="1"/>
  <c r="P78" i="3" s="1"/>
  <c r="Q78" i="3" s="1"/>
  <c r="R78" i="3" s="1"/>
  <c r="S76" i="3"/>
  <c r="S77" i="3" s="1"/>
  <c r="G76" i="3"/>
  <c r="G75" i="3"/>
  <c r="H75" i="3" s="1"/>
  <c r="I75" i="3" s="1"/>
  <c r="J75" i="3" s="1"/>
  <c r="K75" i="3" s="1"/>
  <c r="L75" i="3" s="1"/>
  <c r="M75" i="3" s="1"/>
  <c r="N75" i="3" s="1"/>
  <c r="O75" i="3" s="1"/>
  <c r="P75" i="3" s="1"/>
  <c r="Q75" i="3" s="1"/>
  <c r="R75" i="3" s="1"/>
  <c r="G74" i="3"/>
  <c r="H74" i="3" s="1"/>
  <c r="F63" i="3"/>
  <c r="G62" i="3"/>
  <c r="H62" i="3" s="1"/>
  <c r="I62" i="3" s="1"/>
  <c r="J62" i="3" s="1"/>
  <c r="K62" i="3" s="1"/>
  <c r="L62" i="3" s="1"/>
  <c r="M62" i="3" s="1"/>
  <c r="N62" i="3" s="1"/>
  <c r="O62" i="3" s="1"/>
  <c r="P62" i="3" s="1"/>
  <c r="Q62" i="3" s="1"/>
  <c r="R62" i="3" s="1"/>
  <c r="G61" i="3"/>
  <c r="H61" i="3" s="1"/>
  <c r="I61" i="3" s="1"/>
  <c r="J61" i="3" s="1"/>
  <c r="K61" i="3" s="1"/>
  <c r="L61" i="3" s="1"/>
  <c r="M61" i="3" s="1"/>
  <c r="N61" i="3" s="1"/>
  <c r="O61" i="3" s="1"/>
  <c r="P61" i="3" s="1"/>
  <c r="Q61" i="3" s="1"/>
  <c r="R61" i="3" s="1"/>
  <c r="G60" i="3"/>
  <c r="G47" i="3"/>
  <c r="H47" i="3" s="1"/>
  <c r="I47" i="3" s="1"/>
  <c r="S47" i="3"/>
  <c r="G45" i="3"/>
  <c r="G44" i="3"/>
  <c r="H44" i="3" s="1"/>
  <c r="H43" i="3"/>
  <c r="I43" i="3" s="1"/>
  <c r="J43" i="3" s="1"/>
  <c r="K43" i="3" s="1"/>
  <c r="L43" i="3" s="1"/>
  <c r="M43" i="3" s="1"/>
  <c r="N43" i="3" s="1"/>
  <c r="O43" i="3" s="1"/>
  <c r="P43" i="3" s="1"/>
  <c r="Q43" i="3" s="1"/>
  <c r="R43" i="3" s="1"/>
  <c r="G28" i="3"/>
  <c r="H28" i="3" s="1"/>
  <c r="I28" i="3" s="1"/>
  <c r="J28" i="3" s="1"/>
  <c r="K28" i="3" s="1"/>
  <c r="L28" i="3" s="1"/>
  <c r="M28" i="3" s="1"/>
  <c r="N28" i="3" s="1"/>
  <c r="O28" i="3" s="1"/>
  <c r="P28" i="3" s="1"/>
  <c r="Q28" i="3" s="1"/>
  <c r="R28" i="3" s="1"/>
  <c r="G27" i="3"/>
  <c r="H27" i="3" s="1"/>
  <c r="I27" i="3" s="1"/>
  <c r="J27" i="3" s="1"/>
  <c r="K27" i="3" s="1"/>
  <c r="L27" i="3" s="1"/>
  <c r="M27" i="3" s="1"/>
  <c r="N27" i="3" s="1"/>
  <c r="O27" i="3" s="1"/>
  <c r="P27" i="3" s="1"/>
  <c r="Q27" i="3" s="1"/>
  <c r="R27" i="3" s="1"/>
  <c r="G26" i="3"/>
  <c r="H26" i="3" s="1"/>
  <c r="I26" i="3" s="1"/>
  <c r="J26" i="3" s="1"/>
  <c r="K26" i="3" s="1"/>
  <c r="L26" i="3" s="1"/>
  <c r="M26" i="3" s="1"/>
  <c r="N26" i="3" s="1"/>
  <c r="O26" i="3" s="1"/>
  <c r="P26" i="3" s="1"/>
  <c r="Q26" i="3" s="1"/>
  <c r="R26" i="3" s="1"/>
  <c r="C25" i="3"/>
  <c r="F16" i="3"/>
  <c r="F17" i="3" s="1"/>
  <c r="G15" i="3"/>
  <c r="H15" i="3" s="1"/>
  <c r="G14" i="3"/>
  <c r="H14" i="3" s="1"/>
  <c r="I14" i="3" s="1"/>
  <c r="J14" i="3" s="1"/>
  <c r="K14" i="3" s="1"/>
  <c r="L14" i="3" s="1"/>
  <c r="M14" i="3" s="1"/>
  <c r="N14" i="3" s="1"/>
  <c r="O14" i="3" s="1"/>
  <c r="P14" i="3" s="1"/>
  <c r="Q14" i="3" s="1"/>
  <c r="R14" i="3" s="1"/>
  <c r="G13" i="3"/>
  <c r="H13" i="3" s="1"/>
  <c r="I13" i="3" s="1"/>
  <c r="J13" i="3" s="1"/>
  <c r="K13" i="3" s="1"/>
  <c r="L13" i="3" s="1"/>
  <c r="M13" i="3" s="1"/>
  <c r="N13" i="3" s="1"/>
  <c r="O13" i="3" s="1"/>
  <c r="P13" i="3" s="1"/>
  <c r="Q13" i="3" s="1"/>
  <c r="R13" i="3" s="1"/>
  <c r="E9" i="2"/>
  <c r="E12" i="2"/>
  <c r="E13" i="2"/>
  <c r="E14" i="2"/>
  <c r="E15" i="2"/>
  <c r="E16" i="2"/>
  <c r="E17" i="2"/>
  <c r="E20" i="2"/>
  <c r="E21" i="2"/>
  <c r="E22" i="2"/>
  <c r="E23" i="2"/>
  <c r="E8" i="2"/>
  <c r="A17" i="2"/>
  <c r="A9" i="2"/>
  <c r="A12" i="2"/>
  <c r="A13" i="2"/>
  <c r="A14" i="2"/>
  <c r="A15" i="2"/>
  <c r="A16" i="2"/>
  <c r="A20" i="2"/>
  <c r="A21" i="2"/>
  <c r="A22" i="2"/>
  <c r="A23" i="2"/>
  <c r="A8" i="2"/>
  <c r="B4" i="2"/>
  <c r="H440" i="3" l="1"/>
  <c r="G505" i="3"/>
  <c r="K495" i="3"/>
  <c r="L487" i="3"/>
  <c r="G391" i="3"/>
  <c r="G399" i="3"/>
  <c r="H354" i="3"/>
  <c r="I354" i="3" s="1"/>
  <c r="H355" i="3"/>
  <c r="I355" i="3" s="1"/>
  <c r="F353" i="3"/>
  <c r="F415" i="3" s="1"/>
  <c r="F416" i="3" s="1"/>
  <c r="F418" i="3" s="1"/>
  <c r="F281" i="3"/>
  <c r="F282" i="3" s="1"/>
  <c r="F285" i="3" s="1"/>
  <c r="P270" i="3"/>
  <c r="O277" i="3"/>
  <c r="F29" i="3"/>
  <c r="G29" i="3" s="1"/>
  <c r="C115" i="3"/>
  <c r="M448" i="3"/>
  <c r="G443" i="3"/>
  <c r="G447" i="3"/>
  <c r="F454" i="3"/>
  <c r="G12" i="3"/>
  <c r="H12" i="3" s="1"/>
  <c r="F303" i="3"/>
  <c r="F307" i="3" s="1"/>
  <c r="AA10" i="3"/>
  <c r="F144" i="3"/>
  <c r="H137" i="3"/>
  <c r="H141" i="3" s="1"/>
  <c r="T20" i="3"/>
  <c r="G214" i="3"/>
  <c r="G80" i="3"/>
  <c r="G83" i="3" s="1"/>
  <c r="J139" i="3"/>
  <c r="H76" i="3"/>
  <c r="I76" i="3" s="1"/>
  <c r="J76" i="3" s="1"/>
  <c r="K76" i="3" s="1"/>
  <c r="L76" i="3" s="1"/>
  <c r="M76" i="3" s="1"/>
  <c r="N76" i="3" s="1"/>
  <c r="O76" i="3" s="1"/>
  <c r="P76" i="3" s="1"/>
  <c r="Q76" i="3" s="1"/>
  <c r="R76" i="3" s="1"/>
  <c r="X142" i="3"/>
  <c r="G63" i="3"/>
  <c r="F48" i="3"/>
  <c r="H60" i="3"/>
  <c r="I60" i="3" s="1"/>
  <c r="G371" i="3"/>
  <c r="I510" i="3"/>
  <c r="G149" i="3"/>
  <c r="I27" i="1"/>
  <c r="F239" i="3"/>
  <c r="C503" i="3"/>
  <c r="C504" i="3" s="1"/>
  <c r="F11" i="3"/>
  <c r="F10" i="3"/>
  <c r="F188" i="3"/>
  <c r="H81" i="3"/>
  <c r="I81" i="3" s="1"/>
  <c r="J81" i="3" s="1"/>
  <c r="K81" i="3" s="1"/>
  <c r="L81" i="3" s="1"/>
  <c r="M81" i="3" s="1"/>
  <c r="N81" i="3" s="1"/>
  <c r="O81" i="3" s="1"/>
  <c r="P81" i="3" s="1"/>
  <c r="Q81" i="3" s="1"/>
  <c r="R81" i="3" s="1"/>
  <c r="H186" i="3"/>
  <c r="I186" i="3" s="1"/>
  <c r="I189" i="3" s="1"/>
  <c r="G188" i="3"/>
  <c r="G196" i="3" s="1"/>
  <c r="I217" i="3"/>
  <c r="J217" i="3" s="1"/>
  <c r="H360" i="3"/>
  <c r="H399" i="3" s="1"/>
  <c r="H468" i="3"/>
  <c r="H479" i="3"/>
  <c r="F189" i="3"/>
  <c r="F366" i="3"/>
  <c r="F367" i="3" s="1"/>
  <c r="G16" i="3"/>
  <c r="G17" i="3" s="1"/>
  <c r="G165" i="3"/>
  <c r="H165" i="3" s="1"/>
  <c r="I165" i="3" s="1"/>
  <c r="J165" i="3" s="1"/>
  <c r="K165" i="3" s="1"/>
  <c r="L165" i="3" s="1"/>
  <c r="M165" i="3" s="1"/>
  <c r="N165" i="3" s="1"/>
  <c r="O165" i="3" s="1"/>
  <c r="P165" i="3" s="1"/>
  <c r="Q165" i="3" s="1"/>
  <c r="R165" i="3" s="1"/>
  <c r="G218" i="3"/>
  <c r="G359" i="3"/>
  <c r="H359" i="3" s="1"/>
  <c r="H364" i="3" s="1"/>
  <c r="F372" i="3"/>
  <c r="I44" i="3"/>
  <c r="I15" i="3"/>
  <c r="J15" i="3" s="1"/>
  <c r="K15" i="3" s="1"/>
  <c r="L15" i="3" s="1"/>
  <c r="M15" i="3" s="1"/>
  <c r="N15" i="3" s="1"/>
  <c r="O15" i="3" s="1"/>
  <c r="P15" i="3" s="1"/>
  <c r="Q15" i="3" s="1"/>
  <c r="R15" i="3" s="1"/>
  <c r="H16" i="3"/>
  <c r="J47" i="3"/>
  <c r="I180" i="3"/>
  <c r="F166" i="3"/>
  <c r="G164" i="3"/>
  <c r="H45" i="3"/>
  <c r="J104" i="3"/>
  <c r="G46" i="3"/>
  <c r="I74" i="3"/>
  <c r="I134" i="3"/>
  <c r="F142" i="3"/>
  <c r="G141" i="3"/>
  <c r="I138" i="3"/>
  <c r="J162" i="3"/>
  <c r="I184" i="3"/>
  <c r="H212" i="3"/>
  <c r="H214" i="3" s="1"/>
  <c r="G140" i="3"/>
  <c r="I238" i="3"/>
  <c r="J236" i="3"/>
  <c r="AD201" i="3"/>
  <c r="AD202" i="3" s="1"/>
  <c r="AB202" i="3"/>
  <c r="H238" i="3"/>
  <c r="H259" i="3"/>
  <c r="G234" i="3"/>
  <c r="G238" i="3"/>
  <c r="H249" i="3"/>
  <c r="G251" i="3"/>
  <c r="F253" i="3"/>
  <c r="G426" i="3"/>
  <c r="H425" i="3"/>
  <c r="I429" i="3"/>
  <c r="G369" i="3"/>
  <c r="H413" i="3"/>
  <c r="I250" i="3"/>
  <c r="G357" i="3"/>
  <c r="H357" i="3" s="1"/>
  <c r="I357" i="3" s="1"/>
  <c r="J357" i="3" s="1"/>
  <c r="K357" i="3" s="1"/>
  <c r="L357" i="3" s="1"/>
  <c r="M357" i="3" s="1"/>
  <c r="N357" i="3" s="1"/>
  <c r="O357" i="3" s="1"/>
  <c r="P357" i="3" s="1"/>
  <c r="Q357" i="3" s="1"/>
  <c r="R357" i="3" s="1"/>
  <c r="I478" i="3"/>
  <c r="J478" i="3" s="1"/>
  <c r="K478" i="3" s="1"/>
  <c r="L478" i="3" s="1"/>
  <c r="M478" i="3" s="1"/>
  <c r="N478" i="3" s="1"/>
  <c r="O478" i="3" s="1"/>
  <c r="P478" i="3" s="1"/>
  <c r="Q478" i="3" s="1"/>
  <c r="R478" i="3" s="1"/>
  <c r="H442" i="3"/>
  <c r="H447" i="3" s="1"/>
  <c r="Q510" i="3"/>
  <c r="J466" i="3"/>
  <c r="G499" i="3"/>
  <c r="I440" i="3"/>
  <c r="K477" i="3"/>
  <c r="P510" i="3"/>
  <c r="T506" i="3"/>
  <c r="H505" i="3" l="1"/>
  <c r="L495" i="3"/>
  <c r="M487" i="3"/>
  <c r="H371" i="3"/>
  <c r="H391" i="3"/>
  <c r="F375" i="3"/>
  <c r="F370" i="3"/>
  <c r="F308" i="3"/>
  <c r="F319" i="3" s="1"/>
  <c r="F301" i="3"/>
  <c r="S416" i="3"/>
  <c r="T416" i="3" s="1"/>
  <c r="F374" i="3"/>
  <c r="F365" i="3"/>
  <c r="F424" i="3"/>
  <c r="F427" i="3" s="1"/>
  <c r="F428" i="3" s="1"/>
  <c r="F430" i="3" s="1"/>
  <c r="F432" i="3" s="1"/>
  <c r="F438" i="3"/>
  <c r="F439" i="3" s="1"/>
  <c r="F444" i="3" s="1"/>
  <c r="F446" i="3" s="1"/>
  <c r="F120" i="3"/>
  <c r="G120" i="3" s="1"/>
  <c r="C273" i="3"/>
  <c r="F278" i="3" s="1"/>
  <c r="P277" i="3"/>
  <c r="Q270" i="3"/>
  <c r="F146" i="3"/>
  <c r="F123" i="3" s="1"/>
  <c r="F124" i="3" s="1"/>
  <c r="F127" i="3" s="1"/>
  <c r="V95" i="3"/>
  <c r="N448" i="3"/>
  <c r="F464" i="3"/>
  <c r="F465" i="3" s="1"/>
  <c r="F470" i="3" s="1"/>
  <c r="F456" i="3"/>
  <c r="F459" i="3" s="1"/>
  <c r="F460" i="3" s="1"/>
  <c r="G21" i="3"/>
  <c r="I359" i="3"/>
  <c r="I364" i="3" s="1"/>
  <c r="I137" i="3"/>
  <c r="H149" i="3"/>
  <c r="H140" i="3"/>
  <c r="H142" i="3" s="1"/>
  <c r="F167" i="3"/>
  <c r="F168" i="3" s="1"/>
  <c r="F169" i="3" s="1"/>
  <c r="F171" i="3" s="1"/>
  <c r="F309" i="3"/>
  <c r="S309" i="3" s="1"/>
  <c r="H80" i="3"/>
  <c r="H83" i="3" s="1"/>
  <c r="F64" i="3"/>
  <c r="F49" i="3"/>
  <c r="F50" i="3" s="1"/>
  <c r="F52" i="3" s="1"/>
  <c r="F240" i="3"/>
  <c r="F241" i="3" s="1"/>
  <c r="F243" i="3" s="1"/>
  <c r="F136" i="3"/>
  <c r="X151" i="3" s="1"/>
  <c r="G364" i="3"/>
  <c r="H366" i="3"/>
  <c r="H367" i="3" s="1"/>
  <c r="G366" i="3"/>
  <c r="K139" i="3"/>
  <c r="G142" i="3"/>
  <c r="J186" i="3"/>
  <c r="J189" i="3" s="1"/>
  <c r="G372" i="3"/>
  <c r="I188" i="3"/>
  <c r="I196" i="3" s="1"/>
  <c r="H188" i="3"/>
  <c r="F18" i="3"/>
  <c r="F19" i="3" s="1"/>
  <c r="I360" i="3"/>
  <c r="I399" i="3" s="1"/>
  <c r="H189" i="3"/>
  <c r="H369" i="3"/>
  <c r="H372" i="3" s="1"/>
  <c r="I218" i="3"/>
  <c r="H63" i="3"/>
  <c r="F475" i="3"/>
  <c r="I16" i="3"/>
  <c r="F103" i="3"/>
  <c r="I479" i="3"/>
  <c r="H480" i="3"/>
  <c r="H469" i="3"/>
  <c r="I468" i="3"/>
  <c r="F196" i="3"/>
  <c r="L477" i="3"/>
  <c r="J354" i="3"/>
  <c r="K104" i="3"/>
  <c r="H21" i="3"/>
  <c r="I12" i="3"/>
  <c r="K47" i="3"/>
  <c r="J16" i="3"/>
  <c r="J429" i="3"/>
  <c r="F257" i="3"/>
  <c r="F255" i="3"/>
  <c r="I212" i="3"/>
  <c r="I214" i="3" s="1"/>
  <c r="K217" i="3"/>
  <c r="J218" i="3"/>
  <c r="H46" i="3"/>
  <c r="G48" i="3"/>
  <c r="I63" i="3"/>
  <c r="J60" i="3"/>
  <c r="J180" i="3"/>
  <c r="H426" i="3"/>
  <c r="I425" i="3"/>
  <c r="H251" i="3"/>
  <c r="G253" i="3"/>
  <c r="I442" i="3"/>
  <c r="I447" i="3" s="1"/>
  <c r="H443" i="3"/>
  <c r="K466" i="3"/>
  <c r="I249" i="3"/>
  <c r="J184" i="3"/>
  <c r="K162" i="3"/>
  <c r="J134" i="3"/>
  <c r="H17" i="3"/>
  <c r="I45" i="3"/>
  <c r="H29" i="3"/>
  <c r="H234" i="3"/>
  <c r="J355" i="3"/>
  <c r="J238" i="3"/>
  <c r="K236" i="3"/>
  <c r="G166" i="3"/>
  <c r="H164" i="3"/>
  <c r="J440" i="3"/>
  <c r="I259" i="3"/>
  <c r="J138" i="3"/>
  <c r="J44" i="3"/>
  <c r="I413" i="3"/>
  <c r="H499" i="3"/>
  <c r="J250" i="3"/>
  <c r="G254" i="3"/>
  <c r="J74" i="3"/>
  <c r="I505" i="3" l="1"/>
  <c r="F378" i="3"/>
  <c r="F381" i="3"/>
  <c r="M495" i="3"/>
  <c r="N487" i="3"/>
  <c r="I369" i="3"/>
  <c r="I391" i="3"/>
  <c r="F388" i="3"/>
  <c r="F382" i="3"/>
  <c r="F387" i="3"/>
  <c r="F404" i="3" s="1"/>
  <c r="F419" i="3"/>
  <c r="F421" i="3" s="1"/>
  <c r="F262" i="3"/>
  <c r="F284" i="3"/>
  <c r="F287" i="3" s="1"/>
  <c r="G278" i="3"/>
  <c r="Q277" i="3"/>
  <c r="R270" i="3"/>
  <c r="R277" i="3" s="1"/>
  <c r="F148" i="3"/>
  <c r="F126" i="3"/>
  <c r="F129" i="3" s="1"/>
  <c r="Y129" i="3" s="1"/>
  <c r="H120" i="3"/>
  <c r="F472" i="3"/>
  <c r="S472" i="3" s="1"/>
  <c r="F471" i="3"/>
  <c r="O448" i="3"/>
  <c r="I366" i="3"/>
  <c r="I367" i="3" s="1"/>
  <c r="S430" i="3"/>
  <c r="T430" i="3" s="1"/>
  <c r="F476" i="3"/>
  <c r="F481" i="3" s="1"/>
  <c r="F500" i="3" s="1"/>
  <c r="F486" i="3"/>
  <c r="F503" i="3" s="1"/>
  <c r="I149" i="3"/>
  <c r="J137" i="3"/>
  <c r="J149" i="3" s="1"/>
  <c r="I140" i="3"/>
  <c r="T309" i="3"/>
  <c r="I141" i="3"/>
  <c r="F346" i="3"/>
  <c r="F337" i="3"/>
  <c r="F328" i="3"/>
  <c r="J359" i="3"/>
  <c r="J364" i="3" s="1"/>
  <c r="F179" i="3"/>
  <c r="F198" i="3" s="1"/>
  <c r="F199" i="3" s="1"/>
  <c r="K186" i="3"/>
  <c r="K188" i="3" s="1"/>
  <c r="I80" i="3"/>
  <c r="J80" i="3" s="1"/>
  <c r="J188" i="3"/>
  <c r="J196" i="3" s="1"/>
  <c r="F216" i="3"/>
  <c r="F225" i="3" s="1"/>
  <c r="G367" i="3"/>
  <c r="F65" i="3"/>
  <c r="F66" i="3" s="1"/>
  <c r="F68" i="3" s="1"/>
  <c r="S387" i="3"/>
  <c r="L139" i="3"/>
  <c r="H196" i="3"/>
  <c r="I371" i="3"/>
  <c r="F32" i="3"/>
  <c r="F33" i="3" s="1"/>
  <c r="F35" i="3" s="1"/>
  <c r="J360" i="3"/>
  <c r="J399" i="3" s="1"/>
  <c r="J468" i="3"/>
  <c r="I469" i="3"/>
  <c r="J479" i="3"/>
  <c r="I480" i="3"/>
  <c r="I499" i="3"/>
  <c r="K134" i="3"/>
  <c r="L466" i="3"/>
  <c r="K180" i="3"/>
  <c r="H48" i="3"/>
  <c r="I46" i="3"/>
  <c r="K250" i="3"/>
  <c r="H166" i="3"/>
  <c r="I164" i="3"/>
  <c r="K238" i="3"/>
  <c r="L236" i="3"/>
  <c r="L162" i="3"/>
  <c r="J442" i="3"/>
  <c r="J447" i="3" s="1"/>
  <c r="I443" i="3"/>
  <c r="K218" i="3"/>
  <c r="L217" i="3"/>
  <c r="K429" i="3"/>
  <c r="K354" i="3"/>
  <c r="K44" i="3"/>
  <c r="K138" i="3"/>
  <c r="K184" i="3"/>
  <c r="J63" i="3"/>
  <c r="K60" i="3"/>
  <c r="J212" i="3"/>
  <c r="J214" i="3" s="1"/>
  <c r="F256" i="3"/>
  <c r="F261" i="3"/>
  <c r="F258" i="3"/>
  <c r="J259" i="3"/>
  <c r="K355" i="3"/>
  <c r="G255" i="3"/>
  <c r="L104" i="3"/>
  <c r="K440" i="3"/>
  <c r="J45" i="3"/>
  <c r="I17" i="3"/>
  <c r="K16" i="3"/>
  <c r="L47" i="3"/>
  <c r="K74" i="3"/>
  <c r="I29" i="3"/>
  <c r="J249" i="3"/>
  <c r="I251" i="3"/>
  <c r="H253" i="3"/>
  <c r="H254" i="3"/>
  <c r="S20" i="3"/>
  <c r="F20" i="3"/>
  <c r="M477" i="3"/>
  <c r="I21" i="3"/>
  <c r="J12" i="3"/>
  <c r="J413" i="3"/>
  <c r="F445" i="3"/>
  <c r="F450" i="3" s="1"/>
  <c r="I234" i="3"/>
  <c r="I426" i="3"/>
  <c r="J425" i="3"/>
  <c r="I372" i="3" l="1"/>
  <c r="J505" i="3"/>
  <c r="F504" i="3"/>
  <c r="F508" i="3" s="1"/>
  <c r="N495" i="3"/>
  <c r="O487" i="3"/>
  <c r="J371" i="3"/>
  <c r="J391" i="3"/>
  <c r="F385" i="3"/>
  <c r="F396" i="3"/>
  <c r="T387" i="3"/>
  <c r="F264" i="3"/>
  <c r="H278" i="3"/>
  <c r="Y287" i="3"/>
  <c r="S287" i="3"/>
  <c r="T287" i="3" s="1"/>
  <c r="V287" i="3" s="1"/>
  <c r="F105" i="3"/>
  <c r="F106" i="3" s="1"/>
  <c r="F107" i="3" s="1"/>
  <c r="F151" i="3"/>
  <c r="F150" i="3"/>
  <c r="X93" i="3" s="1"/>
  <c r="X149" i="3"/>
  <c r="F293" i="3"/>
  <c r="S129" i="3"/>
  <c r="T129" i="3" s="1"/>
  <c r="V129" i="3" s="1"/>
  <c r="I120" i="3"/>
  <c r="T472" i="3"/>
  <c r="P448" i="3"/>
  <c r="S446" i="3"/>
  <c r="T446" i="3" s="1"/>
  <c r="F482" i="3"/>
  <c r="F483" i="3"/>
  <c r="F488" i="3"/>
  <c r="F491" i="3"/>
  <c r="J141" i="3"/>
  <c r="K137" i="3"/>
  <c r="K149" i="3" s="1"/>
  <c r="J140" i="3"/>
  <c r="I142" i="3"/>
  <c r="J366" i="3"/>
  <c r="J367" i="3" s="1"/>
  <c r="L186" i="3"/>
  <c r="L189" i="3" s="1"/>
  <c r="S404" i="3"/>
  <c r="T404" i="3" s="1"/>
  <c r="F347" i="3"/>
  <c r="F348" i="3" s="1"/>
  <c r="K189" i="3"/>
  <c r="K196" i="3" s="1"/>
  <c r="K359" i="3"/>
  <c r="K366" i="3" s="1"/>
  <c r="F202" i="3"/>
  <c r="I83" i="3"/>
  <c r="J369" i="3"/>
  <c r="K360" i="3"/>
  <c r="K399" i="3" s="1"/>
  <c r="F36" i="3"/>
  <c r="F38" i="3" s="1"/>
  <c r="S38" i="3" s="1"/>
  <c r="M139" i="3"/>
  <c r="J480" i="3"/>
  <c r="K479" i="3"/>
  <c r="K468" i="3"/>
  <c r="J469" i="3"/>
  <c r="M104" i="3"/>
  <c r="L138" i="3"/>
  <c r="K425" i="3"/>
  <c r="J426" i="3"/>
  <c r="L16" i="3"/>
  <c r="M47" i="3"/>
  <c r="L440" i="3"/>
  <c r="K63" i="3"/>
  <c r="L60" i="3"/>
  <c r="L429" i="3"/>
  <c r="L238" i="3"/>
  <c r="M236" i="3"/>
  <c r="J499" i="3"/>
  <c r="K212" i="3"/>
  <c r="K214" i="3" s="1"/>
  <c r="L184" i="3"/>
  <c r="L354" i="3"/>
  <c r="L218" i="3"/>
  <c r="M217" i="3"/>
  <c r="L250" i="3"/>
  <c r="L180" i="3"/>
  <c r="K80" i="3"/>
  <c r="J83" i="3"/>
  <c r="N477" i="3"/>
  <c r="H255" i="3"/>
  <c r="I166" i="3"/>
  <c r="J164" i="3"/>
  <c r="M466" i="3"/>
  <c r="L355" i="3"/>
  <c r="J251" i="3"/>
  <c r="I254" i="3"/>
  <c r="I253" i="3"/>
  <c r="J443" i="3"/>
  <c r="K442" i="3"/>
  <c r="K447" i="3" s="1"/>
  <c r="K413" i="3"/>
  <c r="J29" i="3"/>
  <c r="K45" i="3"/>
  <c r="J17" i="3"/>
  <c r="L134" i="3"/>
  <c r="L44" i="3"/>
  <c r="K12" i="3"/>
  <c r="J21" i="3"/>
  <c r="K249" i="3"/>
  <c r="J234" i="3"/>
  <c r="L74" i="3"/>
  <c r="K259" i="3"/>
  <c r="M162" i="3"/>
  <c r="J46" i="3"/>
  <c r="I48" i="3"/>
  <c r="K505" i="3" l="1"/>
  <c r="J372" i="3"/>
  <c r="O495" i="3"/>
  <c r="P487" i="3"/>
  <c r="K369" i="3"/>
  <c r="K391" i="3"/>
  <c r="F406" i="3"/>
  <c r="F407" i="3"/>
  <c r="S396" i="3"/>
  <c r="T396" i="3" s="1"/>
  <c r="I278" i="3"/>
  <c r="J120" i="3"/>
  <c r="Q448" i="3"/>
  <c r="S450" i="3"/>
  <c r="T450" i="3" s="1"/>
  <c r="S483" i="3"/>
  <c r="T483" i="3" s="1"/>
  <c r="J142" i="3"/>
  <c r="F492" i="3"/>
  <c r="F512" i="3" s="1"/>
  <c r="K140" i="3"/>
  <c r="K141" i="3"/>
  <c r="L137" i="3"/>
  <c r="L141" i="3" s="1"/>
  <c r="L359" i="3"/>
  <c r="M359" i="3" s="1"/>
  <c r="L188" i="3"/>
  <c r="L196" i="3" s="1"/>
  <c r="M186" i="3"/>
  <c r="M188" i="3" s="1"/>
  <c r="K364" i="3"/>
  <c r="K367" i="3" s="1"/>
  <c r="L360" i="3"/>
  <c r="L399" i="3" s="1"/>
  <c r="K371" i="3"/>
  <c r="N139" i="3"/>
  <c r="F39" i="3"/>
  <c r="F40" i="3" s="1"/>
  <c r="F54" i="3"/>
  <c r="Y38" i="3"/>
  <c r="K469" i="3"/>
  <c r="L468" i="3"/>
  <c r="K480" i="3"/>
  <c r="L479" i="3"/>
  <c r="F226" i="3"/>
  <c r="F201" i="3"/>
  <c r="F204" i="3" s="1"/>
  <c r="N162" i="3"/>
  <c r="K234" i="3"/>
  <c r="N47" i="3"/>
  <c r="M16" i="3"/>
  <c r="L259" i="3"/>
  <c r="K29" i="3"/>
  <c r="L12" i="3"/>
  <c r="K21" i="3"/>
  <c r="M134" i="3"/>
  <c r="L45" i="3"/>
  <c r="K17" i="3"/>
  <c r="L413" i="3"/>
  <c r="N466" i="3"/>
  <c r="M250" i="3"/>
  <c r="N250" i="3" s="1"/>
  <c r="M184" i="3"/>
  <c r="K499" i="3"/>
  <c r="M429" i="3"/>
  <c r="M238" i="3"/>
  <c r="N236" i="3"/>
  <c r="M355" i="3"/>
  <c r="O477" i="3"/>
  <c r="L425" i="3"/>
  <c r="K426" i="3"/>
  <c r="M60" i="3"/>
  <c r="L63" i="3"/>
  <c r="M74" i="3"/>
  <c r="M44" i="3"/>
  <c r="L212" i="3"/>
  <c r="L214" i="3" s="1"/>
  <c r="K46" i="3"/>
  <c r="J48" i="3"/>
  <c r="L442" i="3"/>
  <c r="L447" i="3" s="1"/>
  <c r="K443" i="3"/>
  <c r="M218" i="3"/>
  <c r="N217" i="3"/>
  <c r="F220" i="3"/>
  <c r="F223" i="3" s="1"/>
  <c r="N104" i="3"/>
  <c r="K251" i="3"/>
  <c r="J254" i="3"/>
  <c r="J253" i="3"/>
  <c r="I255" i="3"/>
  <c r="K83" i="3"/>
  <c r="L80" i="3"/>
  <c r="M440" i="3"/>
  <c r="M138" i="3"/>
  <c r="L249" i="3"/>
  <c r="K164" i="3"/>
  <c r="J166" i="3"/>
  <c r="M180" i="3"/>
  <c r="M354" i="3"/>
  <c r="T38" i="3"/>
  <c r="S52" i="3"/>
  <c r="K372" i="3" l="1"/>
  <c r="L505" i="3"/>
  <c r="P495" i="3"/>
  <c r="Q487" i="3"/>
  <c r="M360" i="3"/>
  <c r="L391" i="3"/>
  <c r="J278" i="3"/>
  <c r="K120" i="3"/>
  <c r="L140" i="3"/>
  <c r="L142" i="3" s="1"/>
  <c r="R448" i="3"/>
  <c r="L364" i="3"/>
  <c r="L366" i="3"/>
  <c r="F516" i="3"/>
  <c r="K142" i="3"/>
  <c r="M137" i="3"/>
  <c r="M141" i="3" s="1"/>
  <c r="L149" i="3"/>
  <c r="M189" i="3"/>
  <c r="M196" i="3" s="1"/>
  <c r="N186" i="3"/>
  <c r="N189" i="3" s="1"/>
  <c r="L369" i="3"/>
  <c r="L371" i="3"/>
  <c r="O139" i="3"/>
  <c r="F228" i="3"/>
  <c r="F55" i="3"/>
  <c r="F70" i="3" s="1"/>
  <c r="M468" i="3"/>
  <c r="L469" i="3"/>
  <c r="M479" i="3"/>
  <c r="L480" i="3"/>
  <c r="N440" i="3"/>
  <c r="J255" i="3"/>
  <c r="L46" i="3"/>
  <c r="K48" i="3"/>
  <c r="P477" i="3"/>
  <c r="L499" i="3"/>
  <c r="M45" i="3"/>
  <c r="L17" i="3"/>
  <c r="N354" i="3"/>
  <c r="N218" i="3"/>
  <c r="O217" i="3"/>
  <c r="N60" i="3"/>
  <c r="M63" i="3"/>
  <c r="N184" i="3"/>
  <c r="N134" i="3"/>
  <c r="L29" i="3"/>
  <c r="S68" i="3"/>
  <c r="T52" i="3"/>
  <c r="V52" i="3" s="1"/>
  <c r="L83" i="3"/>
  <c r="M80" i="3"/>
  <c r="M425" i="3"/>
  <c r="L426" i="3"/>
  <c r="L251" i="3"/>
  <c r="K253" i="3"/>
  <c r="K254" i="3"/>
  <c r="O236" i="3"/>
  <c r="N238" i="3"/>
  <c r="Y52" i="3"/>
  <c r="V38" i="3"/>
  <c r="M364" i="3"/>
  <c r="N359" i="3"/>
  <c r="M366" i="3"/>
  <c r="O104" i="3"/>
  <c r="L443" i="3"/>
  <c r="M442" i="3"/>
  <c r="M447" i="3" s="1"/>
  <c r="N44" i="3"/>
  <c r="L234" i="3"/>
  <c r="N429" i="3"/>
  <c r="M12" i="3"/>
  <c r="L21" i="3"/>
  <c r="M259" i="3"/>
  <c r="O162" i="3"/>
  <c r="N138" i="3"/>
  <c r="M212" i="3"/>
  <c r="M214" i="3" s="1"/>
  <c r="N355" i="3"/>
  <c r="O466" i="3"/>
  <c r="N180" i="3"/>
  <c r="M249" i="3"/>
  <c r="M413" i="3"/>
  <c r="K166" i="3"/>
  <c r="L164" i="3"/>
  <c r="M371" i="3"/>
  <c r="M369" i="3"/>
  <c r="N360" i="3"/>
  <c r="N74" i="3"/>
  <c r="N16" i="3"/>
  <c r="O47" i="3"/>
  <c r="M505" i="3" l="1"/>
  <c r="Q495" i="3"/>
  <c r="R487" i="3"/>
  <c r="R495" i="3" s="1"/>
  <c r="N391" i="3"/>
  <c r="N399" i="3"/>
  <c r="M391" i="3"/>
  <c r="M399" i="3"/>
  <c r="K278" i="3"/>
  <c r="L367" i="3"/>
  <c r="L120" i="3"/>
  <c r="O186" i="3"/>
  <c r="P186" i="3" s="1"/>
  <c r="M140" i="3"/>
  <c r="M142" i="3" s="1"/>
  <c r="M149" i="3"/>
  <c r="N137" i="3"/>
  <c r="N149" i="3" s="1"/>
  <c r="N188" i="3"/>
  <c r="N196" i="3" s="1"/>
  <c r="L372" i="3"/>
  <c r="P139" i="3"/>
  <c r="F56" i="3"/>
  <c r="N468" i="3"/>
  <c r="M469" i="3"/>
  <c r="M480" i="3"/>
  <c r="N479" i="3"/>
  <c r="N212" i="3"/>
  <c r="N214" i="3" s="1"/>
  <c r="O134" i="3"/>
  <c r="O440" i="3"/>
  <c r="M234" i="3"/>
  <c r="N371" i="3"/>
  <c r="N369" i="3"/>
  <c r="O360" i="3"/>
  <c r="K255" i="3"/>
  <c r="N425" i="3"/>
  <c r="M426" i="3"/>
  <c r="M499" i="3"/>
  <c r="M372" i="3"/>
  <c r="O74" i="3"/>
  <c r="N259" i="3"/>
  <c r="M443" i="3"/>
  <c r="N442" i="3"/>
  <c r="N447" i="3" s="1"/>
  <c r="M251" i="3"/>
  <c r="L253" i="3"/>
  <c r="L254" i="3"/>
  <c r="O60" i="3"/>
  <c r="N63" i="3"/>
  <c r="O354" i="3"/>
  <c r="Q477" i="3"/>
  <c r="L166" i="3"/>
  <c r="M164" i="3"/>
  <c r="O429" i="3"/>
  <c r="P47" i="3"/>
  <c r="O16" i="3"/>
  <c r="O180" i="3"/>
  <c r="F71" i="3"/>
  <c r="P466" i="3"/>
  <c r="T68" i="3"/>
  <c r="G77" i="3" s="1"/>
  <c r="P217" i="3"/>
  <c r="O218" i="3"/>
  <c r="P162" i="3"/>
  <c r="O138" i="3"/>
  <c r="P104" i="3"/>
  <c r="M17" i="3"/>
  <c r="N45" i="3"/>
  <c r="N413" i="3"/>
  <c r="O44" i="3"/>
  <c r="M29" i="3"/>
  <c r="O355" i="3"/>
  <c r="N364" i="3"/>
  <c r="O359" i="3"/>
  <c r="N366" i="3"/>
  <c r="N249" i="3"/>
  <c r="N12" i="3"/>
  <c r="M21" i="3"/>
  <c r="M367" i="3"/>
  <c r="O238" i="3"/>
  <c r="P236" i="3"/>
  <c r="O250" i="3"/>
  <c r="M83" i="3"/>
  <c r="N80" i="3"/>
  <c r="O184" i="3"/>
  <c r="M46" i="3"/>
  <c r="L48" i="3"/>
  <c r="N505" i="3" l="1"/>
  <c r="O391" i="3"/>
  <c r="O399" i="3"/>
  <c r="L278" i="3"/>
  <c r="N141" i="3"/>
  <c r="M120" i="3"/>
  <c r="N140" i="3"/>
  <c r="O188" i="3"/>
  <c r="O189" i="3"/>
  <c r="O137" i="3"/>
  <c r="P137" i="3" s="1"/>
  <c r="Q139" i="3"/>
  <c r="N480" i="3"/>
  <c r="O479" i="3"/>
  <c r="N469" i="3"/>
  <c r="O468" i="3"/>
  <c r="R477" i="3"/>
  <c r="O212" i="3"/>
  <c r="O214" i="3" s="1"/>
  <c r="P238" i="3"/>
  <c r="Q236" i="3"/>
  <c r="N21" i="3"/>
  <c r="O12" i="3"/>
  <c r="O413" i="3"/>
  <c r="M166" i="3"/>
  <c r="N164" i="3"/>
  <c r="N251" i="3"/>
  <c r="M253" i="3"/>
  <c r="M254" i="3"/>
  <c r="N499" i="3"/>
  <c r="N443" i="3"/>
  <c r="O442" i="3"/>
  <c r="O447" i="3" s="1"/>
  <c r="H77" i="3"/>
  <c r="F77" i="3"/>
  <c r="F84" i="3" s="1"/>
  <c r="P354" i="3"/>
  <c r="P138" i="3"/>
  <c r="P180" i="3"/>
  <c r="L255" i="3"/>
  <c r="P184" i="3"/>
  <c r="P359" i="3"/>
  <c r="O366" i="3"/>
  <c r="O364" i="3"/>
  <c r="Q466" i="3"/>
  <c r="P60" i="3"/>
  <c r="O63" i="3"/>
  <c r="P250" i="3"/>
  <c r="P429" i="3"/>
  <c r="N372" i="3"/>
  <c r="N46" i="3"/>
  <c r="M48" i="3"/>
  <c r="Q162" i="3"/>
  <c r="Q47" i="3"/>
  <c r="P16" i="3"/>
  <c r="P189" i="3"/>
  <c r="P188" i="3"/>
  <c r="Q186" i="3"/>
  <c r="P74" i="3"/>
  <c r="N426" i="3"/>
  <c r="O425" i="3"/>
  <c r="P134" i="3"/>
  <c r="N367" i="3"/>
  <c r="N234" i="3"/>
  <c r="P218" i="3"/>
  <c r="Q217" i="3"/>
  <c r="P440" i="3"/>
  <c r="N83" i="3"/>
  <c r="O80" i="3"/>
  <c r="N29" i="3"/>
  <c r="O45" i="3"/>
  <c r="N17" i="3"/>
  <c r="P44" i="3"/>
  <c r="O249" i="3"/>
  <c r="P355" i="3"/>
  <c r="Q104" i="3"/>
  <c r="O259" i="3"/>
  <c r="O371" i="3"/>
  <c r="O369" i="3"/>
  <c r="P360" i="3"/>
  <c r="O505" i="3" l="1"/>
  <c r="P391" i="3"/>
  <c r="P399" i="3"/>
  <c r="N142" i="3"/>
  <c r="M278" i="3"/>
  <c r="O196" i="3"/>
  <c r="N120" i="3"/>
  <c r="O140" i="3"/>
  <c r="O149" i="3"/>
  <c r="O141" i="3"/>
  <c r="R139" i="3"/>
  <c r="O469" i="3"/>
  <c r="P468" i="3"/>
  <c r="O480" i="3"/>
  <c r="P479" i="3"/>
  <c r="Q74" i="3"/>
  <c r="P366" i="3"/>
  <c r="Q359" i="3"/>
  <c r="P364" i="3"/>
  <c r="P63" i="3"/>
  <c r="Q60" i="3"/>
  <c r="P141" i="3"/>
  <c r="Q138" i="3"/>
  <c r="P371" i="3"/>
  <c r="P369" i="3"/>
  <c r="Q360" i="3"/>
  <c r="O17" i="3"/>
  <c r="P45" i="3"/>
  <c r="O234" i="3"/>
  <c r="Q188" i="3"/>
  <c r="R186" i="3"/>
  <c r="Q189" i="3"/>
  <c r="R47" i="3"/>
  <c r="Q16" i="3"/>
  <c r="R162" i="3"/>
  <c r="Q184" i="3"/>
  <c r="Q354" i="3"/>
  <c r="Q238" i="3"/>
  <c r="R236" i="3"/>
  <c r="R238" i="3" s="1"/>
  <c r="P149" i="3"/>
  <c r="P140" i="3"/>
  <c r="Q137" i="3"/>
  <c r="R104" i="3"/>
  <c r="M255" i="3"/>
  <c r="O29" i="3"/>
  <c r="Q134" i="3"/>
  <c r="R466" i="3"/>
  <c r="T83" i="3"/>
  <c r="F85" i="3"/>
  <c r="O251" i="3"/>
  <c r="N253" i="3"/>
  <c r="N254" i="3"/>
  <c r="P413" i="3"/>
  <c r="R217" i="3"/>
  <c r="R218" i="3" s="1"/>
  <c r="Q218" i="3"/>
  <c r="Q44" i="3"/>
  <c r="Q250" i="3"/>
  <c r="G84" i="3"/>
  <c r="G85" i="3"/>
  <c r="N166" i="3"/>
  <c r="O164" i="3"/>
  <c r="P212" i="3"/>
  <c r="P214" i="3" s="1"/>
  <c r="P249" i="3"/>
  <c r="O372" i="3"/>
  <c r="Q429" i="3"/>
  <c r="O426" i="3"/>
  <c r="P425" i="3"/>
  <c r="O367" i="3"/>
  <c r="Q180" i="3"/>
  <c r="I77" i="3"/>
  <c r="H84" i="3"/>
  <c r="H85" i="3"/>
  <c r="P196" i="3"/>
  <c r="P259" i="3"/>
  <c r="Q440" i="3"/>
  <c r="Q355" i="3"/>
  <c r="P80" i="3"/>
  <c r="O83" i="3"/>
  <c r="O46" i="3"/>
  <c r="N48" i="3"/>
  <c r="O443" i="3"/>
  <c r="P442" i="3"/>
  <c r="P447" i="3" s="1"/>
  <c r="O499" i="3"/>
  <c r="P12" i="3"/>
  <c r="O21" i="3"/>
  <c r="P505" i="3" l="1"/>
  <c r="Q391" i="3"/>
  <c r="Q399" i="3"/>
  <c r="N278" i="3"/>
  <c r="O120" i="3"/>
  <c r="O142" i="3"/>
  <c r="P480" i="3"/>
  <c r="Q479" i="3"/>
  <c r="Q468" i="3"/>
  <c r="P469" i="3"/>
  <c r="P499" i="3"/>
  <c r="R440" i="3"/>
  <c r="P426" i="3"/>
  <c r="Q425" i="3"/>
  <c r="Q249" i="3"/>
  <c r="R250" i="3"/>
  <c r="P142" i="3"/>
  <c r="R184" i="3"/>
  <c r="R16" i="3"/>
  <c r="R180" i="3"/>
  <c r="R188" i="3"/>
  <c r="R189" i="3"/>
  <c r="Q366" i="3"/>
  <c r="Q364" i="3"/>
  <c r="R359" i="3"/>
  <c r="Q80" i="3"/>
  <c r="P83" i="3"/>
  <c r="Q212" i="3"/>
  <c r="Q214" i="3" s="1"/>
  <c r="Q413" i="3"/>
  <c r="F86" i="3"/>
  <c r="F89" i="3"/>
  <c r="P29" i="3"/>
  <c r="Q196" i="3"/>
  <c r="Q371" i="3"/>
  <c r="Q369" i="3"/>
  <c r="R360" i="3"/>
  <c r="Q63" i="3"/>
  <c r="R60" i="3"/>
  <c r="R63" i="3" s="1"/>
  <c r="P367" i="3"/>
  <c r="P443" i="3"/>
  <c r="Q442" i="3"/>
  <c r="Q447" i="3" s="1"/>
  <c r="Q259" i="3"/>
  <c r="P372" i="3"/>
  <c r="R74" i="3"/>
  <c r="H86" i="3"/>
  <c r="R429" i="3"/>
  <c r="R134" i="3"/>
  <c r="G86" i="3"/>
  <c r="Q45" i="3"/>
  <c r="P17" i="3"/>
  <c r="P21" i="3"/>
  <c r="Q12" i="3"/>
  <c r="R355" i="3"/>
  <c r="J77" i="3"/>
  <c r="I84" i="3"/>
  <c r="I85" i="3"/>
  <c r="O166" i="3"/>
  <c r="P164" i="3"/>
  <c r="N255" i="3"/>
  <c r="R354" i="3"/>
  <c r="P234" i="3"/>
  <c r="R138" i="3"/>
  <c r="Q141" i="3"/>
  <c r="P46" i="3"/>
  <c r="O48" i="3"/>
  <c r="R44" i="3"/>
  <c r="P251" i="3"/>
  <c r="O254" i="3"/>
  <c r="O253" i="3"/>
  <c r="Q140" i="3"/>
  <c r="Q149" i="3"/>
  <c r="R137" i="3"/>
  <c r="Q505" i="3" l="1"/>
  <c r="R391" i="3"/>
  <c r="R399" i="3"/>
  <c r="O278" i="3"/>
  <c r="P120" i="3"/>
  <c r="Q142" i="3"/>
  <c r="R141" i="3"/>
  <c r="Q480" i="3"/>
  <c r="R479" i="3"/>
  <c r="R480" i="3" s="1"/>
  <c r="Q469" i="3"/>
  <c r="R468" i="3"/>
  <c r="R469" i="3" s="1"/>
  <c r="Q372" i="3"/>
  <c r="R80" i="3"/>
  <c r="Q83" i="3"/>
  <c r="Q426" i="3"/>
  <c r="R425" i="3"/>
  <c r="R426" i="3" s="1"/>
  <c r="Q46" i="3"/>
  <c r="P48" i="3"/>
  <c r="R140" i="3"/>
  <c r="R149" i="3"/>
  <c r="I86" i="3"/>
  <c r="R442" i="3"/>
  <c r="Q443" i="3"/>
  <c r="R413" i="3"/>
  <c r="O255" i="3"/>
  <c r="Q251" i="3"/>
  <c r="P253" i="3"/>
  <c r="P254" i="3"/>
  <c r="R196" i="3"/>
  <c r="Q234" i="3"/>
  <c r="R212" i="3"/>
  <c r="R214" i="3" s="1"/>
  <c r="R366" i="3"/>
  <c r="R364" i="3"/>
  <c r="P166" i="3"/>
  <c r="Q164" i="3"/>
  <c r="K77" i="3"/>
  <c r="J84" i="3"/>
  <c r="J85" i="3"/>
  <c r="R259" i="3"/>
  <c r="Q29" i="3"/>
  <c r="Q499" i="3"/>
  <c r="Q17" i="3"/>
  <c r="R45" i="3"/>
  <c r="Q367" i="3"/>
  <c r="R249" i="3"/>
  <c r="Q21" i="3"/>
  <c r="R12" i="3"/>
  <c r="R371" i="3"/>
  <c r="R369" i="3"/>
  <c r="F90" i="3"/>
  <c r="F92" i="3"/>
  <c r="F95" i="3" s="1"/>
  <c r="R505" i="3" l="1"/>
  <c r="F292" i="3"/>
  <c r="F522" i="3" s="1"/>
  <c r="P278" i="3"/>
  <c r="Q120" i="3"/>
  <c r="R443" i="3"/>
  <c r="R447" i="3"/>
  <c r="R142" i="3"/>
  <c r="R367" i="3"/>
  <c r="P255" i="3"/>
  <c r="R17" i="3"/>
  <c r="J86" i="3"/>
  <c r="R251" i="3"/>
  <c r="Q253" i="3"/>
  <c r="Q254" i="3"/>
  <c r="R83" i="3"/>
  <c r="L77" i="3"/>
  <c r="K84" i="3"/>
  <c r="K85" i="3"/>
  <c r="R21" i="3"/>
  <c r="R372" i="3"/>
  <c r="Q166" i="3"/>
  <c r="R164" i="3"/>
  <c r="R166" i="3" s="1"/>
  <c r="F96" i="3"/>
  <c r="S95" i="3"/>
  <c r="R499" i="3"/>
  <c r="R29" i="3"/>
  <c r="R234" i="3"/>
  <c r="R46" i="3"/>
  <c r="R48" i="3" s="1"/>
  <c r="Q48" i="3"/>
  <c r="Q278" i="3" l="1"/>
  <c r="R120" i="3"/>
  <c r="F97" i="3"/>
  <c r="F108" i="3"/>
  <c r="F130" i="3" s="1"/>
  <c r="F294" i="3"/>
  <c r="F295" i="3"/>
  <c r="K86" i="3"/>
  <c r="Q255" i="3"/>
  <c r="M77" i="3"/>
  <c r="L84" i="3"/>
  <c r="L85" i="3"/>
  <c r="R253" i="3"/>
  <c r="R254" i="3"/>
  <c r="S151" i="3"/>
  <c r="T95" i="3"/>
  <c r="Y133" i="3" s="1"/>
  <c r="R278" i="3" l="1"/>
  <c r="F152" i="3"/>
  <c r="F157" i="3" s="1"/>
  <c r="F131" i="3"/>
  <c r="L86" i="3"/>
  <c r="T151" i="3"/>
  <c r="S171" i="3"/>
  <c r="N77" i="3"/>
  <c r="M84" i="3"/>
  <c r="M85" i="3"/>
  <c r="F109" i="3"/>
  <c r="R255" i="3"/>
  <c r="V151" i="3" l="1"/>
  <c r="M86" i="3"/>
  <c r="O77" i="3"/>
  <c r="N84" i="3"/>
  <c r="N85" i="3"/>
  <c r="S204" i="3"/>
  <c r="T171" i="3"/>
  <c r="F153" i="3"/>
  <c r="F158" i="3" s="1"/>
  <c r="T204" i="3" l="1"/>
  <c r="V204" i="3" s="1"/>
  <c r="S228" i="3"/>
  <c r="N86" i="3"/>
  <c r="F173" i="3"/>
  <c r="P77" i="3"/>
  <c r="O84" i="3"/>
  <c r="O85" i="3"/>
  <c r="S243" i="3" l="1"/>
  <c r="T228" i="3"/>
  <c r="V228" i="3" s="1"/>
  <c r="O86" i="3"/>
  <c r="Q77" i="3"/>
  <c r="P84" i="3"/>
  <c r="P85" i="3"/>
  <c r="F205" i="3"/>
  <c r="F174" i="3"/>
  <c r="F193" i="3" s="1"/>
  <c r="F194" i="3" s="1"/>
  <c r="F195" i="3" s="1"/>
  <c r="F229" i="3" l="1"/>
  <c r="F206" i="3"/>
  <c r="P86" i="3"/>
  <c r="R77" i="3"/>
  <c r="Q84" i="3"/>
  <c r="Q85" i="3"/>
  <c r="S264" i="3"/>
  <c r="T264" i="3" s="1"/>
  <c r="V264" i="3" s="1"/>
  <c r="T243" i="3"/>
  <c r="V243" i="3" s="1"/>
  <c r="Q86" i="3" l="1"/>
  <c r="R84" i="3"/>
  <c r="R85" i="3"/>
  <c r="F244" i="3"/>
  <c r="F230" i="3"/>
  <c r="R86" i="3" l="1"/>
  <c r="F245" i="3"/>
  <c r="F265" i="3"/>
  <c r="F288" i="3" s="1"/>
  <c r="F349" i="3" s="1"/>
  <c r="F350" i="3" l="1"/>
  <c r="F408" i="3"/>
  <c r="F266" i="3"/>
  <c r="F289" i="3" s="1"/>
  <c r="F409" i="3" l="1"/>
  <c r="F433" i="3"/>
  <c r="AF43" i="1"/>
  <c r="AG29" i="1"/>
  <c r="AG30" i="1"/>
  <c r="AG31" i="1"/>
  <c r="AG32" i="1"/>
  <c r="AG33" i="1"/>
  <c r="AG34" i="1"/>
  <c r="AG36" i="1"/>
  <c r="AF28" i="1"/>
  <c r="AF37" i="1"/>
  <c r="AF38" i="1"/>
  <c r="AF39" i="1"/>
  <c r="AF40" i="1"/>
  <c r="AF41" i="1"/>
  <c r="AF26" i="1"/>
  <c r="AF25" i="1"/>
  <c r="AG25" i="1"/>
  <c r="AG24" i="1"/>
  <c r="AF24" i="1"/>
  <c r="F434" i="3" l="1"/>
  <c r="F513" i="3"/>
  <c r="F514" i="3" s="1"/>
  <c r="AG42" i="1"/>
  <c r="AF42" i="1"/>
  <c r="AB27" i="1"/>
  <c r="AC27" i="1"/>
  <c r="AD27" i="1"/>
  <c r="B27" i="1" s="1"/>
  <c r="AB30" i="1"/>
  <c r="AC30" i="1"/>
  <c r="AD30" i="1"/>
  <c r="B30" i="1" s="1"/>
  <c r="AB31" i="1"/>
  <c r="AC31" i="1"/>
  <c r="AD31" i="1"/>
  <c r="B31" i="1" s="1"/>
  <c r="AB32" i="1"/>
  <c r="AC32" i="1"/>
  <c r="AD32" i="1"/>
  <c r="B32" i="1" s="1"/>
  <c r="AB33" i="1"/>
  <c r="AC33" i="1"/>
  <c r="AD33" i="1"/>
  <c r="B33" i="1" s="1"/>
  <c r="AB34" i="1"/>
  <c r="AC34" i="1"/>
  <c r="AD34" i="1"/>
  <c r="B34" i="1" s="1"/>
  <c r="AB35" i="1"/>
  <c r="AC35" i="1"/>
  <c r="AD35" i="1"/>
  <c r="B35" i="1" s="1"/>
  <c r="AB38" i="1"/>
  <c r="AC38" i="1"/>
  <c r="AD38" i="1"/>
  <c r="B38" i="1" s="1"/>
  <c r="AB39" i="1"/>
  <c r="AC39" i="1"/>
  <c r="AD39" i="1"/>
  <c r="B39" i="1" s="1"/>
  <c r="AB40" i="1"/>
  <c r="AD40" i="1"/>
  <c r="B40" i="1" s="1"/>
  <c r="AB41" i="1"/>
  <c r="AD41" i="1"/>
  <c r="B41" i="1" s="1"/>
  <c r="AD26" i="1"/>
  <c r="B26" i="1" s="1"/>
  <c r="AC26" i="1"/>
  <c r="AB26" i="1"/>
  <c r="AF44" i="1" l="1"/>
  <c r="U42" i="1"/>
  <c r="T42" i="1"/>
  <c r="K42" i="1"/>
  <c r="W35" i="1"/>
  <c r="E17" i="1"/>
  <c r="E12" i="1"/>
  <c r="C26" i="1" l="1"/>
  <c r="D26" i="1" s="1"/>
  <c r="C27" i="1" l="1"/>
  <c r="C30" i="1" s="1"/>
  <c r="D30" i="1" s="1"/>
  <c r="E30" i="1" s="1"/>
  <c r="E18" i="1"/>
  <c r="E26" i="1"/>
  <c r="C31" i="1" l="1"/>
  <c r="D31" i="1" s="1"/>
  <c r="E31" i="1" s="1"/>
  <c r="D27" i="1"/>
  <c r="E27" i="1" s="1"/>
  <c r="C15" i="4" s="1"/>
  <c r="C14" i="4"/>
  <c r="G9" i="3"/>
  <c r="G281" i="3" s="1"/>
  <c r="G282" i="3" s="1"/>
  <c r="C16" i="4"/>
  <c r="I9" i="3"/>
  <c r="B12" i="2"/>
  <c r="C12" i="2" s="1"/>
  <c r="G12" i="2" s="1"/>
  <c r="B8" i="2"/>
  <c r="C8" i="2" s="1"/>
  <c r="G8" i="2" s="1"/>
  <c r="C32" i="1"/>
  <c r="I303" i="3" l="1"/>
  <c r="I307" i="3" s="1"/>
  <c r="I281" i="3"/>
  <c r="I282" i="3" s="1"/>
  <c r="G285" i="3"/>
  <c r="G284" i="3"/>
  <c r="G303" i="3"/>
  <c r="G307" i="3" s="1"/>
  <c r="G301" i="3" s="1"/>
  <c r="G454" i="3"/>
  <c r="H9" i="3"/>
  <c r="B9" i="2"/>
  <c r="C9" i="2" s="1"/>
  <c r="G9" i="2" s="1"/>
  <c r="C17" i="4"/>
  <c r="J9" i="3"/>
  <c r="I10" i="3"/>
  <c r="I144" i="3"/>
  <c r="I11" i="3"/>
  <c r="I353" i="3"/>
  <c r="I454" i="3"/>
  <c r="I464" i="3" s="1"/>
  <c r="I465" i="3" s="1"/>
  <c r="I470" i="3" s="1"/>
  <c r="I239" i="3"/>
  <c r="I240" i="3" s="1"/>
  <c r="I241" i="3" s="1"/>
  <c r="I243" i="3" s="1"/>
  <c r="I257" i="3"/>
  <c r="E16" i="4"/>
  <c r="D16" i="4"/>
  <c r="F16" i="4"/>
  <c r="G144" i="3"/>
  <c r="G239" i="3"/>
  <c r="G240" i="3" s="1"/>
  <c r="G241" i="3" s="1"/>
  <c r="G243" i="3" s="1"/>
  <c r="G11" i="3"/>
  <c r="G353" i="3"/>
  <c r="G10" i="3"/>
  <c r="G257" i="3"/>
  <c r="E15" i="4"/>
  <c r="D15" i="4"/>
  <c r="F15" i="4"/>
  <c r="F14" i="4"/>
  <c r="D14" i="4"/>
  <c r="E14" i="4"/>
  <c r="B13" i="2"/>
  <c r="C13" i="2" s="1"/>
  <c r="G13" i="2" s="1"/>
  <c r="C33" i="1"/>
  <c r="D32" i="1"/>
  <c r="E32" i="1" s="1"/>
  <c r="G287" i="3" l="1"/>
  <c r="I309" i="3"/>
  <c r="I301" i="3"/>
  <c r="I308" i="3"/>
  <c r="I346" i="3" s="1"/>
  <c r="H144" i="3"/>
  <c r="H281" i="3"/>
  <c r="H282" i="3" s="1"/>
  <c r="I285" i="3"/>
  <c r="I284" i="3"/>
  <c r="J303" i="3"/>
  <c r="J307" i="3" s="1"/>
  <c r="J281" i="3"/>
  <c r="J282" i="3" s="1"/>
  <c r="G475" i="3"/>
  <c r="G464" i="3"/>
  <c r="G465" i="3" s="1"/>
  <c r="G470" i="3" s="1"/>
  <c r="G471" i="3" s="1"/>
  <c r="G309" i="3"/>
  <c r="G308" i="3"/>
  <c r="G319" i="3" s="1"/>
  <c r="H257" i="3"/>
  <c r="H258" i="3" s="1"/>
  <c r="H10" i="3"/>
  <c r="H18" i="3" s="1"/>
  <c r="H303" i="3"/>
  <c r="H307" i="3" s="1"/>
  <c r="H301" i="3" s="1"/>
  <c r="H353" i="3"/>
  <c r="H370" i="3" s="1"/>
  <c r="H11" i="3"/>
  <c r="H103" i="3" s="1"/>
  <c r="H454" i="3"/>
  <c r="H464" i="3" s="1"/>
  <c r="H465" i="3" s="1"/>
  <c r="H470" i="3" s="1"/>
  <c r="H472" i="3" s="1"/>
  <c r="H239" i="3"/>
  <c r="H240" i="3" s="1"/>
  <c r="H241" i="3" s="1"/>
  <c r="H243" i="3" s="1"/>
  <c r="G18" i="3"/>
  <c r="G64" i="3"/>
  <c r="G49" i="3"/>
  <c r="G50" i="3" s="1"/>
  <c r="G52" i="3" s="1"/>
  <c r="G89" i="3"/>
  <c r="I456" i="3"/>
  <c r="I459" i="3" s="1"/>
  <c r="I460" i="3" s="1"/>
  <c r="I475" i="3"/>
  <c r="I471" i="3"/>
  <c r="I472" i="3"/>
  <c r="G146" i="3"/>
  <c r="G167" i="3"/>
  <c r="I415" i="3"/>
  <c r="I416" i="3" s="1"/>
  <c r="I418" i="3" s="1"/>
  <c r="I424" i="3"/>
  <c r="I427" i="3" s="1"/>
  <c r="I428" i="3" s="1"/>
  <c r="I430" i="3" s="1"/>
  <c r="I432" i="3" s="1"/>
  <c r="I438" i="3"/>
  <c r="I365" i="3"/>
  <c r="I370" i="3"/>
  <c r="G456" i="3"/>
  <c r="G459" i="3" s="1"/>
  <c r="G460" i="3" s="1"/>
  <c r="I256" i="3"/>
  <c r="I261" i="3"/>
  <c r="I258" i="3"/>
  <c r="I136" i="3"/>
  <c r="I103" i="3"/>
  <c r="J11" i="3"/>
  <c r="J10" i="3"/>
  <c r="J239" i="3"/>
  <c r="J240" i="3" s="1"/>
  <c r="J241" i="3" s="1"/>
  <c r="J243" i="3" s="1"/>
  <c r="J353" i="3"/>
  <c r="J454" i="3"/>
  <c r="J464" i="3" s="1"/>
  <c r="J465" i="3" s="1"/>
  <c r="J470" i="3" s="1"/>
  <c r="J144" i="3"/>
  <c r="J257" i="3"/>
  <c r="G415" i="3"/>
  <c r="G416" i="3" s="1"/>
  <c r="G418" i="3" s="1"/>
  <c r="G370" i="3"/>
  <c r="G365" i="3"/>
  <c r="G382" i="3" s="1"/>
  <c r="G424" i="3"/>
  <c r="G427" i="3" s="1"/>
  <c r="G428" i="3" s="1"/>
  <c r="G430" i="3" s="1"/>
  <c r="G432" i="3" s="1"/>
  <c r="G438" i="3"/>
  <c r="I64" i="3"/>
  <c r="I18" i="3"/>
  <c r="I49" i="3"/>
  <c r="I50" i="3" s="1"/>
  <c r="I52" i="3" s="1"/>
  <c r="I89" i="3"/>
  <c r="C18" i="4"/>
  <c r="K9" i="3"/>
  <c r="G258" i="3"/>
  <c r="G261" i="3"/>
  <c r="G256" i="3"/>
  <c r="G103" i="3"/>
  <c r="G136" i="3"/>
  <c r="H146" i="3"/>
  <c r="H167" i="3"/>
  <c r="I167" i="3"/>
  <c r="I146" i="3"/>
  <c r="F17" i="4"/>
  <c r="D17" i="4"/>
  <c r="E17" i="4"/>
  <c r="B14" i="2"/>
  <c r="C14" i="2" s="1"/>
  <c r="G14" i="2" s="1"/>
  <c r="C34" i="1"/>
  <c r="D33" i="1"/>
  <c r="E33" i="1" s="1"/>
  <c r="H381" i="3" l="1"/>
  <c r="G381" i="3"/>
  <c r="I381" i="3"/>
  <c r="I388" i="3"/>
  <c r="I382" i="3"/>
  <c r="G385" i="3"/>
  <c r="I328" i="3"/>
  <c r="J309" i="3"/>
  <c r="J301" i="3"/>
  <c r="I319" i="3"/>
  <c r="J308" i="3"/>
  <c r="J346" i="3" s="1"/>
  <c r="I287" i="3"/>
  <c r="I337" i="3"/>
  <c r="J285" i="3"/>
  <c r="J284" i="3"/>
  <c r="G337" i="3"/>
  <c r="G346" i="3"/>
  <c r="H285" i="3"/>
  <c r="H284" i="3"/>
  <c r="K303" i="3"/>
  <c r="K307" i="3" s="1"/>
  <c r="K281" i="3"/>
  <c r="K282" i="3" s="1"/>
  <c r="G472" i="3"/>
  <c r="I148" i="3"/>
  <c r="I151" i="3" s="1"/>
  <c r="I123" i="3"/>
  <c r="G148" i="3"/>
  <c r="G151" i="3" s="1"/>
  <c r="G123" i="3"/>
  <c r="H148" i="3"/>
  <c r="H151" i="3" s="1"/>
  <c r="H123" i="3"/>
  <c r="G65" i="3"/>
  <c r="G66" i="3" s="1"/>
  <c r="G68" i="3" s="1"/>
  <c r="I65" i="3"/>
  <c r="I66" i="3" s="1"/>
  <c r="I68" i="3" s="1"/>
  <c r="H261" i="3"/>
  <c r="G328" i="3"/>
  <c r="H256" i="3"/>
  <c r="G476" i="3"/>
  <c r="G481" i="3" s="1"/>
  <c r="G500" i="3" s="1"/>
  <c r="G486" i="3"/>
  <c r="G503" i="3" s="1"/>
  <c r="G504" i="3" s="1"/>
  <c r="G508" i="3" s="1"/>
  <c r="I476" i="3"/>
  <c r="I481" i="3" s="1"/>
  <c r="I500" i="3" s="1"/>
  <c r="I486" i="3"/>
  <c r="I503" i="3" s="1"/>
  <c r="I504" i="3" s="1"/>
  <c r="I508" i="3" s="1"/>
  <c r="H438" i="3"/>
  <c r="H475" i="3"/>
  <c r="G262" i="3"/>
  <c r="G264" i="3" s="1"/>
  <c r="G388" i="3"/>
  <c r="H308" i="3"/>
  <c r="H309" i="3"/>
  <c r="H456" i="3"/>
  <c r="H459" i="3" s="1"/>
  <c r="H460" i="3" s="1"/>
  <c r="H424" i="3"/>
  <c r="H427" i="3" s="1"/>
  <c r="H428" i="3" s="1"/>
  <c r="H430" i="3" s="1"/>
  <c r="H432" i="3" s="1"/>
  <c r="H64" i="3"/>
  <c r="H471" i="3"/>
  <c r="H89" i="3"/>
  <c r="H90" i="3" s="1"/>
  <c r="H49" i="3"/>
  <c r="H50" i="3" s="1"/>
  <c r="H52" i="3" s="1"/>
  <c r="H415" i="3"/>
  <c r="H416" i="3" s="1"/>
  <c r="H418" i="3" s="1"/>
  <c r="H365" i="3"/>
  <c r="H382" i="3" s="1"/>
  <c r="G216" i="3"/>
  <c r="I216" i="3"/>
  <c r="H136" i="3"/>
  <c r="H387" i="3"/>
  <c r="I90" i="3"/>
  <c r="I92" i="3"/>
  <c r="I95" i="3" s="1"/>
  <c r="J261" i="3"/>
  <c r="J256" i="3"/>
  <c r="J258" i="3"/>
  <c r="G92" i="3"/>
  <c r="G95" i="3" s="1"/>
  <c r="G90" i="3"/>
  <c r="G419" i="3"/>
  <c r="G421" i="3" s="1"/>
  <c r="J146" i="3"/>
  <c r="J167" i="3"/>
  <c r="I179" i="3"/>
  <c r="I198" i="3" s="1"/>
  <c r="I168" i="3"/>
  <c r="I169" i="3" s="1"/>
  <c r="I171" i="3" s="1"/>
  <c r="K10" i="3"/>
  <c r="K239" i="3"/>
  <c r="K240" i="3" s="1"/>
  <c r="K241" i="3" s="1"/>
  <c r="K243" i="3" s="1"/>
  <c r="K144" i="3"/>
  <c r="K353" i="3"/>
  <c r="K11" i="3"/>
  <c r="K454" i="3"/>
  <c r="K464" i="3" s="1"/>
  <c r="K465" i="3" s="1"/>
  <c r="K470" i="3" s="1"/>
  <c r="K257" i="3"/>
  <c r="I19" i="3"/>
  <c r="I20" i="3" s="1"/>
  <c r="I32" i="3"/>
  <c r="I33" i="3" s="1"/>
  <c r="G387" i="3"/>
  <c r="J475" i="3"/>
  <c r="J456" i="3"/>
  <c r="J459" i="3" s="1"/>
  <c r="J460" i="3" s="1"/>
  <c r="J64" i="3"/>
  <c r="J18" i="3"/>
  <c r="J49" i="3"/>
  <c r="J50" i="3" s="1"/>
  <c r="J52" i="3" s="1"/>
  <c r="J89" i="3"/>
  <c r="I419" i="3"/>
  <c r="I421" i="3" s="1"/>
  <c r="I262" i="3"/>
  <c r="I264" i="3" s="1"/>
  <c r="G168" i="3"/>
  <c r="G169" i="3" s="1"/>
  <c r="G171" i="3" s="1"/>
  <c r="G179" i="3"/>
  <c r="G198" i="3" s="1"/>
  <c r="J471" i="3"/>
  <c r="J472" i="3"/>
  <c r="I387" i="3"/>
  <c r="C19" i="4"/>
  <c r="L9" i="3"/>
  <c r="H179" i="3"/>
  <c r="H198" i="3" s="1"/>
  <c r="H168" i="3"/>
  <c r="H169" i="3" s="1"/>
  <c r="H171" i="3" s="1"/>
  <c r="D18" i="4"/>
  <c r="E18" i="4"/>
  <c r="F18" i="4"/>
  <c r="G439" i="3"/>
  <c r="G444" i="3" s="1"/>
  <c r="G446" i="3" s="1"/>
  <c r="J424" i="3"/>
  <c r="J427" i="3" s="1"/>
  <c r="J428" i="3" s="1"/>
  <c r="J430" i="3" s="1"/>
  <c r="J432" i="3" s="1"/>
  <c r="J438" i="3"/>
  <c r="J415" i="3"/>
  <c r="J416" i="3" s="1"/>
  <c r="J418" i="3" s="1"/>
  <c r="J365" i="3"/>
  <c r="J370" i="3"/>
  <c r="J103" i="3"/>
  <c r="J136" i="3"/>
  <c r="H19" i="3"/>
  <c r="H20" i="3" s="1"/>
  <c r="H32" i="3"/>
  <c r="H33" i="3" s="1"/>
  <c r="I439" i="3"/>
  <c r="I444" i="3" s="1"/>
  <c r="I446" i="3" s="1"/>
  <c r="G19" i="3"/>
  <c r="G20" i="3" s="1"/>
  <c r="G32" i="3"/>
  <c r="G33" i="3" s="1"/>
  <c r="B15" i="2"/>
  <c r="C15" i="2" s="1"/>
  <c r="G15" i="2" s="1"/>
  <c r="C35" i="1"/>
  <c r="D34" i="1"/>
  <c r="E34" i="1" s="1"/>
  <c r="J381" i="3" l="1"/>
  <c r="H385" i="3"/>
  <c r="I385" i="3"/>
  <c r="J337" i="3"/>
  <c r="J388" i="3"/>
  <c r="J382" i="3"/>
  <c r="I347" i="3"/>
  <c r="I348" i="3" s="1"/>
  <c r="J319" i="3"/>
  <c r="G347" i="3"/>
  <c r="G348" i="3" s="1"/>
  <c r="J328" i="3"/>
  <c r="H287" i="3"/>
  <c r="J287" i="3"/>
  <c r="H105" i="3"/>
  <c r="H106" i="3" s="1"/>
  <c r="H107" i="3" s="1"/>
  <c r="K309" i="3"/>
  <c r="K301" i="3"/>
  <c r="K285" i="3"/>
  <c r="K284" i="3"/>
  <c r="G105" i="3"/>
  <c r="G124" i="3" s="1"/>
  <c r="G126" i="3" s="1"/>
  <c r="G150" i="3"/>
  <c r="K308" i="3"/>
  <c r="K346" i="3" s="1"/>
  <c r="L303" i="3"/>
  <c r="L307" i="3" s="1"/>
  <c r="L281" i="3"/>
  <c r="L282" i="3" s="1"/>
  <c r="G293" i="3"/>
  <c r="H293" i="3"/>
  <c r="H150" i="3"/>
  <c r="I150" i="3"/>
  <c r="I293" i="3"/>
  <c r="I105" i="3"/>
  <c r="I124" i="3" s="1"/>
  <c r="I127" i="3" s="1"/>
  <c r="J148" i="3"/>
  <c r="J151" i="3" s="1"/>
  <c r="J123" i="3"/>
  <c r="H124" i="3"/>
  <c r="H127" i="3" s="1"/>
  <c r="H65" i="3"/>
  <c r="H66" i="3" s="1"/>
  <c r="H68" i="3" s="1"/>
  <c r="J65" i="3"/>
  <c r="J66" i="3" s="1"/>
  <c r="J68" i="3" s="1"/>
  <c r="I483" i="3"/>
  <c r="H439" i="3"/>
  <c r="H444" i="3" s="1"/>
  <c r="H446" i="3" s="1"/>
  <c r="G483" i="3"/>
  <c r="G482" i="3"/>
  <c r="I491" i="3"/>
  <c r="I488" i="3"/>
  <c r="I482" i="3"/>
  <c r="G488" i="3"/>
  <c r="G491" i="3"/>
  <c r="H476" i="3"/>
  <c r="H481" i="3" s="1"/>
  <c r="H500" i="3" s="1"/>
  <c r="H486" i="3"/>
  <c r="H503" i="3" s="1"/>
  <c r="H504" i="3" s="1"/>
  <c r="H508" i="3" s="1"/>
  <c r="J476" i="3"/>
  <c r="J481" i="3" s="1"/>
  <c r="J500" i="3" s="1"/>
  <c r="J486" i="3"/>
  <c r="J503" i="3" s="1"/>
  <c r="J504" i="3" s="1"/>
  <c r="J508" i="3" s="1"/>
  <c r="H319" i="3"/>
  <c r="H346" i="3"/>
  <c r="H337" i="3"/>
  <c r="H328" i="3"/>
  <c r="H262" i="3"/>
  <c r="H264" i="3" s="1"/>
  <c r="H388" i="3"/>
  <c r="H92" i="3"/>
  <c r="H95" i="3" s="1"/>
  <c r="H419" i="3"/>
  <c r="H421" i="3" s="1"/>
  <c r="H216" i="3"/>
  <c r="J216" i="3"/>
  <c r="C20" i="4"/>
  <c r="M9" i="3"/>
  <c r="K64" i="3"/>
  <c r="K18" i="3"/>
  <c r="K49" i="3"/>
  <c r="K50" i="3" s="1"/>
  <c r="K52" i="3" s="1"/>
  <c r="K89" i="3"/>
  <c r="J419" i="3"/>
  <c r="J421" i="3" s="1"/>
  <c r="J262" i="3"/>
  <c r="J264" i="3" s="1"/>
  <c r="F19" i="4"/>
  <c r="E19" i="4"/>
  <c r="D19" i="4"/>
  <c r="J92" i="3"/>
  <c r="J95" i="3" s="1"/>
  <c r="J90" i="3"/>
  <c r="G404" i="3"/>
  <c r="G396" i="3"/>
  <c r="I36" i="3"/>
  <c r="I35" i="3"/>
  <c r="K136" i="3"/>
  <c r="K103" i="3"/>
  <c r="H36" i="3"/>
  <c r="H35" i="3"/>
  <c r="G445" i="3"/>
  <c r="G450" i="3" s="1"/>
  <c r="H199" i="3"/>
  <c r="H202" i="3"/>
  <c r="I396" i="3"/>
  <c r="I404" i="3"/>
  <c r="J32" i="3"/>
  <c r="J33" i="3" s="1"/>
  <c r="J19" i="3"/>
  <c r="J20" i="3" s="1"/>
  <c r="K256" i="3"/>
  <c r="K261" i="3"/>
  <c r="K258" i="3"/>
  <c r="K424" i="3"/>
  <c r="K427" i="3" s="1"/>
  <c r="K428" i="3" s="1"/>
  <c r="K430" i="3" s="1"/>
  <c r="K438" i="3"/>
  <c r="K415" i="3"/>
  <c r="K416" i="3" s="1"/>
  <c r="K418" i="3" s="1"/>
  <c r="K365" i="3"/>
  <c r="K370" i="3"/>
  <c r="J179" i="3"/>
  <c r="J198" i="3" s="1"/>
  <c r="J168" i="3"/>
  <c r="J169" i="3" s="1"/>
  <c r="J171" i="3" s="1"/>
  <c r="G35" i="3"/>
  <c r="G36" i="3"/>
  <c r="K471" i="3"/>
  <c r="K472" i="3"/>
  <c r="J439" i="3"/>
  <c r="J444" i="3" s="1"/>
  <c r="J446" i="3" s="1"/>
  <c r="I445" i="3"/>
  <c r="I450" i="3" s="1"/>
  <c r="J387" i="3"/>
  <c r="L10" i="3"/>
  <c r="L239" i="3"/>
  <c r="L240" i="3" s="1"/>
  <c r="L241" i="3" s="1"/>
  <c r="L243" i="3" s="1"/>
  <c r="L144" i="3"/>
  <c r="L454" i="3"/>
  <c r="L464" i="3" s="1"/>
  <c r="L465" i="3" s="1"/>
  <c r="L470" i="3" s="1"/>
  <c r="L11" i="3"/>
  <c r="L353" i="3"/>
  <c r="L257" i="3"/>
  <c r="G199" i="3"/>
  <c r="G202" i="3"/>
  <c r="K475" i="3"/>
  <c r="K456" i="3"/>
  <c r="K459" i="3" s="1"/>
  <c r="K460" i="3" s="1"/>
  <c r="K146" i="3"/>
  <c r="K167" i="3"/>
  <c r="I199" i="3"/>
  <c r="I202" i="3"/>
  <c r="H396" i="3"/>
  <c r="H404" i="3"/>
  <c r="B16" i="2"/>
  <c r="C16" i="2" s="1"/>
  <c r="G16" i="2" s="1"/>
  <c r="D35" i="1"/>
  <c r="E35" i="1" s="1"/>
  <c r="C38" i="1"/>
  <c r="K432" i="3" l="1"/>
  <c r="G407" i="3"/>
  <c r="K381" i="3"/>
  <c r="J385" i="3"/>
  <c r="H407" i="3"/>
  <c r="I407" i="3"/>
  <c r="K388" i="3"/>
  <c r="K382" i="3"/>
  <c r="J347" i="3"/>
  <c r="J348" i="3" s="1"/>
  <c r="G106" i="3"/>
  <c r="G107" i="3" s="1"/>
  <c r="G127" i="3"/>
  <c r="G129" i="3" s="1"/>
  <c r="L309" i="3"/>
  <c r="L301" i="3"/>
  <c r="K319" i="3"/>
  <c r="K328" i="3"/>
  <c r="K337" i="3"/>
  <c r="L308" i="3"/>
  <c r="L319" i="3" s="1"/>
  <c r="M303" i="3"/>
  <c r="M307" i="3" s="1"/>
  <c r="M301" i="3" s="1"/>
  <c r="M281" i="3"/>
  <c r="M282" i="3" s="1"/>
  <c r="L285" i="3"/>
  <c r="L284" i="3"/>
  <c r="K287" i="3"/>
  <c r="I106" i="3"/>
  <c r="I107" i="3" s="1"/>
  <c r="I126" i="3"/>
  <c r="I129" i="3" s="1"/>
  <c r="J293" i="3"/>
  <c r="J105" i="3"/>
  <c r="J124" i="3" s="1"/>
  <c r="J127" i="3" s="1"/>
  <c r="J150" i="3"/>
  <c r="K148" i="3"/>
  <c r="K151" i="3" s="1"/>
  <c r="K123" i="3"/>
  <c r="H126" i="3"/>
  <c r="H129" i="3" s="1"/>
  <c r="K65" i="3"/>
  <c r="K66" i="3" s="1"/>
  <c r="K68" i="3" s="1"/>
  <c r="H445" i="3"/>
  <c r="H450" i="3" s="1"/>
  <c r="H483" i="3"/>
  <c r="H512" i="3" s="1"/>
  <c r="I492" i="3"/>
  <c r="I512" i="3" s="1"/>
  <c r="J482" i="3"/>
  <c r="G492" i="3"/>
  <c r="G512" i="3" s="1"/>
  <c r="H482" i="3"/>
  <c r="J483" i="3"/>
  <c r="H491" i="3"/>
  <c r="H492" i="3" s="1"/>
  <c r="H488" i="3"/>
  <c r="K476" i="3"/>
  <c r="K481" i="3" s="1"/>
  <c r="K500" i="3" s="1"/>
  <c r="K486" i="3"/>
  <c r="K503" i="3" s="1"/>
  <c r="K504" i="3" s="1"/>
  <c r="K508" i="3" s="1"/>
  <c r="J491" i="3"/>
  <c r="J488" i="3"/>
  <c r="I406" i="3"/>
  <c r="H347" i="3"/>
  <c r="H348" i="3" s="1"/>
  <c r="H406" i="3"/>
  <c r="G406" i="3"/>
  <c r="K216" i="3"/>
  <c r="G38" i="3"/>
  <c r="I38" i="3"/>
  <c r="H38" i="3"/>
  <c r="H54" i="3" s="1"/>
  <c r="L146" i="3"/>
  <c r="L167" i="3"/>
  <c r="K419" i="3"/>
  <c r="K421" i="3" s="1"/>
  <c r="K262" i="3"/>
  <c r="K264" i="3" s="1"/>
  <c r="M11" i="3"/>
  <c r="M239" i="3"/>
  <c r="M240" i="3" s="1"/>
  <c r="M241" i="3" s="1"/>
  <c r="M243" i="3" s="1"/>
  <c r="M10" i="3"/>
  <c r="M454" i="3"/>
  <c r="M464" i="3" s="1"/>
  <c r="M465" i="3" s="1"/>
  <c r="M470" i="3" s="1"/>
  <c r="M144" i="3"/>
  <c r="M353" i="3"/>
  <c r="M257" i="3"/>
  <c r="G225" i="3"/>
  <c r="G220" i="3"/>
  <c r="G222" i="3"/>
  <c r="K179" i="3"/>
  <c r="K198" i="3" s="1"/>
  <c r="K168" i="3"/>
  <c r="K169" i="3" s="1"/>
  <c r="K171" i="3" s="1"/>
  <c r="L261" i="3"/>
  <c r="L258" i="3"/>
  <c r="L256" i="3"/>
  <c r="L475" i="3"/>
  <c r="L456" i="3"/>
  <c r="L459" i="3" s="1"/>
  <c r="L460" i="3" s="1"/>
  <c r="J445" i="3"/>
  <c r="J450" i="3" s="1"/>
  <c r="K387" i="3"/>
  <c r="J36" i="3"/>
  <c r="J35" i="3"/>
  <c r="K92" i="3"/>
  <c r="K95" i="3" s="1"/>
  <c r="K90" i="3"/>
  <c r="L471" i="3"/>
  <c r="L472" i="3"/>
  <c r="K32" i="3"/>
  <c r="K33" i="3" s="1"/>
  <c r="K19" i="3"/>
  <c r="K20" i="3" s="1"/>
  <c r="F20" i="4"/>
  <c r="D20" i="4"/>
  <c r="E20" i="4"/>
  <c r="L415" i="3"/>
  <c r="L416" i="3" s="1"/>
  <c r="L418" i="3" s="1"/>
  <c r="L438" i="3"/>
  <c r="L424" i="3"/>
  <c r="L427" i="3" s="1"/>
  <c r="L428" i="3" s="1"/>
  <c r="L430" i="3" s="1"/>
  <c r="L432" i="3" s="1"/>
  <c r="L365" i="3"/>
  <c r="L370" i="3"/>
  <c r="C21" i="4"/>
  <c r="N9" i="3"/>
  <c r="N281" i="3" s="1"/>
  <c r="N282" i="3" s="1"/>
  <c r="L103" i="3"/>
  <c r="L136" i="3"/>
  <c r="L64" i="3"/>
  <c r="L18" i="3"/>
  <c r="L49" i="3"/>
  <c r="L50" i="3" s="1"/>
  <c r="L52" i="3" s="1"/>
  <c r="L89" i="3"/>
  <c r="J404" i="3"/>
  <c r="J396" i="3"/>
  <c r="H225" i="3"/>
  <c r="J199" i="3"/>
  <c r="J202" i="3"/>
  <c r="K439" i="3"/>
  <c r="K444" i="3" s="1"/>
  <c r="K446" i="3" s="1"/>
  <c r="B17" i="2"/>
  <c r="C17" i="2" s="1"/>
  <c r="G17" i="2" s="1"/>
  <c r="D38" i="1"/>
  <c r="E38" i="1" s="1"/>
  <c r="C39" i="1"/>
  <c r="L381" i="3" l="1"/>
  <c r="J407" i="3"/>
  <c r="K385" i="3"/>
  <c r="L388" i="3"/>
  <c r="L382" i="3"/>
  <c r="M309" i="3"/>
  <c r="L328" i="3"/>
  <c r="M308" i="3"/>
  <c r="M328" i="3" s="1"/>
  <c r="L337" i="3"/>
  <c r="K347" i="3"/>
  <c r="K348" i="3" s="1"/>
  <c r="L346" i="3"/>
  <c r="L287" i="3"/>
  <c r="J106" i="3"/>
  <c r="J107" i="3" s="1"/>
  <c r="K105" i="3"/>
  <c r="K124" i="3" s="1"/>
  <c r="K127" i="3" s="1"/>
  <c r="N285" i="3"/>
  <c r="N284" i="3"/>
  <c r="K293" i="3"/>
  <c r="K150" i="3"/>
  <c r="M285" i="3"/>
  <c r="M284" i="3"/>
  <c r="I39" i="3"/>
  <c r="I55" i="3" s="1"/>
  <c r="G54" i="3"/>
  <c r="J126" i="3"/>
  <c r="J129" i="3" s="1"/>
  <c r="L148" i="3"/>
  <c r="L151" i="3" s="1"/>
  <c r="L123" i="3"/>
  <c r="L65" i="3"/>
  <c r="L66" i="3" s="1"/>
  <c r="L68" i="3" s="1"/>
  <c r="H516" i="3"/>
  <c r="N303" i="3"/>
  <c r="N307" i="3" s="1"/>
  <c r="N454" i="3"/>
  <c r="N464" i="3" s="1"/>
  <c r="N465" i="3" s="1"/>
  <c r="N470" i="3" s="1"/>
  <c r="J492" i="3"/>
  <c r="J512" i="3" s="1"/>
  <c r="G516" i="3"/>
  <c r="I516" i="3"/>
  <c r="K482" i="3"/>
  <c r="K483" i="3"/>
  <c r="L476" i="3"/>
  <c r="L481" i="3" s="1"/>
  <c r="L500" i="3" s="1"/>
  <c r="L486" i="3"/>
  <c r="L503" i="3" s="1"/>
  <c r="L504" i="3" s="1"/>
  <c r="L508" i="3" s="1"/>
  <c r="K491" i="3"/>
  <c r="K488" i="3"/>
  <c r="J406" i="3"/>
  <c r="G39" i="3"/>
  <c r="G55" i="3" s="1"/>
  <c r="L216" i="3"/>
  <c r="I54" i="3"/>
  <c r="H39" i="3"/>
  <c r="H40" i="3" s="1"/>
  <c r="G223" i="3"/>
  <c r="G228" i="3" s="1"/>
  <c r="H226" i="3"/>
  <c r="H201" i="3"/>
  <c r="H204" i="3" s="1"/>
  <c r="L439" i="3"/>
  <c r="L444" i="3" s="1"/>
  <c r="L446" i="3" s="1"/>
  <c r="L90" i="3"/>
  <c r="L92" i="3"/>
  <c r="L95" i="3" s="1"/>
  <c r="L419" i="3"/>
  <c r="L421" i="3" s="1"/>
  <c r="L262" i="3"/>
  <c r="L264" i="3" s="1"/>
  <c r="K36" i="3"/>
  <c r="K35" i="3"/>
  <c r="K404" i="3"/>
  <c r="K396" i="3"/>
  <c r="M103" i="3"/>
  <c r="M136" i="3"/>
  <c r="K445" i="3"/>
  <c r="K450" i="3" s="1"/>
  <c r="N144" i="3"/>
  <c r="N353" i="3"/>
  <c r="N239" i="3"/>
  <c r="N240" i="3" s="1"/>
  <c r="N241" i="3" s="1"/>
  <c r="N243" i="3" s="1"/>
  <c r="N11" i="3"/>
  <c r="N10" i="3"/>
  <c r="N257" i="3"/>
  <c r="J225" i="3"/>
  <c r="G226" i="3"/>
  <c r="G201" i="3"/>
  <c r="G204" i="3" s="1"/>
  <c r="M456" i="3"/>
  <c r="M459" i="3" s="1"/>
  <c r="M460" i="3" s="1"/>
  <c r="M475" i="3"/>
  <c r="M472" i="3"/>
  <c r="M471" i="3"/>
  <c r="I222" i="3"/>
  <c r="I220" i="3"/>
  <c r="H222" i="3"/>
  <c r="H220" i="3"/>
  <c r="M258" i="3"/>
  <c r="M256" i="3"/>
  <c r="M261" i="3"/>
  <c r="C22" i="4"/>
  <c r="O9" i="3"/>
  <c r="O281" i="3" s="1"/>
  <c r="O282" i="3" s="1"/>
  <c r="L387" i="3"/>
  <c r="J38" i="3"/>
  <c r="M438" i="3"/>
  <c r="M415" i="3"/>
  <c r="M416" i="3" s="1"/>
  <c r="M418" i="3" s="1"/>
  <c r="M424" i="3"/>
  <c r="M427" i="3" s="1"/>
  <c r="M428" i="3" s="1"/>
  <c r="M430" i="3" s="1"/>
  <c r="M432" i="3" s="1"/>
  <c r="M370" i="3"/>
  <c r="M365" i="3"/>
  <c r="L32" i="3"/>
  <c r="L33" i="3" s="1"/>
  <c r="L19" i="3"/>
  <c r="L20" i="3" s="1"/>
  <c r="E21" i="4"/>
  <c r="D21" i="4"/>
  <c r="F21" i="4"/>
  <c r="K199" i="3"/>
  <c r="K202" i="3"/>
  <c r="M64" i="3"/>
  <c r="M18" i="3"/>
  <c r="M49" i="3"/>
  <c r="M50" i="3" s="1"/>
  <c r="M52" i="3" s="1"/>
  <c r="M89" i="3"/>
  <c r="L179" i="3"/>
  <c r="L198" i="3" s="1"/>
  <c r="L168" i="3"/>
  <c r="L169" i="3" s="1"/>
  <c r="L171" i="3" s="1"/>
  <c r="M167" i="3"/>
  <c r="M146" i="3"/>
  <c r="I225" i="3"/>
  <c r="B20" i="2"/>
  <c r="C20" i="2" s="1"/>
  <c r="G20" i="2" s="1"/>
  <c r="C40" i="1"/>
  <c r="D39" i="1"/>
  <c r="E39" i="1" s="1"/>
  <c r="J516" i="3" l="1"/>
  <c r="M381" i="3"/>
  <c r="M337" i="3"/>
  <c r="M346" i="3"/>
  <c r="M319" i="3"/>
  <c r="K407" i="3"/>
  <c r="L385" i="3"/>
  <c r="M388" i="3"/>
  <c r="M382" i="3"/>
  <c r="K106" i="3"/>
  <c r="K107" i="3" s="1"/>
  <c r="L347" i="3"/>
  <c r="L348" i="3" s="1"/>
  <c r="N287" i="3"/>
  <c r="M287" i="3"/>
  <c r="N308" i="3"/>
  <c r="N337" i="3" s="1"/>
  <c r="N301" i="3"/>
  <c r="G292" i="3"/>
  <c r="G522" i="3" s="1"/>
  <c r="L293" i="3"/>
  <c r="K126" i="3"/>
  <c r="K129" i="3" s="1"/>
  <c r="I40" i="3"/>
  <c r="O285" i="3"/>
  <c r="O284" i="3"/>
  <c r="L150" i="3"/>
  <c r="L105" i="3"/>
  <c r="L124" i="3" s="1"/>
  <c r="L127" i="3" s="1"/>
  <c r="M148" i="3"/>
  <c r="M151" i="3" s="1"/>
  <c r="M123" i="3"/>
  <c r="M65" i="3"/>
  <c r="M66" i="3" s="1"/>
  <c r="M68" i="3" s="1"/>
  <c r="N309" i="3"/>
  <c r="O303" i="3"/>
  <c r="O307" i="3" s="1"/>
  <c r="O454" i="3"/>
  <c r="O464" i="3" s="1"/>
  <c r="O465" i="3" s="1"/>
  <c r="O470" i="3" s="1"/>
  <c r="L483" i="3"/>
  <c r="L482" i="3"/>
  <c r="L491" i="3"/>
  <c r="L488" i="3"/>
  <c r="G40" i="3"/>
  <c r="M476" i="3"/>
  <c r="M481" i="3" s="1"/>
  <c r="M500" i="3" s="1"/>
  <c r="M486" i="3"/>
  <c r="M503" i="3" s="1"/>
  <c r="M504" i="3" s="1"/>
  <c r="M508" i="3" s="1"/>
  <c r="K492" i="3"/>
  <c r="K512" i="3" s="1"/>
  <c r="K406" i="3"/>
  <c r="M216" i="3"/>
  <c r="K38" i="3"/>
  <c r="H55" i="3"/>
  <c r="H70" i="3" s="1"/>
  <c r="H223" i="3"/>
  <c r="H228" i="3" s="1"/>
  <c r="H292" i="3" s="1"/>
  <c r="I223" i="3"/>
  <c r="I228" i="3" s="1"/>
  <c r="M19" i="3"/>
  <c r="M20" i="3" s="1"/>
  <c r="M32" i="3"/>
  <c r="M33" i="3" s="1"/>
  <c r="F22" i="4"/>
  <c r="E22" i="4"/>
  <c r="D22" i="4"/>
  <c r="C23" i="4"/>
  <c r="P9" i="3"/>
  <c r="P281" i="3" s="1"/>
  <c r="P282" i="3" s="1"/>
  <c r="M179" i="3"/>
  <c r="M198" i="3" s="1"/>
  <c r="M168" i="3"/>
  <c r="M169" i="3" s="1"/>
  <c r="M171" i="3" s="1"/>
  <c r="O11" i="3"/>
  <c r="O239" i="3"/>
  <c r="O240" i="3" s="1"/>
  <c r="O241" i="3" s="1"/>
  <c r="O243" i="3" s="1"/>
  <c r="O10" i="3"/>
  <c r="O353" i="3"/>
  <c r="O144" i="3"/>
  <c r="O257" i="3"/>
  <c r="J222" i="3"/>
  <c r="J220" i="3"/>
  <c r="N136" i="3"/>
  <c r="N103" i="3"/>
  <c r="N146" i="3"/>
  <c r="N167" i="3"/>
  <c r="L396" i="3"/>
  <c r="L404" i="3"/>
  <c r="N258" i="3"/>
  <c r="N261" i="3"/>
  <c r="N256" i="3"/>
  <c r="I56" i="3"/>
  <c r="I70" i="3"/>
  <c r="I201" i="3"/>
  <c r="I204" i="3" s="1"/>
  <c r="I226" i="3"/>
  <c r="L199" i="3"/>
  <c r="L202" i="3"/>
  <c r="L36" i="3"/>
  <c r="L35" i="3"/>
  <c r="M419" i="3"/>
  <c r="M421" i="3" s="1"/>
  <c r="M262" i="3"/>
  <c r="M264" i="3" s="1"/>
  <c r="M439" i="3"/>
  <c r="M444" i="3" s="1"/>
  <c r="M446" i="3" s="1"/>
  <c r="N64" i="3"/>
  <c r="N18" i="3"/>
  <c r="N49" i="3"/>
  <c r="N50" i="3" s="1"/>
  <c r="N52" i="3" s="1"/>
  <c r="N89" i="3"/>
  <c r="N424" i="3"/>
  <c r="N427" i="3" s="1"/>
  <c r="N428" i="3" s="1"/>
  <c r="N430" i="3" s="1"/>
  <c r="N415" i="3"/>
  <c r="N416" i="3" s="1"/>
  <c r="N418" i="3" s="1"/>
  <c r="N438" i="3"/>
  <c r="N365" i="3"/>
  <c r="N370" i="3"/>
  <c r="G70" i="3"/>
  <c r="G56" i="3"/>
  <c r="M92" i="3"/>
  <c r="M95" i="3" s="1"/>
  <c r="M90" i="3"/>
  <c r="M387" i="3"/>
  <c r="J54" i="3"/>
  <c r="J39" i="3"/>
  <c r="J201" i="3"/>
  <c r="J204" i="3" s="1"/>
  <c r="J226" i="3"/>
  <c r="N456" i="3"/>
  <c r="N459" i="3" s="1"/>
  <c r="N460" i="3" s="1"/>
  <c r="N475" i="3"/>
  <c r="N472" i="3"/>
  <c r="N471" i="3"/>
  <c r="L445" i="3"/>
  <c r="L450" i="3" s="1"/>
  <c r="B21" i="2"/>
  <c r="C21" i="2" s="1"/>
  <c r="G21" i="2" s="1"/>
  <c r="D40" i="1"/>
  <c r="E40" i="1" s="1"/>
  <c r="C41" i="1"/>
  <c r="D41" i="1" s="1"/>
  <c r="E41" i="1" s="1"/>
  <c r="N432" i="3" l="1"/>
  <c r="N381" i="3"/>
  <c r="M347" i="3"/>
  <c r="M348" i="3" s="1"/>
  <c r="M385" i="3"/>
  <c r="L407" i="3"/>
  <c r="N388" i="3"/>
  <c r="N382" i="3"/>
  <c r="N346" i="3"/>
  <c r="N319" i="3"/>
  <c r="N328" i="3"/>
  <c r="O308" i="3"/>
  <c r="O346" i="3" s="1"/>
  <c r="O301" i="3"/>
  <c r="O287" i="3"/>
  <c r="L126" i="3"/>
  <c r="L129" i="3" s="1"/>
  <c r="P285" i="3"/>
  <c r="P284" i="3"/>
  <c r="I292" i="3"/>
  <c r="I522" i="3" s="1"/>
  <c r="L106" i="3"/>
  <c r="L107" i="3" s="1"/>
  <c r="K54" i="3"/>
  <c r="M105" i="3"/>
  <c r="M124" i="3" s="1"/>
  <c r="M127" i="3" s="1"/>
  <c r="M150" i="3"/>
  <c r="M293" i="3"/>
  <c r="N148" i="3"/>
  <c r="N151" i="3" s="1"/>
  <c r="N123" i="3"/>
  <c r="N65" i="3"/>
  <c r="N66" i="3" s="1"/>
  <c r="N68" i="3" s="1"/>
  <c r="O309" i="3"/>
  <c r="G295" i="3"/>
  <c r="P303" i="3"/>
  <c r="P307" i="3" s="1"/>
  <c r="P454" i="3"/>
  <c r="P464" i="3" s="1"/>
  <c r="P465" i="3" s="1"/>
  <c r="P470" i="3" s="1"/>
  <c r="K516" i="3"/>
  <c r="M483" i="3"/>
  <c r="M482" i="3"/>
  <c r="L492" i="3"/>
  <c r="L512" i="3" s="1"/>
  <c r="N476" i="3"/>
  <c r="N481" i="3" s="1"/>
  <c r="N486" i="3"/>
  <c r="N503" i="3" s="1"/>
  <c r="N504" i="3" s="1"/>
  <c r="N508" i="3" s="1"/>
  <c r="M491" i="3"/>
  <c r="M488" i="3"/>
  <c r="L406" i="3"/>
  <c r="N216" i="3"/>
  <c r="H56" i="3"/>
  <c r="K39" i="3"/>
  <c r="K40" i="3" s="1"/>
  <c r="G294" i="3"/>
  <c r="G523" i="3"/>
  <c r="C525" i="3" s="1"/>
  <c r="L38" i="3"/>
  <c r="J223" i="3"/>
  <c r="J228" i="3" s="1"/>
  <c r="J292" i="3" s="1"/>
  <c r="N387" i="3"/>
  <c r="C24" i="4"/>
  <c r="Q9" i="3"/>
  <c r="Q281" i="3" s="1"/>
  <c r="Q282" i="3" s="1"/>
  <c r="N32" i="3"/>
  <c r="N33" i="3" s="1"/>
  <c r="N19" i="3"/>
  <c r="N20" i="3" s="1"/>
  <c r="K222" i="3"/>
  <c r="K220" i="3"/>
  <c r="O475" i="3"/>
  <c r="O456" i="3"/>
  <c r="O459" i="3" s="1"/>
  <c r="O460" i="3" s="1"/>
  <c r="O64" i="3"/>
  <c r="O18" i="3"/>
  <c r="O49" i="3"/>
  <c r="O50" i="3" s="1"/>
  <c r="O52" i="3" s="1"/>
  <c r="O89" i="3"/>
  <c r="N179" i="3"/>
  <c r="N198" i="3" s="1"/>
  <c r="N168" i="3"/>
  <c r="N169" i="3" s="1"/>
  <c r="N171" i="3" s="1"/>
  <c r="O471" i="3"/>
  <c r="O472" i="3"/>
  <c r="M199" i="3"/>
  <c r="M202" i="3"/>
  <c r="M404" i="3"/>
  <c r="M396" i="3"/>
  <c r="L225" i="3"/>
  <c r="N419" i="3"/>
  <c r="N421" i="3" s="1"/>
  <c r="N262" i="3"/>
  <c r="N264" i="3" s="1"/>
  <c r="N92" i="3"/>
  <c r="N95" i="3" s="1"/>
  <c r="N90" i="3"/>
  <c r="I71" i="3"/>
  <c r="I96" i="3"/>
  <c r="O167" i="3"/>
  <c r="O146" i="3"/>
  <c r="O103" i="3"/>
  <c r="O136" i="3"/>
  <c r="P10" i="3"/>
  <c r="P353" i="3"/>
  <c r="P11" i="3"/>
  <c r="P144" i="3"/>
  <c r="P239" i="3"/>
  <c r="P240" i="3" s="1"/>
  <c r="P241" i="3" s="1"/>
  <c r="P243" i="3" s="1"/>
  <c r="P257" i="3"/>
  <c r="C25" i="4"/>
  <c r="R9" i="3"/>
  <c r="R281" i="3" s="1"/>
  <c r="R282" i="3" s="1"/>
  <c r="J55" i="3"/>
  <c r="J40" i="3"/>
  <c r="G71" i="3"/>
  <c r="G96" i="3"/>
  <c r="N439" i="3"/>
  <c r="N444" i="3" s="1"/>
  <c r="N446" i="3" s="1"/>
  <c r="H71" i="3"/>
  <c r="H96" i="3"/>
  <c r="M445" i="3"/>
  <c r="M450" i="3" s="1"/>
  <c r="K225" i="3"/>
  <c r="O258" i="3"/>
  <c r="O261" i="3"/>
  <c r="O256" i="3"/>
  <c r="O438" i="3"/>
  <c r="O424" i="3"/>
  <c r="O427" i="3" s="1"/>
  <c r="O428" i="3" s="1"/>
  <c r="O430" i="3" s="1"/>
  <c r="O415" i="3"/>
  <c r="O416" i="3" s="1"/>
  <c r="O418" i="3" s="1"/>
  <c r="O370" i="3"/>
  <c r="O365" i="3"/>
  <c r="F23" i="4"/>
  <c r="D23" i="4"/>
  <c r="E23" i="4"/>
  <c r="M36" i="3"/>
  <c r="M35" i="3"/>
  <c r="B22" i="2"/>
  <c r="C22" i="2" s="1"/>
  <c r="G22" i="2" s="1"/>
  <c r="B23" i="2"/>
  <c r="C23" i="2" s="1"/>
  <c r="G23" i="2" s="1"/>
  <c r="N483" i="3" l="1"/>
  <c r="N500" i="3"/>
  <c r="O432" i="3"/>
  <c r="N347" i="3"/>
  <c r="N348" i="3" s="1"/>
  <c r="O381" i="3"/>
  <c r="M407" i="3"/>
  <c r="N385" i="3"/>
  <c r="O319" i="3"/>
  <c r="O328" i="3"/>
  <c r="O337" i="3"/>
  <c r="O388" i="3"/>
  <c r="O382" i="3"/>
  <c r="P308" i="3"/>
  <c r="P319" i="3" s="1"/>
  <c r="P301" i="3"/>
  <c r="N293" i="3"/>
  <c r="R285" i="3"/>
  <c r="R284" i="3"/>
  <c r="N105" i="3"/>
  <c r="N124" i="3" s="1"/>
  <c r="N127" i="3" s="1"/>
  <c r="N150" i="3"/>
  <c r="Q285" i="3"/>
  <c r="Q284" i="3"/>
  <c r="P287" i="3"/>
  <c r="L54" i="3"/>
  <c r="M126" i="3"/>
  <c r="M129" i="3" s="1"/>
  <c r="M106" i="3"/>
  <c r="M107" i="3" s="1"/>
  <c r="O148" i="3"/>
  <c r="O151" i="3" s="1"/>
  <c r="O123" i="3"/>
  <c r="O65" i="3"/>
  <c r="O66" i="3" s="1"/>
  <c r="O68" i="3" s="1"/>
  <c r="E525" i="3"/>
  <c r="Z530" i="3"/>
  <c r="F26" i="1" s="1"/>
  <c r="G26" i="1" s="1"/>
  <c r="P309" i="3"/>
  <c r="Q303" i="3"/>
  <c r="Q307" i="3" s="1"/>
  <c r="Q454" i="3"/>
  <c r="Q464" i="3" s="1"/>
  <c r="Q465" i="3" s="1"/>
  <c r="Q470" i="3" s="1"/>
  <c r="R303" i="3"/>
  <c r="R307" i="3" s="1"/>
  <c r="R454" i="3"/>
  <c r="R464" i="3" s="1"/>
  <c r="R465" i="3" s="1"/>
  <c r="R470" i="3" s="1"/>
  <c r="L516" i="3"/>
  <c r="H522" i="3"/>
  <c r="H523" i="3" s="1"/>
  <c r="C526" i="3" s="1"/>
  <c r="Z531" i="3" s="1"/>
  <c r="F27" i="1" s="1"/>
  <c r="M492" i="3"/>
  <c r="M512" i="3" s="1"/>
  <c r="N482" i="3"/>
  <c r="J522" i="3"/>
  <c r="J523" i="3" s="1"/>
  <c r="C528" i="3" s="1"/>
  <c r="Z533" i="3" s="1"/>
  <c r="F31" i="1" s="1"/>
  <c r="H295" i="3"/>
  <c r="H294" i="3"/>
  <c r="N491" i="3"/>
  <c r="N488" i="3"/>
  <c r="O476" i="3"/>
  <c r="O481" i="3" s="1"/>
  <c r="O500" i="3" s="1"/>
  <c r="O486" i="3"/>
  <c r="O503" i="3" s="1"/>
  <c r="O504" i="3" s="1"/>
  <c r="O508" i="3" s="1"/>
  <c r="M406" i="3"/>
  <c r="O216" i="3"/>
  <c r="K55" i="3"/>
  <c r="K70" i="3" s="1"/>
  <c r="K71" i="3" s="1"/>
  <c r="L39" i="3"/>
  <c r="L40" i="3" s="1"/>
  <c r="L226" i="3"/>
  <c r="L201" i="3"/>
  <c r="L204" i="3" s="1"/>
  <c r="E25" i="4"/>
  <c r="F25" i="4"/>
  <c r="D25" i="4"/>
  <c r="P438" i="3"/>
  <c r="P424" i="3"/>
  <c r="P427" i="3" s="1"/>
  <c r="P428" i="3" s="1"/>
  <c r="P430" i="3" s="1"/>
  <c r="P415" i="3"/>
  <c r="P416" i="3" s="1"/>
  <c r="P418" i="3" s="1"/>
  <c r="P370" i="3"/>
  <c r="P365" i="3"/>
  <c r="I108" i="3"/>
  <c r="I130" i="3" s="1"/>
  <c r="I97" i="3"/>
  <c r="O439" i="3"/>
  <c r="O444" i="3" s="1"/>
  <c r="O446" i="3" s="1"/>
  <c r="K226" i="3"/>
  <c r="K201" i="3"/>
  <c r="K204" i="3" s="1"/>
  <c r="H108" i="3"/>
  <c r="H130" i="3" s="1"/>
  <c r="H97" i="3"/>
  <c r="J56" i="3"/>
  <c r="J70" i="3"/>
  <c r="O387" i="3"/>
  <c r="G97" i="3"/>
  <c r="G108" i="3"/>
  <c r="G130" i="3" s="1"/>
  <c r="R10" i="3"/>
  <c r="R144" i="3"/>
  <c r="R11" i="3"/>
  <c r="R239" i="3"/>
  <c r="R240" i="3" s="1"/>
  <c r="R241" i="3" s="1"/>
  <c r="R243" i="3" s="1"/>
  <c r="R353" i="3"/>
  <c r="R257" i="3"/>
  <c r="P258" i="3"/>
  <c r="P256" i="3"/>
  <c r="P261" i="3"/>
  <c r="P136" i="3"/>
  <c r="P103" i="3"/>
  <c r="O32" i="3"/>
  <c r="O33" i="3" s="1"/>
  <c r="O19" i="3"/>
  <c r="O20" i="3" s="1"/>
  <c r="L220" i="3"/>
  <c r="L222" i="3"/>
  <c r="N199" i="3"/>
  <c r="N202" i="3"/>
  <c r="M225" i="3"/>
  <c r="Q10" i="3"/>
  <c r="Q239" i="3"/>
  <c r="Q240" i="3" s="1"/>
  <c r="Q241" i="3" s="1"/>
  <c r="Q243" i="3" s="1"/>
  <c r="Q353" i="3"/>
  <c r="Q144" i="3"/>
  <c r="Q11" i="3"/>
  <c r="Q257" i="3"/>
  <c r="N396" i="3"/>
  <c r="N404" i="3"/>
  <c r="M38" i="3"/>
  <c r="N445" i="3"/>
  <c r="N450" i="3" s="1"/>
  <c r="P167" i="3"/>
  <c r="P146" i="3"/>
  <c r="P456" i="3"/>
  <c r="P459" i="3" s="1"/>
  <c r="P460" i="3" s="1"/>
  <c r="P475" i="3"/>
  <c r="O90" i="3"/>
  <c r="O92" i="3"/>
  <c r="O95" i="3" s="1"/>
  <c r="K223" i="3"/>
  <c r="K228" i="3" s="1"/>
  <c r="N36" i="3"/>
  <c r="N35" i="3"/>
  <c r="E24" i="4"/>
  <c r="F24" i="4"/>
  <c r="D24" i="4"/>
  <c r="O419" i="3"/>
  <c r="O421" i="3" s="1"/>
  <c r="O262" i="3"/>
  <c r="O264" i="3" s="1"/>
  <c r="P472" i="3"/>
  <c r="P471" i="3"/>
  <c r="P64" i="3"/>
  <c r="P18" i="3"/>
  <c r="P49" i="3"/>
  <c r="P50" i="3" s="1"/>
  <c r="P52" i="3" s="1"/>
  <c r="P89" i="3"/>
  <c r="O179" i="3"/>
  <c r="O198" i="3" s="1"/>
  <c r="O168" i="3"/>
  <c r="O169" i="3" s="1"/>
  <c r="O171" i="3" s="1"/>
  <c r="I294" i="3"/>
  <c r="I295" i="3"/>
  <c r="I523" i="3"/>
  <c r="C527" i="3" s="1"/>
  <c r="Z532" i="3" s="1"/>
  <c r="F30" i="1" s="1"/>
  <c r="P432" i="3" l="1"/>
  <c r="P381" i="3"/>
  <c r="O385" i="3"/>
  <c r="O347" i="3"/>
  <c r="O348" i="3" s="1"/>
  <c r="N407" i="3"/>
  <c r="P388" i="3"/>
  <c r="P382" i="3"/>
  <c r="N106" i="3"/>
  <c r="N107" i="3" s="1"/>
  <c r="P328" i="3"/>
  <c r="P337" i="3"/>
  <c r="P346" i="3"/>
  <c r="N126" i="3"/>
  <c r="N129" i="3" s="1"/>
  <c r="Q309" i="3"/>
  <c r="Q301" i="3"/>
  <c r="R308" i="3"/>
  <c r="R319" i="3" s="1"/>
  <c r="R301" i="3"/>
  <c r="Q287" i="3"/>
  <c r="R287" i="3"/>
  <c r="O293" i="3"/>
  <c r="K292" i="3"/>
  <c r="K522" i="3" s="1"/>
  <c r="O150" i="3"/>
  <c r="O105" i="3"/>
  <c r="O124" i="3" s="1"/>
  <c r="O126" i="3" s="1"/>
  <c r="P148" i="3"/>
  <c r="P151" i="3" s="1"/>
  <c r="P123" i="3"/>
  <c r="H152" i="3"/>
  <c r="H157" i="3" s="1"/>
  <c r="H131" i="3"/>
  <c r="G152" i="3"/>
  <c r="G157" i="3" s="1"/>
  <c r="G131" i="3"/>
  <c r="P65" i="3"/>
  <c r="P66" i="3" s="1"/>
  <c r="P68" i="3" s="1"/>
  <c r="I152" i="3"/>
  <c r="I157" i="3" s="1"/>
  <c r="I131" i="3"/>
  <c r="Q308" i="3"/>
  <c r="Q328" i="3" s="1"/>
  <c r="R309" i="3"/>
  <c r="J295" i="3"/>
  <c r="M516" i="3"/>
  <c r="G27" i="1"/>
  <c r="E526" i="3"/>
  <c r="J294" i="3"/>
  <c r="G30" i="1"/>
  <c r="E527" i="3"/>
  <c r="G31" i="1"/>
  <c r="E528" i="3"/>
  <c r="N492" i="3"/>
  <c r="N512" i="3" s="1"/>
  <c r="O482" i="3"/>
  <c r="P476" i="3"/>
  <c r="P481" i="3" s="1"/>
  <c r="P500" i="3" s="1"/>
  <c r="P486" i="3"/>
  <c r="P503" i="3" s="1"/>
  <c r="P504" i="3" s="1"/>
  <c r="P508" i="3" s="1"/>
  <c r="O483" i="3"/>
  <c r="O491" i="3"/>
  <c r="O488" i="3"/>
  <c r="N406" i="3"/>
  <c r="K96" i="3"/>
  <c r="K108" i="3" s="1"/>
  <c r="K130" i="3" s="1"/>
  <c r="P216" i="3"/>
  <c r="K56" i="3"/>
  <c r="L55" i="3"/>
  <c r="L56" i="3" s="1"/>
  <c r="Q471" i="3"/>
  <c r="Q472" i="3"/>
  <c r="O199" i="3"/>
  <c r="O202" i="3"/>
  <c r="M54" i="3"/>
  <c r="M39" i="3"/>
  <c r="Q103" i="3"/>
  <c r="Q136" i="3"/>
  <c r="M220" i="3"/>
  <c r="M222" i="3"/>
  <c r="N225" i="3"/>
  <c r="L223" i="3"/>
  <c r="L228" i="3" s="1"/>
  <c r="O36" i="3"/>
  <c r="O35" i="3"/>
  <c r="R456" i="3"/>
  <c r="R459" i="3" s="1"/>
  <c r="R460" i="3" s="1"/>
  <c r="R475" i="3"/>
  <c r="H109" i="3"/>
  <c r="I109" i="3"/>
  <c r="P92" i="3"/>
  <c r="P95" i="3" s="1"/>
  <c r="P90" i="3"/>
  <c r="Q167" i="3"/>
  <c r="Q146" i="3"/>
  <c r="R472" i="3"/>
  <c r="R471" i="3"/>
  <c r="R64" i="3"/>
  <c r="R49" i="3"/>
  <c r="R50" i="3" s="1"/>
  <c r="R52" i="3" s="1"/>
  <c r="R18" i="3"/>
  <c r="R89" i="3"/>
  <c r="O404" i="3"/>
  <c r="O396" i="3"/>
  <c r="J71" i="3"/>
  <c r="J96" i="3"/>
  <c r="P419" i="3"/>
  <c r="P421" i="3" s="1"/>
  <c r="P262" i="3"/>
  <c r="P264" i="3" s="1"/>
  <c r="P439" i="3"/>
  <c r="P444" i="3" s="1"/>
  <c r="P446" i="3" s="1"/>
  <c r="N38" i="3"/>
  <c r="Q415" i="3"/>
  <c r="Q416" i="3" s="1"/>
  <c r="Q418" i="3" s="1"/>
  <c r="Q438" i="3"/>
  <c r="Q424" i="3"/>
  <c r="Q427" i="3" s="1"/>
  <c r="Q428" i="3" s="1"/>
  <c r="Q430" i="3" s="1"/>
  <c r="Q432" i="3" s="1"/>
  <c r="Q370" i="3"/>
  <c r="Q365" i="3"/>
  <c r="Q64" i="3"/>
  <c r="Q18" i="3"/>
  <c r="Q49" i="3"/>
  <c r="Q50" i="3" s="1"/>
  <c r="Q52" i="3" s="1"/>
  <c r="Q89" i="3"/>
  <c r="R256" i="3"/>
  <c r="R258" i="3"/>
  <c r="R261" i="3"/>
  <c r="R103" i="3"/>
  <c r="R136" i="3"/>
  <c r="G109" i="3"/>
  <c r="O445" i="3"/>
  <c r="O450" i="3" s="1"/>
  <c r="P387" i="3"/>
  <c r="P32" i="3"/>
  <c r="P33" i="3" s="1"/>
  <c r="P19" i="3"/>
  <c r="P20" i="3" s="1"/>
  <c r="P179" i="3"/>
  <c r="P198" i="3" s="1"/>
  <c r="P168" i="3"/>
  <c r="P169" i="3" s="1"/>
  <c r="P171" i="3" s="1"/>
  <c r="Q258" i="3"/>
  <c r="Q256" i="3"/>
  <c r="Q261" i="3"/>
  <c r="Q475" i="3"/>
  <c r="Q456" i="3"/>
  <c r="Q459" i="3" s="1"/>
  <c r="Q460" i="3" s="1"/>
  <c r="M226" i="3"/>
  <c r="M201" i="3"/>
  <c r="M204" i="3" s="1"/>
  <c r="R438" i="3"/>
  <c r="R424" i="3"/>
  <c r="R427" i="3" s="1"/>
  <c r="R428" i="3" s="1"/>
  <c r="R430" i="3" s="1"/>
  <c r="R415" i="3"/>
  <c r="R416" i="3" s="1"/>
  <c r="R418" i="3" s="1"/>
  <c r="R370" i="3"/>
  <c r="R365" i="3"/>
  <c r="R167" i="3"/>
  <c r="R146" i="3"/>
  <c r="R432" i="3" l="1"/>
  <c r="Q381" i="3"/>
  <c r="R381" i="3"/>
  <c r="O407" i="3"/>
  <c r="P385" i="3"/>
  <c r="R337" i="3"/>
  <c r="Q388" i="3"/>
  <c r="Q382" i="3"/>
  <c r="Q385" i="3" s="1"/>
  <c r="R388" i="3"/>
  <c r="R382" i="3"/>
  <c r="R385" i="3" s="1"/>
  <c r="R328" i="3"/>
  <c r="P347" i="3"/>
  <c r="P348" i="3" s="1"/>
  <c r="R346" i="3"/>
  <c r="P105" i="3"/>
  <c r="P106" i="3" s="1"/>
  <c r="P107" i="3" s="1"/>
  <c r="L292" i="3"/>
  <c r="L522" i="3" s="1"/>
  <c r="L523" i="3" s="1"/>
  <c r="C530" i="3" s="1"/>
  <c r="Z535" i="3" s="1"/>
  <c r="F33" i="1" s="1"/>
  <c r="P293" i="3"/>
  <c r="P124" i="3"/>
  <c r="P127" i="3" s="1"/>
  <c r="O106" i="3"/>
  <c r="O107" i="3" s="1"/>
  <c r="O127" i="3"/>
  <c r="O129" i="3" s="1"/>
  <c r="P150" i="3"/>
  <c r="R148" i="3"/>
  <c r="R151" i="3" s="1"/>
  <c r="R123" i="3"/>
  <c r="Q148" i="3"/>
  <c r="Q151" i="3" s="1"/>
  <c r="Q123" i="3"/>
  <c r="K152" i="3"/>
  <c r="K157" i="3" s="1"/>
  <c r="K131" i="3"/>
  <c r="Q337" i="3"/>
  <c r="Q346" i="3"/>
  <c r="Q319" i="3"/>
  <c r="R65" i="3"/>
  <c r="R66" i="3" s="1"/>
  <c r="R68" i="3" s="1"/>
  <c r="Q65" i="3"/>
  <c r="Q66" i="3" s="1"/>
  <c r="Q68" i="3" s="1"/>
  <c r="K294" i="3"/>
  <c r="N516" i="3"/>
  <c r="P482" i="3"/>
  <c r="O492" i="3"/>
  <c r="O512" i="3" s="1"/>
  <c r="P483" i="3"/>
  <c r="R476" i="3"/>
  <c r="R481" i="3" s="1"/>
  <c r="R500" i="3" s="1"/>
  <c r="R486" i="3"/>
  <c r="R503" i="3" s="1"/>
  <c r="R504" i="3" s="1"/>
  <c r="R508" i="3" s="1"/>
  <c r="P491" i="3"/>
  <c r="P488" i="3"/>
  <c r="Q476" i="3"/>
  <c r="Q481" i="3" s="1"/>
  <c r="Q500" i="3" s="1"/>
  <c r="Q486" i="3"/>
  <c r="Q503" i="3" s="1"/>
  <c r="Q504" i="3" s="1"/>
  <c r="Q508" i="3" s="1"/>
  <c r="O406" i="3"/>
  <c r="K97" i="3"/>
  <c r="R216" i="3"/>
  <c r="Q216" i="3"/>
  <c r="L70" i="3"/>
  <c r="L96" i="3" s="1"/>
  <c r="K295" i="3"/>
  <c r="K523" i="3"/>
  <c r="C529" i="3" s="1"/>
  <c r="Z534" i="3" s="1"/>
  <c r="F32" i="1" s="1"/>
  <c r="O38" i="3"/>
  <c r="M223" i="3"/>
  <c r="M228" i="3" s="1"/>
  <c r="M292" i="3" s="1"/>
  <c r="N226" i="3"/>
  <c r="N201" i="3"/>
  <c r="N204" i="3" s="1"/>
  <c r="N54" i="3"/>
  <c r="N39" i="3"/>
  <c r="R179" i="3"/>
  <c r="R198" i="3" s="1"/>
  <c r="R168" i="3"/>
  <c r="R169" i="3" s="1"/>
  <c r="R171" i="3" s="1"/>
  <c r="R419" i="3"/>
  <c r="R421" i="3" s="1"/>
  <c r="R262" i="3"/>
  <c r="R264" i="3" s="1"/>
  <c r="R439" i="3"/>
  <c r="R444" i="3" s="1"/>
  <c r="R446" i="3" s="1"/>
  <c r="P36" i="3"/>
  <c r="P35" i="3"/>
  <c r="G153" i="3"/>
  <c r="G158" i="3" s="1"/>
  <c r="Q90" i="3"/>
  <c r="Q92" i="3"/>
  <c r="Q95" i="3" s="1"/>
  <c r="Q419" i="3"/>
  <c r="Q421" i="3" s="1"/>
  <c r="Q262" i="3"/>
  <c r="Q264" i="3" s="1"/>
  <c r="J97" i="3"/>
  <c r="J108" i="3"/>
  <c r="J130" i="3" s="1"/>
  <c r="R92" i="3"/>
  <c r="R95" i="3" s="1"/>
  <c r="R90" i="3"/>
  <c r="O225" i="3"/>
  <c r="P199" i="3"/>
  <c r="P202" i="3"/>
  <c r="Q387" i="3"/>
  <c r="N222" i="3"/>
  <c r="N220" i="3"/>
  <c r="I153" i="3"/>
  <c r="I158" i="3" s="1"/>
  <c r="M40" i="3"/>
  <c r="M55" i="3"/>
  <c r="R387" i="3"/>
  <c r="P445" i="3"/>
  <c r="P450" i="3" s="1"/>
  <c r="R19" i="3"/>
  <c r="R20" i="3" s="1"/>
  <c r="R32" i="3"/>
  <c r="R33" i="3" s="1"/>
  <c r="Q19" i="3"/>
  <c r="Q20" i="3" s="1"/>
  <c r="Q32" i="3"/>
  <c r="Q33" i="3" s="1"/>
  <c r="P396" i="3"/>
  <c r="P404" i="3"/>
  <c r="Q439" i="3"/>
  <c r="Q444" i="3" s="1"/>
  <c r="Q446" i="3" s="1"/>
  <c r="K109" i="3"/>
  <c r="Q179" i="3"/>
  <c r="Q198" i="3" s="1"/>
  <c r="Q168" i="3"/>
  <c r="Q169" i="3" s="1"/>
  <c r="Q171" i="3" s="1"/>
  <c r="H153" i="3"/>
  <c r="H158" i="3" s="1"/>
  <c r="P407" i="3" l="1"/>
  <c r="R347" i="3"/>
  <c r="R348" i="3" s="1"/>
  <c r="L294" i="3"/>
  <c r="P126" i="3"/>
  <c r="P129" i="3" s="1"/>
  <c r="L295" i="3"/>
  <c r="Q105" i="3"/>
  <c r="Q106" i="3" s="1"/>
  <c r="Q107" i="3" s="1"/>
  <c r="Q150" i="3"/>
  <c r="Q293" i="3"/>
  <c r="O54" i="3"/>
  <c r="Q347" i="3"/>
  <c r="Q348" i="3" s="1"/>
  <c r="R293" i="3"/>
  <c r="R105" i="3"/>
  <c r="R124" i="3" s="1"/>
  <c r="R126" i="3" s="1"/>
  <c r="R150" i="3"/>
  <c r="Q124" i="3"/>
  <c r="Q126" i="3" s="1"/>
  <c r="J152" i="3"/>
  <c r="J157" i="3" s="1"/>
  <c r="J131" i="3"/>
  <c r="Q483" i="3"/>
  <c r="O516" i="3"/>
  <c r="P492" i="3"/>
  <c r="G32" i="1"/>
  <c r="E529" i="3"/>
  <c r="R483" i="3"/>
  <c r="E530" i="3"/>
  <c r="R482" i="3"/>
  <c r="Q482" i="3"/>
  <c r="M294" i="3"/>
  <c r="Q491" i="3"/>
  <c r="Q488" i="3"/>
  <c r="R491" i="3"/>
  <c r="R488" i="3"/>
  <c r="P406" i="3"/>
  <c r="L71" i="3"/>
  <c r="G33" i="1"/>
  <c r="E13" i="1" s="1"/>
  <c r="O39" i="3"/>
  <c r="O55" i="3" s="1"/>
  <c r="N223" i="3"/>
  <c r="N228" i="3" s="1"/>
  <c r="N292" i="3" s="1"/>
  <c r="P38" i="3"/>
  <c r="J109" i="3"/>
  <c r="H173" i="3"/>
  <c r="K153" i="3"/>
  <c r="K158" i="3" s="1"/>
  <c r="L97" i="3"/>
  <c r="L108" i="3"/>
  <c r="L130" i="3" s="1"/>
  <c r="I173" i="3"/>
  <c r="G173" i="3"/>
  <c r="R445" i="3"/>
  <c r="R450" i="3" s="1"/>
  <c r="Q199" i="3"/>
  <c r="Q202" i="3"/>
  <c r="Q445" i="3"/>
  <c r="Q450" i="3" s="1"/>
  <c r="Q36" i="3"/>
  <c r="Q35" i="3"/>
  <c r="M70" i="3"/>
  <c r="M56" i="3"/>
  <c r="Q396" i="3"/>
  <c r="Q404" i="3"/>
  <c r="O226" i="3"/>
  <c r="O201" i="3"/>
  <c r="O204" i="3" s="1"/>
  <c r="R199" i="3"/>
  <c r="R202" i="3"/>
  <c r="R36" i="3"/>
  <c r="R35" i="3"/>
  <c r="R404" i="3"/>
  <c r="R396" i="3"/>
  <c r="O222" i="3"/>
  <c r="O220" i="3"/>
  <c r="N55" i="3"/>
  <c r="N40" i="3"/>
  <c r="R407" i="3" l="1"/>
  <c r="P512" i="3"/>
  <c r="P516" i="3" s="1"/>
  <c r="Q407" i="3"/>
  <c r="R127" i="3"/>
  <c r="R129" i="3" s="1"/>
  <c r="Q127" i="3"/>
  <c r="Q129" i="3" s="1"/>
  <c r="P54" i="3"/>
  <c r="R106" i="3"/>
  <c r="R107" i="3" s="1"/>
  <c r="L152" i="3"/>
  <c r="L157" i="3" s="1"/>
  <c r="L131" i="3"/>
  <c r="J33" i="1"/>
  <c r="Q492" i="3"/>
  <c r="M295" i="3"/>
  <c r="M522" i="3"/>
  <c r="M523" i="3" s="1"/>
  <c r="C531" i="3" s="1"/>
  <c r="R492" i="3"/>
  <c r="R512" i="3" s="1"/>
  <c r="R406" i="3"/>
  <c r="Q406" i="3"/>
  <c r="O40" i="3"/>
  <c r="P39" i="3"/>
  <c r="P55" i="3" s="1"/>
  <c r="O223" i="3"/>
  <c r="O228" i="3" s="1"/>
  <c r="O292" i="3" s="1"/>
  <c r="R38" i="3"/>
  <c r="I174" i="3"/>
  <c r="I193" i="3" s="1"/>
  <c r="I194" i="3" s="1"/>
  <c r="I195" i="3" s="1"/>
  <c r="I205" i="3"/>
  <c r="Q38" i="3"/>
  <c r="P220" i="3"/>
  <c r="P222" i="3"/>
  <c r="K173" i="3"/>
  <c r="J153" i="3"/>
  <c r="J158" i="3" s="1"/>
  <c r="G174" i="3"/>
  <c r="G193" i="3" s="1"/>
  <c r="G194" i="3" s="1"/>
  <c r="G195" i="3" s="1"/>
  <c r="G205" i="3"/>
  <c r="N70" i="3"/>
  <c r="N56" i="3"/>
  <c r="M71" i="3"/>
  <c r="M96" i="3"/>
  <c r="R225" i="3"/>
  <c r="L109" i="3"/>
  <c r="O56" i="3"/>
  <c r="O70" i="3"/>
  <c r="H174" i="3"/>
  <c r="H193" i="3" s="1"/>
  <c r="H194" i="3" s="1"/>
  <c r="H195" i="3" s="1"/>
  <c r="H205" i="3"/>
  <c r="P225" i="3"/>
  <c r="Q512" i="3" l="1"/>
  <c r="Q516" i="3" s="1"/>
  <c r="R54" i="3"/>
  <c r="Z536" i="3"/>
  <c r="F34" i="1" s="1"/>
  <c r="G34" i="1" s="1"/>
  <c r="J34" i="1" s="1"/>
  <c r="L34" i="1" s="1"/>
  <c r="M34" i="1" s="1"/>
  <c r="O34" i="1" s="1"/>
  <c r="J30" i="1"/>
  <c r="L30" i="1" s="1"/>
  <c r="M30" i="1" s="1"/>
  <c r="O30" i="1" s="1"/>
  <c r="J31" i="1"/>
  <c r="L31" i="1" s="1"/>
  <c r="M31" i="1" s="1"/>
  <c r="O31" i="1" s="1"/>
  <c r="S31" i="1" s="1"/>
  <c r="J32" i="1"/>
  <c r="L32" i="1" s="1"/>
  <c r="M32" i="1" s="1"/>
  <c r="O32" i="1" s="1"/>
  <c r="J27" i="1"/>
  <c r="L27" i="1" s="1"/>
  <c r="M27" i="1" s="1"/>
  <c r="N28" i="1" s="1"/>
  <c r="J26" i="1"/>
  <c r="L26" i="1" s="1"/>
  <c r="M26" i="1" s="1"/>
  <c r="R516" i="3"/>
  <c r="E531" i="3"/>
  <c r="N295" i="3"/>
  <c r="N522" i="3"/>
  <c r="N523" i="3" s="1"/>
  <c r="C532" i="3" s="1"/>
  <c r="Z537" i="3" s="1"/>
  <c r="F35" i="1" s="1"/>
  <c r="N294" i="3"/>
  <c r="O522" i="3"/>
  <c r="O523" i="3" s="1"/>
  <c r="C533" i="3" s="1"/>
  <c r="Z538" i="3" s="1"/>
  <c r="F38" i="1" s="1"/>
  <c r="P40" i="3"/>
  <c r="R39" i="3"/>
  <c r="R55" i="3" s="1"/>
  <c r="L33" i="1"/>
  <c r="M33" i="1" s="1"/>
  <c r="O33" i="1" s="1"/>
  <c r="S33" i="1" s="1"/>
  <c r="P223" i="3"/>
  <c r="P228" i="3" s="1"/>
  <c r="G229" i="3"/>
  <c r="G206" i="3"/>
  <c r="L153" i="3"/>
  <c r="L158" i="3" s="1"/>
  <c r="K205" i="3"/>
  <c r="K174" i="3"/>
  <c r="K193" i="3" s="1"/>
  <c r="K194" i="3" s="1"/>
  <c r="K195" i="3" s="1"/>
  <c r="P226" i="3"/>
  <c r="P201" i="3"/>
  <c r="P204" i="3" s="1"/>
  <c r="R222" i="3"/>
  <c r="R220" i="3"/>
  <c r="I229" i="3"/>
  <c r="I206" i="3"/>
  <c r="Q222" i="3"/>
  <c r="Q220" i="3"/>
  <c r="O71" i="3"/>
  <c r="O96" i="3"/>
  <c r="R201" i="3"/>
  <c r="R204" i="3" s="1"/>
  <c r="R226" i="3"/>
  <c r="Q54" i="3"/>
  <c r="Q39" i="3"/>
  <c r="H206" i="3"/>
  <c r="H229" i="3"/>
  <c r="M108" i="3"/>
  <c r="M130" i="3" s="1"/>
  <c r="M97" i="3"/>
  <c r="N71" i="3"/>
  <c r="N96" i="3"/>
  <c r="J173" i="3"/>
  <c r="P70" i="3"/>
  <c r="P56" i="3"/>
  <c r="Q225" i="3"/>
  <c r="P292" i="3" l="1"/>
  <c r="M152" i="3"/>
  <c r="M157" i="3" s="1"/>
  <c r="M131" i="3"/>
  <c r="N26" i="1"/>
  <c r="P26" i="1" s="1"/>
  <c r="V26" i="1" s="1"/>
  <c r="X26" i="1" s="1"/>
  <c r="O29" i="1"/>
  <c r="O295" i="3"/>
  <c r="O294" i="3"/>
  <c r="P522" i="3"/>
  <c r="P523" i="3" s="1"/>
  <c r="C534" i="3" s="1"/>
  <c r="Z539" i="3" s="1"/>
  <c r="F39" i="1" s="1"/>
  <c r="G38" i="1"/>
  <c r="J38" i="1" s="1"/>
  <c r="L38" i="1" s="1"/>
  <c r="M38" i="1" s="1"/>
  <c r="N38" i="1" s="1"/>
  <c r="E533" i="3"/>
  <c r="G35" i="1"/>
  <c r="J35" i="1" s="1"/>
  <c r="L35" i="1" s="1"/>
  <c r="E532" i="3"/>
  <c r="R40" i="3"/>
  <c r="S30" i="1"/>
  <c r="Q30" i="1"/>
  <c r="W30" i="1" s="1"/>
  <c r="Y30" i="1" s="1"/>
  <c r="Q32" i="1"/>
  <c r="W32" i="1" s="1"/>
  <c r="Y32" i="1" s="1"/>
  <c r="S32" i="1"/>
  <c r="S34" i="1"/>
  <c r="Q34" i="1"/>
  <c r="W34" i="1" s="1"/>
  <c r="Y34" i="1" s="1"/>
  <c r="Q31" i="1"/>
  <c r="W31" i="1" s="1"/>
  <c r="Y31" i="1" s="1"/>
  <c r="Q33" i="1"/>
  <c r="W33" i="1" s="1"/>
  <c r="Y33" i="1" s="1"/>
  <c r="Q29" i="1"/>
  <c r="W29" i="1" s="1"/>
  <c r="Y29" i="1" s="1"/>
  <c r="S29" i="1"/>
  <c r="Q223" i="3"/>
  <c r="Q228" i="3" s="1"/>
  <c r="Q201" i="3"/>
  <c r="Q204" i="3" s="1"/>
  <c r="Q226" i="3"/>
  <c r="J205" i="3"/>
  <c r="J174" i="3"/>
  <c r="J193" i="3" s="1"/>
  <c r="J194" i="3" s="1"/>
  <c r="J195" i="3" s="1"/>
  <c r="M109" i="3"/>
  <c r="O108" i="3"/>
  <c r="O130" i="3" s="1"/>
  <c r="O97" i="3"/>
  <c r="R223" i="3"/>
  <c r="R228" i="3" s="1"/>
  <c r="N108" i="3"/>
  <c r="N130" i="3" s="1"/>
  <c r="N97" i="3"/>
  <c r="P71" i="3"/>
  <c r="P96" i="3"/>
  <c r="K229" i="3"/>
  <c r="K206" i="3"/>
  <c r="G244" i="3"/>
  <c r="G230" i="3"/>
  <c r="H230" i="3"/>
  <c r="H244" i="3"/>
  <c r="I244" i="3"/>
  <c r="I230" i="3"/>
  <c r="Q55" i="3"/>
  <c r="Q40" i="3"/>
  <c r="R56" i="3"/>
  <c r="R70" i="3"/>
  <c r="L173" i="3"/>
  <c r="R26" i="1" l="1"/>
  <c r="R292" i="3"/>
  <c r="R522" i="3" s="1"/>
  <c r="R523" i="3" s="1"/>
  <c r="C536" i="3" s="1"/>
  <c r="Z541" i="3" s="1"/>
  <c r="F41" i="1" s="1"/>
  <c r="Q292" i="3"/>
  <c r="Q522" i="3" s="1"/>
  <c r="N152" i="3"/>
  <c r="N157" i="3" s="1"/>
  <c r="N131" i="3"/>
  <c r="O152" i="3"/>
  <c r="O131" i="3"/>
  <c r="M35" i="1"/>
  <c r="N37" i="1" s="1"/>
  <c r="R37" i="1" s="1"/>
  <c r="G39" i="1"/>
  <c r="J39" i="1" s="1"/>
  <c r="E534" i="3"/>
  <c r="R38" i="1"/>
  <c r="P38" i="1"/>
  <c r="V38" i="1" s="1"/>
  <c r="X38" i="1" s="1"/>
  <c r="P28" i="1"/>
  <c r="V28" i="1" s="1"/>
  <c r="X28" i="1" s="1"/>
  <c r="R28" i="1"/>
  <c r="P295" i="3"/>
  <c r="P294" i="3"/>
  <c r="M153" i="3"/>
  <c r="M158" i="3" s="1"/>
  <c r="I245" i="3"/>
  <c r="I265" i="3"/>
  <c r="I288" i="3" s="1"/>
  <c r="I349" i="3" s="1"/>
  <c r="G245" i="3"/>
  <c r="G265" i="3"/>
  <c r="G288" i="3" s="1"/>
  <c r="G349" i="3" s="1"/>
  <c r="O109" i="3"/>
  <c r="O157" i="3"/>
  <c r="J229" i="3"/>
  <c r="J206" i="3"/>
  <c r="L174" i="3"/>
  <c r="L193" i="3" s="1"/>
  <c r="L194" i="3" s="1"/>
  <c r="L195" i="3" s="1"/>
  <c r="L205" i="3"/>
  <c r="Q70" i="3"/>
  <c r="Q56" i="3"/>
  <c r="K244" i="3"/>
  <c r="K230" i="3"/>
  <c r="N109" i="3"/>
  <c r="H245" i="3"/>
  <c r="H265" i="3"/>
  <c r="H288" i="3" s="1"/>
  <c r="H349" i="3" s="1"/>
  <c r="R71" i="3"/>
  <c r="R96" i="3"/>
  <c r="P97" i="3"/>
  <c r="P108" i="3"/>
  <c r="P130" i="3" s="1"/>
  <c r="H350" i="3" l="1"/>
  <c r="H408" i="3"/>
  <c r="G350" i="3"/>
  <c r="G408" i="3"/>
  <c r="I350" i="3"/>
  <c r="I408" i="3"/>
  <c r="R295" i="3"/>
  <c r="R294" i="3"/>
  <c r="P152" i="3"/>
  <c r="P157" i="3" s="1"/>
  <c r="P131" i="3"/>
  <c r="O36" i="1"/>
  <c r="Q295" i="3"/>
  <c r="G41" i="1"/>
  <c r="J41" i="1" s="1"/>
  <c r="E536" i="3"/>
  <c r="P37" i="1"/>
  <c r="V37" i="1" s="1"/>
  <c r="L39" i="1"/>
  <c r="M39" i="1" s="1"/>
  <c r="N39" i="1" s="1"/>
  <c r="Q294" i="3"/>
  <c r="Q523" i="3"/>
  <c r="C535" i="3" s="1"/>
  <c r="Z540" i="3" s="1"/>
  <c r="F40" i="1" s="1"/>
  <c r="K245" i="3"/>
  <c r="K265" i="3"/>
  <c r="K288" i="3" s="1"/>
  <c r="K349" i="3" s="1"/>
  <c r="R108" i="3"/>
  <c r="R130" i="3" s="1"/>
  <c r="R97" i="3"/>
  <c r="L229" i="3"/>
  <c r="L206" i="3"/>
  <c r="O153" i="3"/>
  <c r="O158" i="3" s="1"/>
  <c r="I266" i="3"/>
  <c r="I289" i="3" s="1"/>
  <c r="P109" i="3"/>
  <c r="H266" i="3"/>
  <c r="H289" i="3" s="1"/>
  <c r="N153" i="3"/>
  <c r="N158" i="3" s="1"/>
  <c r="G266" i="3"/>
  <c r="G289" i="3" s="1"/>
  <c r="M173" i="3"/>
  <c r="Q71" i="3"/>
  <c r="Q96" i="3"/>
  <c r="J244" i="3"/>
  <c r="J230" i="3"/>
  <c r="I409" i="3" l="1"/>
  <c r="I433" i="3"/>
  <c r="G409" i="3"/>
  <c r="G433" i="3"/>
  <c r="H409" i="3"/>
  <c r="H433" i="3"/>
  <c r="K350" i="3"/>
  <c r="K408" i="3"/>
  <c r="R152" i="3"/>
  <c r="R157" i="3" s="1"/>
  <c r="R131" i="3"/>
  <c r="O42" i="1"/>
  <c r="O43" i="1" s="1"/>
  <c r="E46" i="1" s="1"/>
  <c r="J46" i="1" s="1"/>
  <c r="Q36" i="1"/>
  <c r="S36" i="1"/>
  <c r="S42" i="1" s="1"/>
  <c r="S43" i="1" s="1"/>
  <c r="G40" i="1"/>
  <c r="J40" i="1" s="1"/>
  <c r="E535" i="3"/>
  <c r="R39" i="1"/>
  <c r="P39" i="1"/>
  <c r="V39" i="1" s="1"/>
  <c r="X39" i="1" s="1"/>
  <c r="L41" i="1"/>
  <c r="M41" i="1" s="1"/>
  <c r="N41" i="1" s="1"/>
  <c r="X37" i="1"/>
  <c r="R109" i="3"/>
  <c r="M205" i="3"/>
  <c r="M174" i="3"/>
  <c r="M193" i="3" s="1"/>
  <c r="M194" i="3" s="1"/>
  <c r="M195" i="3" s="1"/>
  <c r="N173" i="3"/>
  <c r="P153" i="3"/>
  <c r="P158" i="3" s="1"/>
  <c r="O173" i="3"/>
  <c r="J245" i="3"/>
  <c r="J265" i="3"/>
  <c r="J288" i="3" s="1"/>
  <c r="J349" i="3" s="1"/>
  <c r="Q97" i="3"/>
  <c r="Q108" i="3"/>
  <c r="Q130" i="3" s="1"/>
  <c r="K266" i="3"/>
  <c r="K289" i="3" s="1"/>
  <c r="L244" i="3"/>
  <c r="L230" i="3"/>
  <c r="G434" i="3" l="1"/>
  <c r="G513" i="3"/>
  <c r="G514" i="3" s="1"/>
  <c r="I434" i="3"/>
  <c r="I513" i="3"/>
  <c r="I514" i="3" s="1"/>
  <c r="H434" i="3"/>
  <c r="H513" i="3"/>
  <c r="H514" i="3" s="1"/>
  <c r="K409" i="3"/>
  <c r="K433" i="3"/>
  <c r="J350" i="3"/>
  <c r="J408" i="3"/>
  <c r="J433" i="3" s="1"/>
  <c r="Q152" i="3"/>
  <c r="Q157" i="3" s="1"/>
  <c r="Q131" i="3"/>
  <c r="W36" i="1"/>
  <c r="Q42" i="1"/>
  <c r="Q43" i="1" s="1"/>
  <c r="P41" i="1"/>
  <c r="V41" i="1" s="1"/>
  <c r="X41" i="1" s="1"/>
  <c r="R41" i="1"/>
  <c r="L40" i="1"/>
  <c r="M40" i="1" s="1"/>
  <c r="N40" i="1" s="1"/>
  <c r="J266" i="3"/>
  <c r="J289" i="3" s="1"/>
  <c r="P173" i="3"/>
  <c r="Q109" i="3"/>
  <c r="M229" i="3"/>
  <c r="M206" i="3"/>
  <c r="L265" i="3"/>
  <c r="L288" i="3" s="1"/>
  <c r="L349" i="3" s="1"/>
  <c r="L245" i="3"/>
  <c r="O205" i="3"/>
  <c r="O174" i="3"/>
  <c r="O193" i="3" s="1"/>
  <c r="O194" i="3" s="1"/>
  <c r="O195" i="3" s="1"/>
  <c r="N205" i="3"/>
  <c r="N174" i="3"/>
  <c r="N193" i="3" s="1"/>
  <c r="N194" i="3" s="1"/>
  <c r="N195" i="3" s="1"/>
  <c r="R153" i="3"/>
  <c r="R158" i="3" s="1"/>
  <c r="K434" i="3" l="1"/>
  <c r="K513" i="3"/>
  <c r="K514" i="3" s="1"/>
  <c r="J409" i="3"/>
  <c r="J434" i="3"/>
  <c r="J513" i="3"/>
  <c r="J514" i="3" s="1"/>
  <c r="L350" i="3"/>
  <c r="L408" i="3"/>
  <c r="L433" i="3" s="1"/>
  <c r="Y36" i="1"/>
  <c r="W42" i="1"/>
  <c r="W43" i="1" s="1"/>
  <c r="N42" i="1"/>
  <c r="N43" i="1" s="1"/>
  <c r="E45" i="1" s="1"/>
  <c r="P40" i="1"/>
  <c r="R40" i="1"/>
  <c r="R42" i="1" s="1"/>
  <c r="R43" i="1" s="1"/>
  <c r="O229" i="3"/>
  <c r="O206" i="3"/>
  <c r="M244" i="3"/>
  <c r="M230" i="3"/>
  <c r="Q153" i="3"/>
  <c r="Q158" i="3" s="1"/>
  <c r="R173" i="3"/>
  <c r="P205" i="3"/>
  <c r="P174" i="3"/>
  <c r="P193" i="3" s="1"/>
  <c r="P194" i="3" s="1"/>
  <c r="P195" i="3" s="1"/>
  <c r="N229" i="3"/>
  <c r="N206" i="3"/>
  <c r="L409" i="3"/>
  <c r="L266" i="3"/>
  <c r="L289" i="3" s="1"/>
  <c r="L434" i="3" l="1"/>
  <c r="L513" i="3"/>
  <c r="L514" i="3" s="1"/>
  <c r="J45" i="1"/>
  <c r="E47" i="1"/>
  <c r="J47" i="1"/>
  <c r="K45" i="1" s="1"/>
  <c r="V40" i="1"/>
  <c r="P42" i="1"/>
  <c r="P43" i="1" s="1"/>
  <c r="M265" i="3"/>
  <c r="M288" i="3" s="1"/>
  <c r="M349" i="3" s="1"/>
  <c r="M245" i="3"/>
  <c r="Q173" i="3"/>
  <c r="N244" i="3"/>
  <c r="N230" i="3"/>
  <c r="R174" i="3"/>
  <c r="R193" i="3" s="1"/>
  <c r="R194" i="3" s="1"/>
  <c r="R195" i="3" s="1"/>
  <c r="R205" i="3"/>
  <c r="P206" i="3"/>
  <c r="P229" i="3"/>
  <c r="O244" i="3"/>
  <c r="O230" i="3"/>
  <c r="M350" i="3" l="1"/>
  <c r="M408" i="3"/>
  <c r="M433" i="3" s="1"/>
  <c r="K47" i="1"/>
  <c r="K46" i="1"/>
  <c r="F46" i="1"/>
  <c r="F47" i="1"/>
  <c r="F45" i="1"/>
  <c r="V42" i="1"/>
  <c r="V43" i="1" s="1"/>
  <c r="X40" i="1"/>
  <c r="R229" i="3"/>
  <c r="R206" i="3"/>
  <c r="Q205" i="3"/>
  <c r="Q174" i="3"/>
  <c r="Q193" i="3" s="1"/>
  <c r="Q194" i="3" s="1"/>
  <c r="Q195" i="3" s="1"/>
  <c r="O245" i="3"/>
  <c r="O265" i="3"/>
  <c r="O288" i="3" s="1"/>
  <c r="O349" i="3" s="1"/>
  <c r="P244" i="3"/>
  <c r="P230" i="3"/>
  <c r="N265" i="3"/>
  <c r="N288" i="3" s="1"/>
  <c r="N349" i="3" s="1"/>
  <c r="N245" i="3"/>
  <c r="M409" i="3"/>
  <c r="M266" i="3"/>
  <c r="M289" i="3" s="1"/>
  <c r="M434" i="3" l="1"/>
  <c r="M513" i="3"/>
  <c r="M514" i="3" s="1"/>
  <c r="O350" i="3"/>
  <c r="O408" i="3"/>
  <c r="O433" i="3" s="1"/>
  <c r="N350" i="3"/>
  <c r="N408" i="3"/>
  <c r="N433" i="3" s="1"/>
  <c r="O266" i="3"/>
  <c r="O289" i="3" s="1"/>
  <c r="P245" i="3"/>
  <c r="P265" i="3"/>
  <c r="P288" i="3" s="1"/>
  <c r="P349" i="3" s="1"/>
  <c r="Q229" i="3"/>
  <c r="Q206" i="3"/>
  <c r="N266" i="3"/>
  <c r="N289" i="3" s="1"/>
  <c r="R244" i="3"/>
  <c r="R230" i="3"/>
  <c r="O409" i="3" l="1"/>
  <c r="N434" i="3"/>
  <c r="N513" i="3"/>
  <c r="N514" i="3" s="1"/>
  <c r="O434" i="3"/>
  <c r="O513" i="3"/>
  <c r="O514" i="3" s="1"/>
  <c r="N409" i="3"/>
  <c r="P350" i="3"/>
  <c r="P408" i="3"/>
  <c r="P266" i="3"/>
  <c r="P289" i="3" s="1"/>
  <c r="R245" i="3"/>
  <c r="R265" i="3"/>
  <c r="R288" i="3" s="1"/>
  <c r="R349" i="3" s="1"/>
  <c r="Q244" i="3"/>
  <c r="Q230" i="3"/>
  <c r="P409" i="3" l="1"/>
  <c r="P433" i="3"/>
  <c r="R350" i="3"/>
  <c r="R408" i="3"/>
  <c r="R266" i="3"/>
  <c r="R289" i="3" s="1"/>
  <c r="Q245" i="3"/>
  <c r="Q265" i="3"/>
  <c r="Q288" i="3" s="1"/>
  <c r="Q349" i="3" s="1"/>
  <c r="P434" i="3" l="1"/>
  <c r="P513" i="3"/>
  <c r="P514" i="3" s="1"/>
  <c r="R409" i="3"/>
  <c r="R433" i="3"/>
  <c r="Q350" i="3"/>
  <c r="Q408" i="3"/>
  <c r="Q266" i="3"/>
  <c r="Q289" i="3" s="1"/>
  <c r="R434" i="3" l="1"/>
  <c r="R513" i="3"/>
  <c r="R514" i="3" s="1"/>
  <c r="Q409" i="3"/>
  <c r="Q433" i="3"/>
  <c r="Q434" i="3" l="1"/>
  <c r="Q513" i="3"/>
  <c r="Q514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Jeevika Khadka</author>
  </authors>
  <commentList>
    <comment ref="G16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Jeevika Khadka:</t>
        </r>
        <r>
          <rPr>
            <sz val="9"/>
            <color indexed="81"/>
            <rFont val="Tahoma"/>
            <family val="2"/>
          </rPr>
          <t xml:space="preserve">
efficiency at rated discharge is 91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  <author>Bishal Koirala</author>
    <author>Pravash Mool</author>
  </authors>
  <commentList>
    <comment ref="C52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      V=Cd.sqrt(2.g.head diff.)
or, head loss = (1/Cd²).V²/(2.g)
</t>
        </r>
      </text>
    </comment>
    <comment ref="F81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Bottom width adopted </t>
        </r>
      </text>
    </comment>
    <comment ref="F82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adopt depth of storage</t>
        </r>
      </text>
    </comment>
    <comment ref="F139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frm drawing</t>
        </r>
      </text>
    </comment>
    <comment ref="G139" authorId="0" shapeId="0" xr:uid="{00000000-0006-0000-0100-000005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drawing</t>
        </r>
      </text>
    </comment>
    <comment ref="F215" authorId="1" shapeId="0" xr:uid="{00000000-0006-0000-0100-000006000000}">
      <text>
        <r>
          <rPr>
            <b/>
            <sz val="9"/>
            <color indexed="81"/>
            <rFont val="Tahoma"/>
            <family val="2"/>
          </rPr>
          <t>Bishal Koirala:</t>
        </r>
        <r>
          <rPr>
            <sz val="9"/>
            <color indexed="81"/>
            <rFont val="Tahoma"/>
            <family val="2"/>
          </rPr>
          <t xml:space="preserve">
 Avg depth</t>
        </r>
      </text>
    </comment>
    <comment ref="C243" authorId="0" shapeId="0" xr:uid="{00000000-0006-0000-0100-000007000000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      V=Cd.sqrt(2.g.head diff.)
or, head loss = (1/Cd²).V²/(2.g)
</t>
        </r>
      </text>
    </comment>
    <comment ref="F294" authorId="0" shapeId="0" xr:uid="{00000000-0006-0000-0100-000008000000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This coefficient as the multiple of square of approach canal velovity  is used for the estimation of head loss at headworks under various discharge</t>
        </r>
      </text>
    </comment>
    <comment ref="F302" authorId="2" shapeId="0" xr:uid="{5C67A7BF-46A7-48B8-AD39-831C0B64989B}">
      <text>
        <r>
          <rPr>
            <b/>
            <sz val="9"/>
            <color indexed="81"/>
            <rFont val="Tahoma"/>
            <family val="2"/>
          </rPr>
          <t>Pravash Mool:</t>
        </r>
        <r>
          <rPr>
            <sz val="9"/>
            <color indexed="81"/>
            <rFont val="Tahoma"/>
            <family val="2"/>
          </rPr>
          <t xml:space="preserve">
0.0041 from moody's diagram
</t>
        </r>
      </text>
    </comment>
    <comment ref="D429" authorId="0" shapeId="0" xr:uid="{00000000-0006-0000-0100-00000B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0.5-2 for butterfly valve</t>
        </r>
      </text>
    </comment>
    <comment ref="F440" authorId="0" shapeId="0" xr:uid="{00000000-0006-0000-0100-00000C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GDIHP, Pg 57, Table for Manning's Roughness Coefficient</t>
        </r>
      </text>
    </comment>
    <comment ref="F458" authorId="0" shapeId="0" xr:uid="{00000000-0006-0000-0100-00000D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0.42*(1-(db/dp)^2)</t>
        </r>
      </text>
    </comment>
    <comment ref="F466" authorId="0" shapeId="0" xr:uid="{00000000-0006-0000-0100-00000E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GDIHP, Pg 57, Table for Manning's Roughness Coefficient</t>
        </r>
      </text>
    </comment>
    <comment ref="F477" authorId="0" shapeId="0" xr:uid="{00000000-0006-0000-0100-00000F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GDIHP, Pg 57, Table for Manning's Roughness Coefficient</t>
        </r>
      </text>
    </comment>
    <comment ref="F490" authorId="0" shapeId="0" xr:uid="{00000000-0006-0000-0100-000010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0.42*(1-(db/dp)^2)</t>
        </r>
      </text>
    </comment>
    <comment ref="C505" authorId="0" shapeId="0" xr:uid="{00000000-0006-0000-0100-00001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fig 4 11625 1986 for diamter 2.2m and 1.506 Mpa</t>
        </r>
      </text>
    </comment>
  </commentList>
</comments>
</file>

<file path=xl/sharedStrings.xml><?xml version="1.0" encoding="utf-8"?>
<sst xmlns="http://schemas.openxmlformats.org/spreadsheetml/2006/main" count="1197" uniqueCount="524">
  <si>
    <t>Assumptions and input parameters</t>
  </si>
  <si>
    <t>Normal water level (Crest level at weir)</t>
  </si>
  <si>
    <t>masl</t>
  </si>
  <si>
    <t>Gross head</t>
  </si>
  <si>
    <t>m</t>
  </si>
  <si>
    <t xml:space="preserve">Turbine rated efficiency </t>
  </si>
  <si>
    <t>Turbine efficiency for energy generation</t>
  </si>
  <si>
    <t>Generator efficiency</t>
  </si>
  <si>
    <t>Transformer efficiency</t>
  </si>
  <si>
    <t>Overall efficiency</t>
  </si>
  <si>
    <t>Rated net head, m</t>
  </si>
  <si>
    <t>Number of Units</t>
  </si>
  <si>
    <r>
      <t>Design flow, m</t>
    </r>
    <r>
      <rPr>
        <vertAlign val="superscript"/>
        <sz val="10"/>
        <rFont val="Gill Sans MT"/>
        <family val="2"/>
      </rPr>
      <t>3</t>
    </r>
    <r>
      <rPr>
        <sz val="10"/>
        <rFont val="Gill Sans MT"/>
        <family val="2"/>
      </rPr>
      <t>/s</t>
    </r>
  </si>
  <si>
    <r>
      <t>m</t>
    </r>
    <r>
      <rPr>
        <vertAlign val="superscript"/>
        <sz val="10"/>
        <rFont val="Gill Sans MT"/>
        <family val="2"/>
      </rPr>
      <t>3</t>
    </r>
    <r>
      <rPr>
        <sz val="10"/>
        <rFont val="Gill Sans MT"/>
        <family val="2"/>
      </rPr>
      <t>/s</t>
    </r>
  </si>
  <si>
    <t>Design flow, m3/s (Generation License)</t>
  </si>
  <si>
    <r>
      <t>Per Unit Design flow, m</t>
    </r>
    <r>
      <rPr>
        <vertAlign val="superscript"/>
        <sz val="10"/>
        <rFont val="Gill Sans MT"/>
        <family val="2"/>
      </rPr>
      <t>3</t>
    </r>
    <r>
      <rPr>
        <sz val="10"/>
        <rFont val="Gill Sans MT"/>
        <family val="2"/>
      </rPr>
      <t>/s</t>
    </r>
  </si>
  <si>
    <t>Dry season outage + Self consumption</t>
  </si>
  <si>
    <t>Wet season outage + Self consumption</t>
  </si>
  <si>
    <t>Installed Capacity (PPA)</t>
  </si>
  <si>
    <t>MW</t>
  </si>
  <si>
    <t>Installed Capacity</t>
  </si>
  <si>
    <t>Month</t>
  </si>
  <si>
    <t>Mean monthly Flow</t>
  </si>
  <si>
    <t>D/S release</t>
  </si>
  <si>
    <t xml:space="preserve">Available flow </t>
  </si>
  <si>
    <t>Diverted flow for power generation</t>
  </si>
  <si>
    <t xml:space="preserve">Total Head loss </t>
  </si>
  <si>
    <t>Net Head</t>
  </si>
  <si>
    <t>Efficiency</t>
  </si>
  <si>
    <t>Average monthly power</t>
  </si>
  <si>
    <t>Operating days</t>
  </si>
  <si>
    <t>Monthly energy generation</t>
  </si>
  <si>
    <t>Outage &amp; self consumption</t>
  </si>
  <si>
    <t>Generated Net energy for revenue</t>
  </si>
  <si>
    <t>Saleable Net energy for revenue</t>
  </si>
  <si>
    <t xml:space="preserve">Generated Net Energy </t>
  </si>
  <si>
    <t>PPA Energy</t>
  </si>
  <si>
    <t>% difference between PPA energy and Saleable energy</t>
  </si>
  <si>
    <t>Turbine efficiency</t>
  </si>
  <si>
    <t>Dry season energy</t>
  </si>
  <si>
    <t>Wet season energy</t>
  </si>
  <si>
    <r>
      <t>(m</t>
    </r>
    <r>
      <rPr>
        <b/>
        <vertAlign val="superscript"/>
        <sz val="10"/>
        <color indexed="8"/>
        <rFont val="Gill Sans MT"/>
        <family val="2"/>
      </rPr>
      <t>3</t>
    </r>
    <r>
      <rPr>
        <b/>
        <sz val="10"/>
        <color indexed="8"/>
        <rFont val="Gill Sans MT"/>
        <family val="2"/>
      </rPr>
      <t>/s)</t>
    </r>
  </si>
  <si>
    <t>(m)</t>
  </si>
  <si>
    <t>%</t>
  </si>
  <si>
    <t>(kW)</t>
  </si>
  <si>
    <t>(KWh)</t>
  </si>
  <si>
    <t>(GWh)</t>
  </si>
  <si>
    <t>Baisakh</t>
  </si>
  <si>
    <t>Jestha</t>
  </si>
  <si>
    <t>Jestha 1-15</t>
  </si>
  <si>
    <t>Jestha 16 onwards</t>
  </si>
  <si>
    <t>Asar</t>
  </si>
  <si>
    <t>Shrawan</t>
  </si>
  <si>
    <t>Bhadra</t>
  </si>
  <si>
    <t>Ashoj</t>
  </si>
  <si>
    <t>Kartik</t>
  </si>
  <si>
    <t>Mangsir</t>
  </si>
  <si>
    <t>Mangsir 1-15</t>
  </si>
  <si>
    <t>Mangsir 16 onwards</t>
  </si>
  <si>
    <t>Poush</t>
  </si>
  <si>
    <t>Magh</t>
  </si>
  <si>
    <t>Falgun</t>
  </si>
  <si>
    <t>Chaitra</t>
  </si>
  <si>
    <t>Total</t>
  </si>
  <si>
    <t>Annual energy generation, GWH</t>
  </si>
  <si>
    <t>Energy Generated</t>
  </si>
  <si>
    <t>Payable Energy</t>
  </si>
  <si>
    <t>Dry Season Energy, GWh</t>
  </si>
  <si>
    <t>Wet season Energy, GWh</t>
  </si>
  <si>
    <t>Total Annual Energy, GWh</t>
  </si>
  <si>
    <t>UFSR flow</t>
  </si>
  <si>
    <t>HCE flow</t>
  </si>
  <si>
    <t>PPA flow</t>
  </si>
  <si>
    <t>Mean Monthly Flow</t>
  </si>
  <si>
    <t>Myagdi Khola HPP</t>
  </si>
  <si>
    <t>Headloss Calculation</t>
  </si>
  <si>
    <t>Total head loss</t>
  </si>
  <si>
    <t>Design Q</t>
  </si>
  <si>
    <t>Coefficient</t>
  </si>
  <si>
    <t>Power generating flow</t>
  </si>
  <si>
    <t>System head loss</t>
  </si>
  <si>
    <t>JOB TITLE :</t>
  </si>
  <si>
    <t>JOB NO. :</t>
  </si>
  <si>
    <t>Values in these cells are input parameters</t>
  </si>
  <si>
    <t>SUBJECT :</t>
  </si>
  <si>
    <t>HEADLOSS ESTIMATION</t>
  </si>
  <si>
    <t>STRUCTURE :</t>
  </si>
  <si>
    <t>HEADWORKS TO TAILRACE</t>
  </si>
  <si>
    <t xml:space="preserve">     Calculated by: </t>
  </si>
  <si>
    <t>SN</t>
  </si>
  <si>
    <t>Description</t>
  </si>
  <si>
    <t>Governing Equations/ Remarks</t>
  </si>
  <si>
    <t>Symbol</t>
  </si>
  <si>
    <t>Unit</t>
  </si>
  <si>
    <t>Design Parameters</t>
  </si>
  <si>
    <t>Ashad</t>
  </si>
  <si>
    <t>Srawan</t>
  </si>
  <si>
    <t>Asoj</t>
  </si>
  <si>
    <t>Total Energy Level</t>
  </si>
  <si>
    <t>Water Level</t>
  </si>
  <si>
    <t>Turbine Discharge</t>
  </si>
  <si>
    <t>[40% exceedance flow ]</t>
  </si>
  <si>
    <t>Q40</t>
  </si>
  <si>
    <t>m³/s</t>
  </si>
  <si>
    <t>Orifice Discharge</t>
  </si>
  <si>
    <t>Qo</t>
  </si>
  <si>
    <t>Settling Basin Discharge</t>
  </si>
  <si>
    <t>Qs</t>
  </si>
  <si>
    <t>Weir Crest Elevation</t>
  </si>
  <si>
    <t>Bar thickness</t>
  </si>
  <si>
    <t>mm</t>
  </si>
  <si>
    <t>No of bars in each rack</t>
  </si>
  <si>
    <t>Gross width of rack</t>
  </si>
  <si>
    <t>Gross ara of racks</t>
  </si>
  <si>
    <t>m2</t>
  </si>
  <si>
    <t>Net area of openings</t>
  </si>
  <si>
    <t>Approach Velocity</t>
  </si>
  <si>
    <t>m/s</t>
  </si>
  <si>
    <t>Velocity Head</t>
  </si>
  <si>
    <t>Ok</t>
  </si>
  <si>
    <t>Total water lelvel</t>
  </si>
  <si>
    <t>HEADWORKS</t>
  </si>
  <si>
    <t>COARSE TRASHRACK</t>
  </si>
  <si>
    <t>Shape of bar</t>
  </si>
  <si>
    <t>Bar Thickness</t>
  </si>
  <si>
    <t>t</t>
  </si>
  <si>
    <t>Spacing between bars</t>
  </si>
  <si>
    <t>b</t>
  </si>
  <si>
    <t>Number of Bars in each rack</t>
  </si>
  <si>
    <t>Rack Coefficient</t>
  </si>
  <si>
    <t>Rectangular</t>
  </si>
  <si>
    <t>Rack inclination angle</t>
  </si>
  <si>
    <t>Φ</t>
  </si>
  <si>
    <t>Round edge</t>
  </si>
  <si>
    <t>Flow deviation angle</t>
  </si>
  <si>
    <t>β</t>
  </si>
  <si>
    <t>Circular</t>
  </si>
  <si>
    <t>Velocity through trashrack</t>
  </si>
  <si>
    <t>Pointed edge</t>
  </si>
  <si>
    <t>Rounded both edge</t>
  </si>
  <si>
    <t>Streamlined</t>
  </si>
  <si>
    <t>Headloss due to trashrack</t>
  </si>
  <si>
    <t>Headloss due to flow deviation</t>
  </si>
  <si>
    <t>Total Headloss</t>
  </si>
  <si>
    <t>Total energy level</t>
  </si>
  <si>
    <t>Total water level</t>
  </si>
  <si>
    <t>INTAKE ORIFICE</t>
  </si>
  <si>
    <t>Intake invert level</t>
  </si>
  <si>
    <t>Coefficient of discharge</t>
  </si>
  <si>
    <t>No. of Openings</t>
  </si>
  <si>
    <t>Width</t>
  </si>
  <si>
    <t>Orifice Height</t>
  </si>
  <si>
    <t>Net Area of orifice</t>
  </si>
  <si>
    <t>m²</t>
  </si>
  <si>
    <t>Velocity</t>
  </si>
  <si>
    <t>Vo</t>
  </si>
  <si>
    <t>Vo²/2g</t>
  </si>
  <si>
    <t>invert level of orifice</t>
  </si>
  <si>
    <t>Headloss through orifice</t>
  </si>
  <si>
    <t xml:space="preserve">Total loss </t>
  </si>
  <si>
    <t>GATE LOSS</t>
  </si>
  <si>
    <t>Loss coefficient</t>
  </si>
  <si>
    <t>Ke</t>
  </si>
  <si>
    <t>Height</t>
  </si>
  <si>
    <t>Area of Canal</t>
  </si>
  <si>
    <t>Discharge</t>
  </si>
  <si>
    <t>Vg</t>
  </si>
  <si>
    <t>Vg²/2g</t>
  </si>
  <si>
    <t>Headloss through gate</t>
  </si>
  <si>
    <t>Water level at inlet of Gravel Trap</t>
  </si>
  <si>
    <t>Total Energy level</t>
  </si>
  <si>
    <t>GRAVEL TRAP</t>
  </si>
  <si>
    <t>Manning's Coefficient for hardstone lining</t>
  </si>
  <si>
    <t>Length</t>
  </si>
  <si>
    <t>Top Width</t>
  </si>
  <si>
    <t>Water Depth</t>
  </si>
  <si>
    <t>No. of Hoppers</t>
  </si>
  <si>
    <t>Width of Divide wall</t>
  </si>
  <si>
    <t>Top width of Hopper</t>
  </si>
  <si>
    <t>Bottom Width of Hopper</t>
  </si>
  <si>
    <t>Hopper Depth</t>
  </si>
  <si>
    <t>Hopper Side Slope Horizontal Length</t>
  </si>
  <si>
    <t>Average Cross Sectional Area</t>
  </si>
  <si>
    <t>Wetted Perimeter</t>
  </si>
  <si>
    <t>Hydraulic Radius</t>
  </si>
  <si>
    <t>Longitudinal Bed slope</t>
  </si>
  <si>
    <t>Bed Slope</t>
  </si>
  <si>
    <t>m/m</t>
  </si>
  <si>
    <t>Velocity in gravel trap</t>
  </si>
  <si>
    <t>Velocity Head in gravel trap</t>
  </si>
  <si>
    <t>Friction Loss</t>
  </si>
  <si>
    <t>Contraction Loss</t>
  </si>
  <si>
    <t>TRANSITION TO APPROACH CULVERT</t>
  </si>
  <si>
    <t>Invert Level</t>
  </si>
  <si>
    <t>Average Width</t>
  </si>
  <si>
    <t>Average velocity</t>
  </si>
  <si>
    <t>Contraction loss coefficient</t>
  </si>
  <si>
    <t>Velocity d/s to contraction</t>
  </si>
  <si>
    <t>Velocity head</t>
  </si>
  <si>
    <t>Contraction headloss</t>
  </si>
  <si>
    <t>Energy Level</t>
  </si>
  <si>
    <t>Water level</t>
  </si>
  <si>
    <t>APPROACH CULVERT</t>
  </si>
  <si>
    <t>Manning's Coefficient</t>
  </si>
  <si>
    <t>n</t>
  </si>
  <si>
    <t xml:space="preserve">Number of canal </t>
  </si>
  <si>
    <t>Discharge per canal</t>
  </si>
  <si>
    <t>Qc</t>
  </si>
  <si>
    <t>Lc</t>
  </si>
  <si>
    <t>Cross Sectional Area</t>
  </si>
  <si>
    <t>Rc</t>
  </si>
  <si>
    <t>Discharge to be passed through canal</t>
  </si>
  <si>
    <t>No of feeder canals</t>
  </si>
  <si>
    <t>Vc</t>
  </si>
  <si>
    <t xml:space="preserve">Area </t>
  </si>
  <si>
    <t>Vc²/2g</t>
  </si>
  <si>
    <t>Headloss (Friction Loss)</t>
  </si>
  <si>
    <t>CHECK, whether canal invert has to be lowered down in order to ensure ease of flow during low flow.</t>
  </si>
  <si>
    <t>Design Discharge</t>
  </si>
  <si>
    <t>Q</t>
  </si>
  <si>
    <t>Discharge to plant</t>
  </si>
  <si>
    <t>f</t>
  </si>
  <si>
    <t xml:space="preserve">Pipe length </t>
  </si>
  <si>
    <t>Lp</t>
  </si>
  <si>
    <t>Flow velocity in pipe</t>
  </si>
  <si>
    <t>Headloss due to friction</t>
  </si>
  <si>
    <t>total energy level</t>
  </si>
  <si>
    <t xml:space="preserve">Water level at inlet of approach culvert </t>
  </si>
  <si>
    <t>SETTLING BASIN</t>
  </si>
  <si>
    <t>No. of bays</t>
  </si>
  <si>
    <t>Discharge per bay</t>
  </si>
  <si>
    <t xml:space="preserve">Expansion loss coeficeint, ASCE </t>
  </si>
  <si>
    <t>INLET TRANSITION</t>
  </si>
  <si>
    <t>Inlet transition angle</t>
  </si>
  <si>
    <t>α</t>
  </si>
  <si>
    <t>degree</t>
  </si>
  <si>
    <t>Expansion loss coeffcient</t>
  </si>
  <si>
    <t>Low</t>
  </si>
  <si>
    <t>Inlet transition Length</t>
  </si>
  <si>
    <t>Li</t>
  </si>
  <si>
    <t xml:space="preserve">High value </t>
  </si>
  <si>
    <t>Average Height</t>
  </si>
  <si>
    <t>Average Area</t>
  </si>
  <si>
    <t>water height in canal</t>
  </si>
  <si>
    <t>Normal water level at inlet</t>
  </si>
  <si>
    <t>Canal invert level at start</t>
  </si>
  <si>
    <t>Canal invert level at end</t>
  </si>
  <si>
    <t>Transition Loss</t>
  </si>
  <si>
    <t>ht</t>
  </si>
  <si>
    <t>hf</t>
  </si>
  <si>
    <t>[ Headloss = ht + hf ]</t>
  </si>
  <si>
    <t>MAIN SECTION</t>
  </si>
  <si>
    <t>Ls</t>
  </si>
  <si>
    <t>No of bay</t>
  </si>
  <si>
    <t>Width of bay at top (assume)</t>
  </si>
  <si>
    <t>thickness of divide wall at bottom</t>
  </si>
  <si>
    <t>Water Width</t>
  </si>
  <si>
    <t>discharge per bay</t>
  </si>
  <si>
    <t>m^3/s</t>
  </si>
  <si>
    <t>constant a</t>
  </si>
  <si>
    <t xml:space="preserve">Camp's critical velocity </t>
  </si>
  <si>
    <t>min depth of water required</t>
  </si>
  <si>
    <t>Cross Sectional Area of Flow</t>
  </si>
  <si>
    <t>As</t>
  </si>
  <si>
    <t xml:space="preserve">Adopt depth </t>
  </si>
  <si>
    <t>Hw</t>
  </si>
  <si>
    <t>Ps</t>
  </si>
  <si>
    <t>Rs</t>
  </si>
  <si>
    <t>Vs</t>
  </si>
  <si>
    <t>Vs²/2g</t>
  </si>
  <si>
    <t>OUTLET ORIFICE</t>
  </si>
  <si>
    <t>No of Gates</t>
  </si>
  <si>
    <t>Width of the Gate</t>
  </si>
  <si>
    <t>Area of orifice</t>
  </si>
  <si>
    <t xml:space="preserve">Total discharge </t>
  </si>
  <si>
    <t>HEADPOND/FOREBAY</t>
  </si>
  <si>
    <t>Check submergence</t>
  </si>
  <si>
    <t>Lh</t>
  </si>
  <si>
    <t>Rh</t>
  </si>
  <si>
    <t>Energy Slope</t>
  </si>
  <si>
    <t>Vh</t>
  </si>
  <si>
    <t>Vh²/2g</t>
  </si>
  <si>
    <t>Coefficient of Contraction</t>
  </si>
  <si>
    <t>TOTAL HEADLOSS IN HEADWORKS</t>
  </si>
  <si>
    <t>Velocity at approach canal</t>
  </si>
  <si>
    <t>TOTAL HEADLOSS COEFFICIENT FOR HEADWORKS</t>
  </si>
  <si>
    <t xml:space="preserve">WATERWAY </t>
  </si>
  <si>
    <t>Reference: Guidelines for design of Intake</t>
  </si>
  <si>
    <t>Design discharge</t>
  </si>
  <si>
    <t>m3/s</t>
  </si>
  <si>
    <t>Structure</t>
  </si>
  <si>
    <t>Manning's Value, n</t>
  </si>
  <si>
    <t>Hard stone lined surface</t>
  </si>
  <si>
    <t>Gravel Trap</t>
  </si>
  <si>
    <t>Concrete Surface</t>
  </si>
  <si>
    <t>Approach Culvert</t>
  </si>
  <si>
    <t>Concrete Lined Surface</t>
  </si>
  <si>
    <t>Ac</t>
  </si>
  <si>
    <t>Settling Basin</t>
  </si>
  <si>
    <t>Vp</t>
  </si>
  <si>
    <t>Feeding Tunnel</t>
  </si>
  <si>
    <t>Wetted perimeter</t>
  </si>
  <si>
    <t>Hydraulic radius</t>
  </si>
  <si>
    <t>R</t>
  </si>
  <si>
    <t>Headloss</t>
  </si>
  <si>
    <t>Hc</t>
  </si>
  <si>
    <t>HEADRACE TUNNEL</t>
  </si>
  <si>
    <t>Manning's coefficient for shotcrete tunnel</t>
  </si>
  <si>
    <t>Manning's coefficient for concrete lined tunnel</t>
  </si>
  <si>
    <t>Total length from inlet portal to surge shaft</t>
  </si>
  <si>
    <t>Shotcrete linned length</t>
  </si>
  <si>
    <t>Concrete linned length</t>
  </si>
  <si>
    <t>Diameter concrete lined</t>
  </si>
  <si>
    <t>dt</t>
  </si>
  <si>
    <t>Diameter shotcrete lined</t>
  </si>
  <si>
    <t>height of rectangular portion(shotcrete)</t>
  </si>
  <si>
    <t>height of rectangular portion(concrete)</t>
  </si>
  <si>
    <t>Concrete lined portion</t>
  </si>
  <si>
    <t>Sectional  area</t>
  </si>
  <si>
    <t>At</t>
  </si>
  <si>
    <t>Flow velocity in tunnel</t>
  </si>
  <si>
    <t>Vts</t>
  </si>
  <si>
    <t>Reference : Guidelines for the design of Intake for Hydroelectric Plants</t>
  </si>
  <si>
    <t>[D+2.D/2+(pi () D/2)]</t>
  </si>
  <si>
    <t>Pt</t>
  </si>
  <si>
    <t xml:space="preserve">Page No: 63; Table 3.5 </t>
  </si>
  <si>
    <t>Bend Loss Coefficient (K)</t>
  </si>
  <si>
    <t>Shotcrete lined portion</t>
  </si>
  <si>
    <r>
      <t xml:space="preserve">Angle ( </t>
    </r>
    <r>
      <rPr>
        <sz val="10"/>
        <color theme="1"/>
        <rFont val="Calibri"/>
        <family val="2"/>
      </rPr>
      <t xml:space="preserve">° </t>
    </r>
    <r>
      <rPr>
        <sz val="9"/>
        <color theme="1"/>
        <rFont val="Gill Sans MT"/>
        <family val="2"/>
      </rPr>
      <t>)</t>
    </r>
  </si>
  <si>
    <t>Vtc</t>
  </si>
  <si>
    <t>For Contraction Designed to meet angular changes:</t>
  </si>
  <si>
    <r>
      <t>tan</t>
    </r>
    <r>
      <rPr>
        <sz val="10"/>
        <color theme="1"/>
        <rFont val="Calibri"/>
        <family val="2"/>
      </rPr>
      <t>α=C√(gd)/U</t>
    </r>
  </si>
  <si>
    <t>U=average velocities</t>
  </si>
  <si>
    <t>Hu</t>
  </si>
  <si>
    <t>d=average dia</t>
  </si>
  <si>
    <t>HL</t>
  </si>
  <si>
    <r>
      <rPr>
        <sz val="10"/>
        <color theme="1"/>
        <rFont val="Calibri"/>
        <family val="2"/>
      </rPr>
      <t>α</t>
    </r>
    <r>
      <rPr>
        <sz val="9"/>
        <color theme="1"/>
        <rFont val="Gill Sans MT"/>
        <family val="2"/>
      </rPr>
      <t>=angle of conduit wall surface with respect to centre line</t>
    </r>
  </si>
  <si>
    <t>[ Headloss = Hu+ HL]</t>
  </si>
  <si>
    <t>average velocity</t>
  </si>
  <si>
    <t>average dia</t>
  </si>
  <si>
    <t>D</t>
  </si>
  <si>
    <t>2.1.1</t>
  </si>
  <si>
    <t>Bend Loss in Tunnel</t>
  </si>
  <si>
    <t>Bend angle</t>
  </si>
  <si>
    <t>Bend Coefficient</t>
  </si>
  <si>
    <t>Total bend loss in tunnel</t>
  </si>
  <si>
    <t>TOTAL HEADLOSS IN HRT</t>
  </si>
  <si>
    <t>Contraction loss due to transition of penstock</t>
  </si>
  <si>
    <t>Coefficient of contraction</t>
  </si>
  <si>
    <t>kc</t>
  </si>
  <si>
    <t>Dia of Penstock</t>
  </si>
  <si>
    <t>d</t>
  </si>
  <si>
    <t>Velocity in Penstock</t>
  </si>
  <si>
    <t>v</t>
  </si>
  <si>
    <t xml:space="preserve">Loss due to contraction </t>
  </si>
  <si>
    <t>Velocity head in shotcrete lined tunnel</t>
  </si>
  <si>
    <t>Vt²/2g</t>
  </si>
  <si>
    <t>Tunnel head loss coeficient</t>
  </si>
  <si>
    <t>PENSTOCK  INLET VALVE</t>
  </si>
  <si>
    <t>Diameter of Valve</t>
  </si>
  <si>
    <t>Dv</t>
  </si>
  <si>
    <t>Av</t>
  </si>
  <si>
    <t>Vv</t>
  </si>
  <si>
    <t>Loss Coefficient for valve</t>
  </si>
  <si>
    <t>Kv</t>
  </si>
  <si>
    <t>Valve loss</t>
  </si>
  <si>
    <t>TOTAL HEADLOSS IN TUNNEL AFTER SURGE SHAFT</t>
  </si>
  <si>
    <t>PENSTOCK PIPE of 2m dia</t>
  </si>
  <si>
    <t>2.4.1</t>
  </si>
  <si>
    <t>PENSTOCK PIPE FRICTIONAL LOSS</t>
  </si>
  <si>
    <t>Manning's Roughness Coefficient for Penstock Pipe</t>
  </si>
  <si>
    <t>Pipe diameter</t>
  </si>
  <si>
    <t>Pipe area</t>
  </si>
  <si>
    <t>2.4.2</t>
  </si>
  <si>
    <t>PENSTOCK BEND LOSS</t>
  </si>
  <si>
    <t>Discharge after contraction</t>
  </si>
  <si>
    <t>Dia after contraction</t>
  </si>
  <si>
    <t>Velocity after contraction</t>
  </si>
  <si>
    <t>Coefficient of loss for cylindrical contraction (Guideline for design of Intake for Hydroelectric Plant, ASCE, page no 58)</t>
  </si>
  <si>
    <t xml:space="preserve">Velocity head </t>
  </si>
  <si>
    <t>Contraction loss</t>
  </si>
  <si>
    <t>Friction loss after trifurcation</t>
  </si>
  <si>
    <t>bend loss</t>
  </si>
  <si>
    <t>Ѳ</t>
  </si>
  <si>
    <t>Loss coefficient  for 45 degreebend</t>
  </si>
  <si>
    <t>Head Loss due to bifurcation bend</t>
  </si>
  <si>
    <t>Spherical valve loss</t>
  </si>
  <si>
    <t xml:space="preserve">Discharge </t>
  </si>
  <si>
    <t xml:space="preserve">velocity </t>
  </si>
  <si>
    <t>Valve loss  coefficient</t>
  </si>
  <si>
    <t xml:space="preserve">Valve diameter </t>
  </si>
  <si>
    <t>C/S Area</t>
  </si>
  <si>
    <t>Head loss</t>
  </si>
  <si>
    <t>TOTAL HEADLOSS IN PENSTOCK</t>
  </si>
  <si>
    <t>Penstock head loss coeficient</t>
  </si>
  <si>
    <t>OTHER MINOR LOSSES</t>
  </si>
  <si>
    <t>Other minor losses such as tappering and epansion in bifurcated pipe etc</t>
  </si>
  <si>
    <t>Other minor loss coefficient</t>
  </si>
  <si>
    <t>TOTAL HEAD LOSS</t>
  </si>
  <si>
    <t>Adopted HL</t>
  </si>
  <si>
    <t>Downsrtream release</t>
  </si>
  <si>
    <t>Turbine CL Level</t>
  </si>
  <si>
    <t>% of Q</t>
  </si>
  <si>
    <t>Efficiency from available energy curve</t>
  </si>
  <si>
    <t>Overrating</t>
  </si>
  <si>
    <t>No of unit</t>
  </si>
  <si>
    <t>Per unit discharge</t>
  </si>
  <si>
    <t>Power Generating Discharge, m³/s</t>
  </si>
  <si>
    <t>Unit 1</t>
  </si>
  <si>
    <t>Unit 2</t>
  </si>
  <si>
    <t>Remarks</t>
  </si>
  <si>
    <t>Unit 3</t>
  </si>
  <si>
    <t>Power and Energy Calculation with PPA monthly flow</t>
  </si>
  <si>
    <t>KW</t>
  </si>
  <si>
    <t>Myagdi Khola hydropower Project (65 MW)</t>
  </si>
  <si>
    <t>HEADRACE PIPE</t>
  </si>
  <si>
    <t>Pipe Diameter</t>
  </si>
  <si>
    <t>Friction Factor for Headrace Pipe</t>
  </si>
  <si>
    <t>Length of Pipe</t>
  </si>
  <si>
    <t>Pipe Area</t>
  </si>
  <si>
    <t>Flow Velocity in Pipe</t>
  </si>
  <si>
    <t>Hp</t>
  </si>
  <si>
    <t xml:space="preserve"> Headloss</t>
  </si>
  <si>
    <t>Velocity Head (shotcrete Lined)</t>
  </si>
  <si>
    <t>Velocity Head (concrete lining)</t>
  </si>
  <si>
    <t>Bend Loss in HRP</t>
  </si>
  <si>
    <t>Bend 1</t>
  </si>
  <si>
    <t>Bend 2</t>
  </si>
  <si>
    <t>Bend 3</t>
  </si>
  <si>
    <t xml:space="preserve"> Bend 4</t>
  </si>
  <si>
    <t>TOTAL Bend loss in HRP</t>
  </si>
  <si>
    <t>Total Headloss in HRP</t>
  </si>
  <si>
    <t>Total Bend loss in HRT</t>
  </si>
  <si>
    <t>Friction loss for 0.9m pipe</t>
  </si>
  <si>
    <t xml:space="preserve">contraction loss from 2.0m to 1.2m </t>
  </si>
  <si>
    <t>Vp²/2g</t>
  </si>
  <si>
    <t>Head Loss Calculated</t>
  </si>
  <si>
    <t>Gross Head</t>
  </si>
  <si>
    <t xml:space="preserve">Head Loss </t>
  </si>
  <si>
    <t>Diff</t>
  </si>
  <si>
    <t>Pipe</t>
  </si>
  <si>
    <t>k</t>
  </si>
  <si>
    <t>k/D</t>
  </si>
  <si>
    <t>A</t>
  </si>
  <si>
    <t>U</t>
  </si>
  <si>
    <t>m2/s</t>
  </si>
  <si>
    <t>Re</t>
  </si>
  <si>
    <t>estimated</t>
  </si>
  <si>
    <t>Rb/D</t>
  </si>
  <si>
    <t>B (bend loss coefficient)</t>
  </si>
  <si>
    <t>Width of opening</t>
  </si>
  <si>
    <t>Number</t>
  </si>
  <si>
    <t>Culvert inlet Fine Trashrack</t>
  </si>
  <si>
    <t>Net width</t>
  </si>
  <si>
    <t>Roughness height</t>
  </si>
  <si>
    <t>ud/v</t>
  </si>
  <si>
    <t>Bend radius</t>
  </si>
  <si>
    <t>B</t>
  </si>
  <si>
    <t>from NTNU vol 8 Fig 7.1</t>
  </si>
  <si>
    <t>Correction</t>
  </si>
  <si>
    <t>From NTNU vol 8 fig 7.2</t>
  </si>
  <si>
    <t>Headloss (Friction Loss) - Shotcrete lined</t>
  </si>
  <si>
    <t>Headloss (Friction Loss) - Concrete lined</t>
  </si>
  <si>
    <t>hlsl</t>
  </si>
  <si>
    <t>hlcl</t>
  </si>
  <si>
    <t xml:space="preserve">Total Headloss </t>
  </si>
  <si>
    <t>Calculated for six 90 degree bends</t>
  </si>
  <si>
    <t>PrM</t>
  </si>
  <si>
    <r>
      <t>V</t>
    </r>
    <r>
      <rPr>
        <vertAlign val="subscript"/>
        <sz val="12"/>
        <color theme="1"/>
        <rFont val="Gill Sans MT"/>
        <family val="2"/>
      </rPr>
      <t>a</t>
    </r>
  </si>
  <si>
    <r>
      <t>V</t>
    </r>
    <r>
      <rPr>
        <vertAlign val="subscript"/>
        <sz val="12"/>
        <color theme="1"/>
        <rFont val="Gill Sans MT"/>
        <family val="2"/>
      </rPr>
      <t>a</t>
    </r>
    <r>
      <rPr>
        <sz val="12"/>
        <color theme="1"/>
        <rFont val="Gill Sans MT"/>
        <family val="2"/>
      </rPr>
      <t>²/2g</t>
    </r>
  </si>
  <si>
    <r>
      <t>K</t>
    </r>
    <r>
      <rPr>
        <vertAlign val="subscript"/>
        <sz val="12"/>
        <color theme="1"/>
        <rFont val="Gill Sans MT"/>
        <family val="2"/>
      </rPr>
      <t>t</t>
    </r>
  </si>
  <si>
    <r>
      <t>[ h</t>
    </r>
    <r>
      <rPr>
        <vertAlign val="subscript"/>
        <sz val="12"/>
        <color theme="1"/>
        <rFont val="Gill Sans MT"/>
        <family val="2"/>
      </rPr>
      <t>t</t>
    </r>
    <r>
      <rPr>
        <sz val="12"/>
        <color theme="1"/>
        <rFont val="Gill Sans MT"/>
        <family val="2"/>
      </rPr>
      <t xml:space="preserve"> = K</t>
    </r>
    <r>
      <rPr>
        <vertAlign val="subscript"/>
        <sz val="12"/>
        <color theme="1"/>
        <rFont val="Gill Sans MT"/>
        <family val="2"/>
      </rPr>
      <t>t</t>
    </r>
    <r>
      <rPr>
        <sz val="12"/>
        <color theme="1"/>
        <rFont val="Gill Sans MT"/>
        <family val="2"/>
      </rPr>
      <t xml:space="preserve"> (t/b)</t>
    </r>
    <r>
      <rPr>
        <vertAlign val="superscript"/>
        <sz val="12"/>
        <color theme="1"/>
        <rFont val="Gill Sans MT"/>
        <family val="2"/>
      </rPr>
      <t>4/3</t>
    </r>
    <r>
      <rPr>
        <sz val="12"/>
        <color theme="1"/>
        <rFont val="Gill Sans MT"/>
        <family val="2"/>
      </rPr>
      <t xml:space="preserve"> (V</t>
    </r>
    <r>
      <rPr>
        <vertAlign val="subscript"/>
        <sz val="12"/>
        <color theme="1"/>
        <rFont val="Gill Sans MT"/>
        <family val="2"/>
      </rPr>
      <t>a</t>
    </r>
    <r>
      <rPr>
        <vertAlign val="superscript"/>
        <sz val="12"/>
        <color theme="1"/>
        <rFont val="Gill Sans MT"/>
        <family val="2"/>
      </rPr>
      <t>2</t>
    </r>
    <r>
      <rPr>
        <sz val="12"/>
        <color theme="1"/>
        <rFont val="Gill Sans MT"/>
        <family val="2"/>
      </rPr>
      <t>/2g) Sin</t>
    </r>
    <r>
      <rPr>
        <sz val="12"/>
        <color theme="1"/>
        <rFont val="Calibri"/>
        <family val="2"/>
      </rPr>
      <t>Φ ]</t>
    </r>
  </si>
  <si>
    <r>
      <t>h</t>
    </r>
    <r>
      <rPr>
        <vertAlign val="subscript"/>
        <sz val="12"/>
        <color theme="1"/>
        <rFont val="Gill Sans MT"/>
        <family val="2"/>
      </rPr>
      <t>t</t>
    </r>
  </si>
  <si>
    <r>
      <t>[ h</t>
    </r>
    <r>
      <rPr>
        <sz val="12"/>
        <color theme="1"/>
        <rFont val="Calibri"/>
        <family val="2"/>
      </rPr>
      <t>β</t>
    </r>
    <r>
      <rPr>
        <sz val="12"/>
        <color theme="1"/>
        <rFont val="Gill Sans MT"/>
        <family val="2"/>
      </rPr>
      <t xml:space="preserve"> = (V</t>
    </r>
    <r>
      <rPr>
        <vertAlign val="subscript"/>
        <sz val="12"/>
        <color theme="1"/>
        <rFont val="Gill Sans MT"/>
        <family val="2"/>
      </rPr>
      <t>a</t>
    </r>
    <r>
      <rPr>
        <vertAlign val="superscript"/>
        <sz val="12"/>
        <color theme="1"/>
        <rFont val="Gill Sans MT"/>
        <family val="2"/>
      </rPr>
      <t>2</t>
    </r>
    <r>
      <rPr>
        <sz val="12"/>
        <color theme="1"/>
        <rFont val="Gill Sans MT"/>
        <family val="2"/>
      </rPr>
      <t>/2g) Sin</t>
    </r>
    <r>
      <rPr>
        <sz val="12"/>
        <color theme="1"/>
        <rFont val="Calibri"/>
        <family val="2"/>
      </rPr>
      <t>β</t>
    </r>
    <r>
      <rPr>
        <sz val="12"/>
        <color theme="1"/>
        <rFont val="Gill Sans MT"/>
        <family val="2"/>
      </rPr>
      <t xml:space="preserve"> ]</t>
    </r>
  </si>
  <si>
    <r>
      <t>h</t>
    </r>
    <r>
      <rPr>
        <vertAlign val="subscript"/>
        <sz val="12"/>
        <color theme="1"/>
        <rFont val="Calibri"/>
        <family val="2"/>
      </rPr>
      <t>β</t>
    </r>
  </si>
  <si>
    <r>
      <t>[ Headloss = h</t>
    </r>
    <r>
      <rPr>
        <vertAlign val="subscript"/>
        <sz val="12"/>
        <rFont val="Gill Sans MT"/>
        <family val="2"/>
      </rPr>
      <t>t</t>
    </r>
    <r>
      <rPr>
        <sz val="12"/>
        <rFont val="Gill Sans MT"/>
        <family val="2"/>
      </rPr>
      <t xml:space="preserve"> + h</t>
    </r>
    <r>
      <rPr>
        <vertAlign val="subscript"/>
        <sz val="12"/>
        <rFont val="Gill Sans MT"/>
        <family val="2"/>
      </rPr>
      <t>β</t>
    </r>
    <r>
      <rPr>
        <sz val="12"/>
        <rFont val="Gill Sans MT"/>
        <family val="2"/>
      </rPr>
      <t xml:space="preserve"> ]</t>
    </r>
  </si>
  <si>
    <r>
      <t>C</t>
    </r>
    <r>
      <rPr>
        <vertAlign val="subscript"/>
        <sz val="12"/>
        <color theme="1"/>
        <rFont val="Gill Sans MT"/>
        <family val="2"/>
      </rPr>
      <t>d</t>
    </r>
  </si>
  <si>
    <r>
      <t>[ Headloss = (1/C</t>
    </r>
    <r>
      <rPr>
        <vertAlign val="subscript"/>
        <sz val="12"/>
        <color theme="1"/>
        <rFont val="Gill Sans MT"/>
        <family val="2"/>
      </rPr>
      <t>d</t>
    </r>
    <r>
      <rPr>
        <sz val="12"/>
        <color theme="1"/>
        <rFont val="Gill Sans MT"/>
        <family val="2"/>
      </rPr>
      <t>²).Vo²/2g ]</t>
    </r>
  </si>
  <si>
    <r>
      <t>[ hg = Kg.V</t>
    </r>
    <r>
      <rPr>
        <vertAlign val="subscript"/>
        <sz val="12"/>
        <color theme="1"/>
        <rFont val="Gill Sans MT"/>
        <family val="2"/>
      </rPr>
      <t>2</t>
    </r>
    <r>
      <rPr>
        <sz val="12"/>
        <color theme="1"/>
        <rFont val="Gill Sans MT"/>
        <family val="2"/>
      </rPr>
      <t>²/2g ]</t>
    </r>
  </si>
  <si>
    <r>
      <t>L</t>
    </r>
    <r>
      <rPr>
        <vertAlign val="subscript"/>
        <sz val="12"/>
        <color theme="1"/>
        <rFont val="Gill Sans MT"/>
        <family val="2"/>
      </rPr>
      <t>g</t>
    </r>
  </si>
  <si>
    <r>
      <t>R</t>
    </r>
    <r>
      <rPr>
        <vertAlign val="subscript"/>
        <sz val="12"/>
        <color theme="1"/>
        <rFont val="Gill Sans MT"/>
        <family val="2"/>
      </rPr>
      <t>g</t>
    </r>
  </si>
  <si>
    <r>
      <t>V</t>
    </r>
    <r>
      <rPr>
        <vertAlign val="subscript"/>
        <sz val="12"/>
        <color theme="1"/>
        <rFont val="Gill Sans MT"/>
        <family val="2"/>
      </rPr>
      <t>g</t>
    </r>
  </si>
  <si>
    <r>
      <t>V</t>
    </r>
    <r>
      <rPr>
        <vertAlign val="subscript"/>
        <sz val="12"/>
        <color theme="1"/>
        <rFont val="Gill Sans MT"/>
        <family val="2"/>
      </rPr>
      <t>g</t>
    </r>
    <r>
      <rPr>
        <sz val="12"/>
        <color theme="1"/>
        <rFont val="Gill Sans MT"/>
        <family val="2"/>
      </rPr>
      <t>²/2g</t>
    </r>
  </si>
  <si>
    <r>
      <t>[ h</t>
    </r>
    <r>
      <rPr>
        <vertAlign val="subscript"/>
        <sz val="12"/>
        <color theme="1"/>
        <rFont val="Gill Sans MT"/>
        <family val="2"/>
      </rPr>
      <t>f</t>
    </r>
    <r>
      <rPr>
        <sz val="12"/>
        <color theme="1"/>
        <rFont val="Gill Sans MT"/>
        <family val="2"/>
      </rPr>
      <t xml:space="preserve"> = n².V</t>
    </r>
    <r>
      <rPr>
        <vertAlign val="subscript"/>
        <sz val="12"/>
        <color theme="1"/>
        <rFont val="Gill Sans MT"/>
        <family val="2"/>
      </rPr>
      <t>g</t>
    </r>
    <r>
      <rPr>
        <sz val="12"/>
        <color theme="1"/>
        <rFont val="Gill Sans MT"/>
        <family val="2"/>
      </rPr>
      <t>².L</t>
    </r>
    <r>
      <rPr>
        <vertAlign val="subscript"/>
        <sz val="12"/>
        <color theme="1"/>
        <rFont val="Gill Sans MT"/>
        <family val="2"/>
      </rPr>
      <t>g</t>
    </r>
    <r>
      <rPr>
        <sz val="12"/>
        <color theme="1"/>
        <rFont val="Gill Sans MT"/>
        <family val="2"/>
      </rPr>
      <t>/R</t>
    </r>
    <r>
      <rPr>
        <vertAlign val="subscript"/>
        <sz val="12"/>
        <color theme="1"/>
        <rFont val="Gill Sans MT"/>
        <family val="2"/>
      </rPr>
      <t>g</t>
    </r>
    <r>
      <rPr>
        <vertAlign val="superscript"/>
        <sz val="12"/>
        <color theme="1"/>
        <rFont val="Gill Sans MT"/>
        <family val="2"/>
      </rPr>
      <t>4/3</t>
    </r>
    <r>
      <rPr>
        <sz val="12"/>
        <color theme="1"/>
        <rFont val="Gill Sans MT"/>
        <family val="2"/>
      </rPr>
      <t xml:space="preserve"> ]</t>
    </r>
  </si>
  <si>
    <r>
      <t>h</t>
    </r>
    <r>
      <rPr>
        <vertAlign val="subscript"/>
        <sz val="12"/>
        <color theme="1"/>
        <rFont val="Gill Sans MT"/>
        <family val="2"/>
      </rPr>
      <t>f</t>
    </r>
  </si>
  <si>
    <r>
      <t>[ h</t>
    </r>
    <r>
      <rPr>
        <vertAlign val="subscript"/>
        <sz val="12"/>
        <color theme="1"/>
        <rFont val="Gill Sans MT"/>
        <family val="2"/>
      </rPr>
      <t>C</t>
    </r>
    <r>
      <rPr>
        <sz val="12"/>
        <color theme="1"/>
        <rFont val="Gill Sans MT"/>
        <family val="2"/>
      </rPr>
      <t xml:space="preserve"> = K</t>
    </r>
    <r>
      <rPr>
        <vertAlign val="subscript"/>
        <sz val="12"/>
        <color theme="1"/>
        <rFont val="Gill Sans MT"/>
        <family val="2"/>
      </rPr>
      <t>L</t>
    </r>
    <r>
      <rPr>
        <sz val="12"/>
        <color theme="1"/>
        <rFont val="Gill Sans MT"/>
        <family val="2"/>
      </rPr>
      <t>.V</t>
    </r>
    <r>
      <rPr>
        <vertAlign val="subscript"/>
        <sz val="12"/>
        <color theme="1"/>
        <rFont val="Gill Sans MT"/>
        <family val="2"/>
      </rPr>
      <t>2</t>
    </r>
    <r>
      <rPr>
        <sz val="12"/>
        <color theme="1"/>
        <rFont val="Gill Sans MT"/>
        <family val="2"/>
      </rPr>
      <t>²/2g ]</t>
    </r>
  </si>
  <si>
    <r>
      <t>h</t>
    </r>
    <r>
      <rPr>
        <vertAlign val="subscript"/>
        <sz val="12"/>
        <color theme="1"/>
        <rFont val="Gill Sans MT"/>
        <family val="2"/>
      </rPr>
      <t>C</t>
    </r>
  </si>
  <si>
    <r>
      <t>[ Headloss = h</t>
    </r>
    <r>
      <rPr>
        <vertAlign val="subscript"/>
        <sz val="12"/>
        <color theme="1"/>
        <rFont val="Gill Sans MT"/>
        <family val="2"/>
      </rPr>
      <t>f</t>
    </r>
    <r>
      <rPr>
        <sz val="12"/>
        <color theme="1"/>
        <rFont val="Gill Sans MT"/>
        <family val="2"/>
      </rPr>
      <t xml:space="preserve"> + h</t>
    </r>
    <r>
      <rPr>
        <vertAlign val="subscript"/>
        <sz val="12"/>
        <color theme="1"/>
        <rFont val="Gill Sans MT"/>
        <family val="2"/>
      </rPr>
      <t>C</t>
    </r>
    <r>
      <rPr>
        <sz val="12"/>
        <color theme="1"/>
        <rFont val="Gill Sans MT"/>
        <family val="2"/>
      </rPr>
      <t xml:space="preserve"> ]</t>
    </r>
  </si>
  <si>
    <r>
      <t>W</t>
    </r>
    <r>
      <rPr>
        <vertAlign val="subscript"/>
        <sz val="12"/>
        <color theme="1"/>
        <rFont val="Calibri"/>
        <family val="2"/>
        <scheme val="minor"/>
      </rPr>
      <t>avg</t>
    </r>
  </si>
  <si>
    <r>
      <t>V</t>
    </r>
    <r>
      <rPr>
        <vertAlign val="subscript"/>
        <sz val="12"/>
        <color theme="1"/>
        <rFont val="Calibri"/>
        <family val="2"/>
        <scheme val="minor"/>
      </rPr>
      <t>avg</t>
    </r>
  </si>
  <si>
    <r>
      <t>K</t>
    </r>
    <r>
      <rPr>
        <vertAlign val="subscript"/>
        <sz val="12"/>
        <color theme="1"/>
        <rFont val="Calibri"/>
        <family val="2"/>
        <scheme val="minor"/>
      </rPr>
      <t>c</t>
    </r>
  </si>
  <si>
    <r>
      <t>V</t>
    </r>
    <r>
      <rPr>
        <vertAlign val="subscript"/>
        <sz val="12"/>
        <color theme="1"/>
        <rFont val="Calibri"/>
        <family val="2"/>
        <scheme val="minor"/>
      </rPr>
      <t>2</t>
    </r>
  </si>
  <si>
    <r>
      <t>[ h</t>
    </r>
    <r>
      <rPr>
        <vertAlign val="subscript"/>
        <sz val="12"/>
        <color theme="1"/>
        <rFont val="Gill Sans MT"/>
        <family val="2"/>
      </rPr>
      <t>c</t>
    </r>
    <r>
      <rPr>
        <sz val="12"/>
        <color theme="1"/>
        <rFont val="Gill Sans MT"/>
        <family val="2"/>
      </rPr>
      <t xml:space="preserve"> = K</t>
    </r>
    <r>
      <rPr>
        <vertAlign val="subscript"/>
        <sz val="12"/>
        <color theme="1"/>
        <rFont val="Gill Sans MT"/>
        <family val="2"/>
      </rPr>
      <t>c</t>
    </r>
    <r>
      <rPr>
        <sz val="12"/>
        <color theme="1"/>
        <rFont val="Gill Sans MT"/>
        <family val="2"/>
      </rPr>
      <t>.V</t>
    </r>
    <r>
      <rPr>
        <vertAlign val="subscript"/>
        <sz val="12"/>
        <color theme="1"/>
        <rFont val="Gill Sans MT"/>
        <family val="2"/>
      </rPr>
      <t>2</t>
    </r>
    <r>
      <rPr>
        <sz val="12"/>
        <color theme="1"/>
        <rFont val="Gill Sans MT"/>
        <family val="2"/>
      </rPr>
      <t>²/2g ]</t>
    </r>
  </si>
  <si>
    <r>
      <t>h</t>
    </r>
    <r>
      <rPr>
        <vertAlign val="subscript"/>
        <sz val="12"/>
        <color theme="1"/>
        <rFont val="Calibri"/>
        <family val="2"/>
        <scheme val="minor"/>
      </rPr>
      <t>c</t>
    </r>
  </si>
  <si>
    <r>
      <t>[ hf = n².V</t>
    </r>
    <r>
      <rPr>
        <vertAlign val="subscript"/>
        <sz val="12"/>
        <color theme="1"/>
        <rFont val="Gill Sans MT"/>
        <family val="2"/>
      </rPr>
      <t>T</t>
    </r>
    <r>
      <rPr>
        <sz val="12"/>
        <color theme="1"/>
        <rFont val="Gill Sans MT"/>
        <family val="2"/>
      </rPr>
      <t>².L</t>
    </r>
    <r>
      <rPr>
        <vertAlign val="subscript"/>
        <sz val="12"/>
        <color theme="1"/>
        <rFont val="Gill Sans MT"/>
        <family val="2"/>
      </rPr>
      <t>T</t>
    </r>
    <r>
      <rPr>
        <sz val="12"/>
        <color theme="1"/>
        <rFont val="Gill Sans MT"/>
        <family val="2"/>
      </rPr>
      <t>/R</t>
    </r>
    <r>
      <rPr>
        <vertAlign val="subscript"/>
        <sz val="12"/>
        <color theme="1"/>
        <rFont val="Gill Sans MT"/>
        <family val="2"/>
      </rPr>
      <t>T</t>
    </r>
    <r>
      <rPr>
        <vertAlign val="superscript"/>
        <sz val="12"/>
        <color theme="1"/>
        <rFont val="Gill Sans MT"/>
        <family val="2"/>
      </rPr>
      <t>4/3</t>
    </r>
    <r>
      <rPr>
        <sz val="12"/>
        <color theme="1"/>
        <rFont val="Gill Sans MT"/>
        <family val="2"/>
      </rPr>
      <t xml:space="preserve"> ]</t>
    </r>
  </si>
  <si>
    <r>
      <t>W</t>
    </r>
    <r>
      <rPr>
        <vertAlign val="subscript"/>
        <sz val="12"/>
        <color theme="1"/>
        <rFont val="Gill Sans MT"/>
        <family val="2"/>
      </rPr>
      <t>T</t>
    </r>
  </si>
  <si>
    <r>
      <t>H</t>
    </r>
    <r>
      <rPr>
        <vertAlign val="subscript"/>
        <sz val="12"/>
        <color theme="1"/>
        <rFont val="Gill Sans MT"/>
        <family val="2"/>
      </rPr>
      <t>T</t>
    </r>
  </si>
  <si>
    <r>
      <t>A</t>
    </r>
    <r>
      <rPr>
        <vertAlign val="subscript"/>
        <sz val="12"/>
        <color theme="1"/>
        <rFont val="Gill Sans MT"/>
        <family val="2"/>
      </rPr>
      <t>T</t>
    </r>
  </si>
  <si>
    <r>
      <t>P</t>
    </r>
    <r>
      <rPr>
        <vertAlign val="subscript"/>
        <sz val="12"/>
        <color theme="1"/>
        <rFont val="Gill Sans MT"/>
        <family val="2"/>
      </rPr>
      <t>T</t>
    </r>
  </si>
  <si>
    <r>
      <t>R</t>
    </r>
    <r>
      <rPr>
        <vertAlign val="subscript"/>
        <sz val="12"/>
        <color theme="1"/>
        <rFont val="Gill Sans MT"/>
        <family val="2"/>
      </rPr>
      <t>T</t>
    </r>
  </si>
  <si>
    <r>
      <t>V</t>
    </r>
    <r>
      <rPr>
        <vertAlign val="subscript"/>
        <sz val="12"/>
        <color theme="1"/>
        <rFont val="Gill Sans MT"/>
        <family val="2"/>
      </rPr>
      <t>T</t>
    </r>
  </si>
  <si>
    <r>
      <t>V</t>
    </r>
    <r>
      <rPr>
        <vertAlign val="subscript"/>
        <sz val="12"/>
        <color theme="1"/>
        <rFont val="Gill Sans MT"/>
        <family val="2"/>
      </rPr>
      <t>T</t>
    </r>
    <r>
      <rPr>
        <sz val="12"/>
        <color theme="1"/>
        <rFont val="Gill Sans MT"/>
        <family val="2"/>
      </rPr>
      <t>²/2g</t>
    </r>
  </si>
  <si>
    <r>
      <t>[ ht = Ke. (V</t>
    </r>
    <r>
      <rPr>
        <vertAlign val="subscript"/>
        <sz val="12"/>
        <color theme="1"/>
        <rFont val="Gill Sans MT"/>
        <family val="2"/>
      </rPr>
      <t>1</t>
    </r>
    <r>
      <rPr>
        <sz val="12"/>
        <color theme="1"/>
        <rFont val="Gill Sans MT"/>
        <family val="2"/>
      </rPr>
      <t>-V</t>
    </r>
    <r>
      <rPr>
        <vertAlign val="subscript"/>
        <sz val="12"/>
        <color theme="1"/>
        <rFont val="Gill Sans MT"/>
        <family val="2"/>
      </rPr>
      <t>2</t>
    </r>
    <r>
      <rPr>
        <sz val="12"/>
        <color theme="1"/>
        <rFont val="Gill Sans MT"/>
        <family val="2"/>
      </rPr>
      <t>)²/2g ]</t>
    </r>
  </si>
  <si>
    <r>
      <t>[ Headloss = n².Vs².Ls/Rs</t>
    </r>
    <r>
      <rPr>
        <vertAlign val="superscript"/>
        <sz val="12"/>
        <color theme="1"/>
        <rFont val="Gill Sans MT"/>
        <family val="2"/>
      </rPr>
      <t>4/3</t>
    </r>
    <r>
      <rPr>
        <sz val="12"/>
        <color theme="1"/>
        <rFont val="Gill Sans MT"/>
        <family val="2"/>
      </rPr>
      <t xml:space="preserve"> ]</t>
    </r>
  </si>
  <si>
    <r>
      <t>K</t>
    </r>
    <r>
      <rPr>
        <vertAlign val="subscript"/>
        <sz val="12"/>
        <color theme="1"/>
        <rFont val="Gill Sans MT"/>
        <family val="2"/>
      </rPr>
      <t>L</t>
    </r>
  </si>
  <si>
    <r>
      <t>[ h</t>
    </r>
    <r>
      <rPr>
        <vertAlign val="subscript"/>
        <sz val="12"/>
        <color theme="1"/>
        <rFont val="Gill Sans MT"/>
        <family val="2"/>
      </rPr>
      <t>H</t>
    </r>
    <r>
      <rPr>
        <sz val="12"/>
        <color theme="1"/>
        <rFont val="Gill Sans MT"/>
        <family val="2"/>
      </rPr>
      <t xml:space="preserve"> = n².Vh².Lh/Rh</t>
    </r>
    <r>
      <rPr>
        <vertAlign val="superscript"/>
        <sz val="12"/>
        <color theme="1"/>
        <rFont val="Gill Sans MT"/>
        <family val="2"/>
      </rPr>
      <t>4/3</t>
    </r>
    <r>
      <rPr>
        <sz val="12"/>
        <color theme="1"/>
        <rFont val="Gill Sans MT"/>
        <family val="2"/>
      </rPr>
      <t xml:space="preserve"> ]</t>
    </r>
  </si>
  <si>
    <r>
      <t>h</t>
    </r>
    <r>
      <rPr>
        <vertAlign val="subscript"/>
        <sz val="12"/>
        <color theme="1"/>
        <rFont val="Gill Sans MT"/>
        <family val="2"/>
      </rPr>
      <t>H</t>
    </r>
  </si>
  <si>
    <r>
      <t>[ Headloss = h</t>
    </r>
    <r>
      <rPr>
        <vertAlign val="subscript"/>
        <sz val="12"/>
        <color theme="1"/>
        <rFont val="Gill Sans MT"/>
        <family val="2"/>
      </rPr>
      <t>H</t>
    </r>
    <r>
      <rPr>
        <sz val="12"/>
        <color theme="1"/>
        <rFont val="Gill Sans MT"/>
        <family val="2"/>
      </rPr>
      <t xml:space="preserve"> + h</t>
    </r>
    <r>
      <rPr>
        <vertAlign val="subscript"/>
        <sz val="12"/>
        <color theme="1"/>
        <rFont val="Gill Sans MT"/>
        <family val="2"/>
      </rPr>
      <t>C</t>
    </r>
    <r>
      <rPr>
        <sz val="12"/>
        <color theme="1"/>
        <rFont val="Gill Sans MT"/>
        <family val="2"/>
      </rPr>
      <t>]</t>
    </r>
  </si>
  <si>
    <r>
      <t>[ Headloss = (f.L.v</t>
    </r>
    <r>
      <rPr>
        <vertAlign val="superscript"/>
        <sz val="12"/>
        <color theme="1"/>
        <rFont val="Gill Sans MT"/>
        <family val="2"/>
      </rPr>
      <t>2</t>
    </r>
    <r>
      <rPr>
        <sz val="12"/>
        <color theme="1"/>
        <rFont val="Gill Sans MT"/>
        <family val="2"/>
      </rPr>
      <t>)/2.g.d]</t>
    </r>
  </si>
  <si>
    <r>
      <t>[ A = D</t>
    </r>
    <r>
      <rPr>
        <vertAlign val="superscript"/>
        <sz val="12"/>
        <color theme="1"/>
        <rFont val="Gill Sans MT"/>
        <family val="2"/>
      </rPr>
      <t>2</t>
    </r>
    <r>
      <rPr>
        <sz val="12"/>
        <color theme="1"/>
        <rFont val="Gill Sans MT"/>
        <family val="2"/>
      </rPr>
      <t>/2 +pi().D</t>
    </r>
    <r>
      <rPr>
        <vertAlign val="superscript"/>
        <sz val="12"/>
        <color theme="1"/>
        <rFont val="Gill Sans MT"/>
        <family val="2"/>
      </rPr>
      <t>2</t>
    </r>
    <r>
      <rPr>
        <sz val="12"/>
        <color theme="1"/>
        <rFont val="Gill Sans MT"/>
        <family val="2"/>
      </rPr>
      <t>/8]</t>
    </r>
  </si>
  <si>
    <r>
      <t>[ HL = (Q/A)</t>
    </r>
    <r>
      <rPr>
        <vertAlign val="superscript"/>
        <sz val="12"/>
        <color theme="1"/>
        <rFont val="Gill Sans MT"/>
        <family val="2"/>
      </rPr>
      <t xml:space="preserve">2. </t>
    </r>
    <r>
      <rPr>
        <sz val="12"/>
        <color theme="1"/>
        <rFont val="Gill Sans MT"/>
        <family val="2"/>
      </rPr>
      <t>n²Lt/Rt</t>
    </r>
    <r>
      <rPr>
        <vertAlign val="superscript"/>
        <sz val="12"/>
        <color theme="1"/>
        <rFont val="Gill Sans MT"/>
        <family val="2"/>
      </rPr>
      <t>4/3</t>
    </r>
    <r>
      <rPr>
        <sz val="12"/>
        <color theme="1"/>
        <rFont val="Gill Sans MT"/>
        <family val="2"/>
      </rPr>
      <t xml:space="preserve"> ]</t>
    </r>
  </si>
  <si>
    <r>
      <t>H</t>
    </r>
    <r>
      <rPr>
        <vertAlign val="subscript"/>
        <sz val="12"/>
        <rFont val="Gill Sans MT"/>
        <family val="2"/>
      </rPr>
      <t>contraction</t>
    </r>
    <r>
      <rPr>
        <sz val="12"/>
        <rFont val="Gill Sans MT"/>
        <family val="2"/>
      </rPr>
      <t>=kc*V</t>
    </r>
    <r>
      <rPr>
        <vertAlign val="superscript"/>
        <sz val="12"/>
        <rFont val="Gill Sans MT"/>
        <family val="2"/>
      </rPr>
      <t>2</t>
    </r>
    <r>
      <rPr>
        <sz val="12"/>
        <rFont val="Gill Sans MT"/>
        <family val="2"/>
      </rPr>
      <t>/2g</t>
    </r>
  </si>
  <si>
    <r>
      <t>V</t>
    </r>
    <r>
      <rPr>
        <vertAlign val="superscript"/>
        <sz val="12"/>
        <rFont val="Gill Sans MT"/>
        <family val="2"/>
      </rPr>
      <t>2</t>
    </r>
    <r>
      <rPr>
        <sz val="12"/>
        <rFont val="Gill Sans MT"/>
        <family val="2"/>
      </rPr>
      <t>/(2*g)</t>
    </r>
  </si>
  <si>
    <r>
      <t>m</t>
    </r>
    <r>
      <rPr>
        <vertAlign val="superscript"/>
        <sz val="12"/>
        <color theme="1"/>
        <rFont val="Gill Sans MT"/>
        <family val="2"/>
      </rPr>
      <t>3</t>
    </r>
    <r>
      <rPr>
        <sz val="12"/>
        <color theme="1"/>
        <rFont val="Gill Sans MT"/>
        <family val="2"/>
      </rPr>
      <t>/s</t>
    </r>
  </si>
  <si>
    <r>
      <t>D</t>
    </r>
    <r>
      <rPr>
        <vertAlign val="subscript"/>
        <sz val="12"/>
        <color theme="1"/>
        <rFont val="Gill Sans MT"/>
        <family val="2"/>
      </rPr>
      <t>p</t>
    </r>
  </si>
  <si>
    <r>
      <t>A</t>
    </r>
    <r>
      <rPr>
        <vertAlign val="subscript"/>
        <sz val="12"/>
        <color theme="1"/>
        <rFont val="Gill Sans MT"/>
        <family val="2"/>
      </rPr>
      <t>P</t>
    </r>
  </si>
  <si>
    <r>
      <t>m</t>
    </r>
    <r>
      <rPr>
        <vertAlign val="superscript"/>
        <sz val="12"/>
        <color theme="1"/>
        <rFont val="Gill Sans MT"/>
        <family val="2"/>
      </rPr>
      <t>2</t>
    </r>
  </si>
  <si>
    <r>
      <t>V</t>
    </r>
    <r>
      <rPr>
        <vertAlign val="subscript"/>
        <sz val="12"/>
        <color theme="1"/>
        <rFont val="Gill Sans MT"/>
        <family val="2"/>
      </rPr>
      <t>p</t>
    </r>
  </si>
  <si>
    <r>
      <t>(H</t>
    </r>
    <r>
      <rPr>
        <vertAlign val="subscript"/>
        <sz val="12"/>
        <color theme="1"/>
        <rFont val="Gill Sans MT"/>
        <family val="2"/>
      </rPr>
      <t xml:space="preserve">f </t>
    </r>
    <r>
      <rPr>
        <sz val="12"/>
        <color theme="1"/>
        <rFont val="Gill Sans MT"/>
        <family val="2"/>
      </rPr>
      <t>= fLV</t>
    </r>
    <r>
      <rPr>
        <vertAlign val="superscript"/>
        <sz val="12"/>
        <color theme="1"/>
        <rFont val="Gill Sans MT"/>
        <family val="2"/>
      </rPr>
      <t>2</t>
    </r>
    <r>
      <rPr>
        <sz val="12"/>
        <color theme="1"/>
        <rFont val="Gill Sans MT"/>
        <family val="2"/>
      </rPr>
      <t>/2gD )</t>
    </r>
  </si>
  <si>
    <r>
      <t>H</t>
    </r>
    <r>
      <rPr>
        <b/>
        <vertAlign val="subscript"/>
        <sz val="12"/>
        <color theme="1"/>
        <rFont val="Gill Sans MT"/>
        <family val="2"/>
      </rPr>
      <t>f</t>
    </r>
  </si>
  <si>
    <r>
      <t>C</t>
    </r>
    <r>
      <rPr>
        <vertAlign val="subscript"/>
        <sz val="12"/>
        <color theme="1"/>
        <rFont val="Gill Sans MT"/>
        <family val="2"/>
      </rPr>
      <t>t</t>
    </r>
  </si>
  <si>
    <r>
      <t>m</t>
    </r>
    <r>
      <rPr>
        <vertAlign val="superscript"/>
        <sz val="12"/>
        <rFont val="Gill Sans MT"/>
        <family val="2"/>
      </rPr>
      <t>3</t>
    </r>
    <r>
      <rPr>
        <sz val="12"/>
        <rFont val="Gill Sans MT"/>
        <family val="2"/>
      </rPr>
      <t>/s</t>
    </r>
  </si>
  <si>
    <r>
      <t>D</t>
    </r>
    <r>
      <rPr>
        <vertAlign val="subscript"/>
        <sz val="12"/>
        <rFont val="Gill Sans MT"/>
        <family val="2"/>
      </rPr>
      <t>p</t>
    </r>
  </si>
  <si>
    <r>
      <t>H</t>
    </r>
    <r>
      <rPr>
        <vertAlign val="subscript"/>
        <sz val="12"/>
        <rFont val="Gill Sans MT"/>
        <family val="2"/>
      </rPr>
      <t>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</si>
</sst>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43" formatCode="_(* #,##0.00_);_(* \(#,##0.00\);_(* &quot;-&quot;??_);_(@_)"/>
    <numFmt numFmtId="164" formatCode="0.00000000"/>
    <numFmt numFmtId="165" formatCode="0.0"/>
    <numFmt numFmtId="166" formatCode="0.0%"/>
    <numFmt numFmtId="167" formatCode="0.000"/>
    <numFmt numFmtId="168" formatCode="0.00_)"/>
    <numFmt numFmtId="169" formatCode="0.000000"/>
    <numFmt numFmtId="170" formatCode="0.0000"/>
    <numFmt numFmtId="171" formatCode="_-* #,##0_-;\-* #,##0_-;_-* &quot;-&quot;??_-;_-@_-"/>
    <numFmt numFmtId="172" formatCode="0.0000000000"/>
    <numFmt numFmtId="173" formatCode="0.00000"/>
    <numFmt numFmtId="174" formatCode="0.000000000000000"/>
    <numFmt numFmtId="175" formatCode="0.00.E+00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Gill Sans MT"/>
      <family val="2"/>
    </font>
    <font>
      <sz val="10"/>
      <name val="Gill Sans MT"/>
      <family val="2"/>
    </font>
    <font>
      <b/>
      <sz val="10"/>
      <color indexed="8"/>
      <name val="Gill Sans MT"/>
      <family val="2"/>
    </font>
    <font>
      <sz val="10"/>
      <color indexed="8"/>
      <name val="Gill Sans MT"/>
      <family val="2"/>
    </font>
    <font>
      <sz val="10"/>
      <name val="Courier New"/>
      <family val="3"/>
    </font>
    <font>
      <sz val="10"/>
      <color indexed="53"/>
      <name val="Gill Sans MT"/>
      <family val="2"/>
    </font>
    <font>
      <vertAlign val="superscript"/>
      <sz val="10"/>
      <name val="Gill Sans MT"/>
      <family val="2"/>
    </font>
    <font>
      <sz val="10"/>
      <color rgb="FF000000"/>
      <name val="Gill Sans MT"/>
      <family val="2"/>
    </font>
    <font>
      <b/>
      <vertAlign val="superscript"/>
      <sz val="10"/>
      <color indexed="8"/>
      <name val="Gill Sans MT"/>
      <family val="2"/>
    </font>
    <font>
      <b/>
      <sz val="14"/>
      <name val="Gill Sans MT"/>
      <family val="2"/>
    </font>
    <font>
      <sz val="10"/>
      <color theme="1"/>
      <name val="Gill Sans MT"/>
      <family val="2"/>
    </font>
    <font>
      <b/>
      <sz val="10"/>
      <color theme="1"/>
      <name val="Gill Sans MT"/>
      <family val="2"/>
    </font>
    <font>
      <sz val="10"/>
      <name val="Arial"/>
      <family val="2"/>
    </font>
    <font>
      <sz val="10"/>
      <color rgb="FFFF0000"/>
      <name val="Gill Sans MT"/>
      <family val="2"/>
    </font>
    <font>
      <sz val="10"/>
      <color theme="1"/>
      <name val="Tahoma"/>
      <family val="2"/>
    </font>
    <font>
      <sz val="10"/>
      <color theme="5" tint="-0.249977111117893"/>
      <name val="Gill Sans MT"/>
      <family val="2"/>
    </font>
    <font>
      <sz val="10"/>
      <color rgb="FF00B0F0"/>
      <name val="Gill Sans MT"/>
      <family val="2"/>
    </font>
    <font>
      <sz val="10"/>
      <color theme="1"/>
      <name val="Calibri"/>
      <family val="2"/>
    </font>
    <font>
      <vertAlign val="superscript"/>
      <sz val="10"/>
      <color theme="1"/>
      <name val="Gill Sans MT"/>
      <family val="2"/>
    </font>
    <font>
      <sz val="9"/>
      <color theme="1"/>
      <name val="Gill Sans MT"/>
      <family val="2"/>
    </font>
    <font>
      <sz val="10"/>
      <color theme="9"/>
      <name val="Gill Sans MT"/>
      <family val="2"/>
    </font>
    <font>
      <b/>
      <sz val="10"/>
      <color rgb="FFFF0000"/>
      <name val="Gill Sans MT"/>
      <family val="2"/>
    </font>
    <font>
      <b/>
      <i/>
      <sz val="10"/>
      <color theme="1"/>
      <name val="Gill Sans MT"/>
      <family val="2"/>
    </font>
    <font>
      <i/>
      <sz val="10"/>
      <color theme="1"/>
      <name val="Gill Sans MT"/>
      <family val="2"/>
    </font>
    <font>
      <b/>
      <sz val="12"/>
      <color theme="1"/>
      <name val="Gill Sans MT"/>
      <family val="2"/>
    </font>
    <font>
      <b/>
      <sz val="11"/>
      <color rgb="FFFF0000"/>
      <name val="Gill Sans MT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1"/>
      <name val="Gill Sans MT"/>
      <family val="2"/>
    </font>
    <font>
      <sz val="11"/>
      <name val="Calibri"/>
      <family val="2"/>
      <scheme val="minor"/>
    </font>
    <font>
      <sz val="12"/>
      <color theme="1"/>
      <name val="Gill Sans MT"/>
      <family val="2"/>
    </font>
    <font>
      <vertAlign val="subscript"/>
      <sz val="12"/>
      <color theme="1"/>
      <name val="Gill Sans MT"/>
      <family val="2"/>
    </font>
    <font>
      <sz val="12"/>
      <color theme="1"/>
      <name val="Calibri"/>
      <family val="2"/>
    </font>
    <font>
      <sz val="12"/>
      <name val="Gill Sans MT"/>
      <family val="2"/>
    </font>
    <font>
      <vertAlign val="superscript"/>
      <sz val="12"/>
      <color theme="1"/>
      <name val="Gill Sans MT"/>
      <family val="2"/>
    </font>
    <font>
      <vertAlign val="subscript"/>
      <sz val="12"/>
      <color theme="1"/>
      <name val="Calibri"/>
      <family val="2"/>
    </font>
    <font>
      <vertAlign val="subscript"/>
      <sz val="12"/>
      <name val="Gill Sans MT"/>
      <family val="2"/>
    </font>
    <font>
      <sz val="12"/>
      <color theme="1"/>
      <name val="Calibri"/>
      <family val="2"/>
      <scheme val="minor"/>
    </font>
    <font>
      <vertAlign val="subscript"/>
      <sz val="12"/>
      <color theme="1"/>
      <name val="Calibri"/>
      <family val="2"/>
      <scheme val="minor"/>
    </font>
    <font>
      <sz val="12"/>
      <color rgb="FF00B050"/>
      <name val="Gill Sans MT"/>
      <family val="2"/>
    </font>
    <font>
      <sz val="12"/>
      <color theme="4"/>
      <name val="Gill Sans MT"/>
      <family val="2"/>
    </font>
    <font>
      <b/>
      <sz val="12"/>
      <color rgb="FF00B050"/>
      <name val="Gill Sans MT"/>
      <family val="2"/>
    </font>
    <font>
      <b/>
      <sz val="12"/>
      <name val="Gill Sans MT"/>
      <family val="2"/>
    </font>
    <font>
      <sz val="12"/>
      <color rgb="FFFF0000"/>
      <name val="Gill Sans MT"/>
      <family val="2"/>
    </font>
    <font>
      <vertAlign val="superscript"/>
      <sz val="12"/>
      <name val="Gill Sans MT"/>
      <family val="2"/>
    </font>
    <font>
      <b/>
      <vertAlign val="subscript"/>
      <sz val="12"/>
      <color theme="1"/>
      <name val="Gill Sans MT"/>
      <family val="2"/>
    </font>
    <font>
      <sz val="12"/>
      <name val="Calibri"/>
      <family val="2"/>
    </font>
    <font>
      <i/>
      <sz val="12"/>
      <color theme="1"/>
      <name val="Gill Sans MT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7" fillId="0" borderId="0"/>
    <xf numFmtId="9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5" fillId="0" borderId="0"/>
  </cellStyleXfs>
  <cellXfs count="296">
    <xf numFmtId="0" fontId="0" fillId="0" borderId="0" xfId="0"/>
    <xf numFmtId="0" fontId="3" fillId="0" borderId="0" xfId="2" applyFont="1"/>
    <xf numFmtId="0" fontId="4" fillId="0" borderId="0" xfId="2" applyFont="1"/>
    <xf numFmtId="0" fontId="6" fillId="0" borderId="0" xfId="2" applyFont="1"/>
    <xf numFmtId="164" fontId="3" fillId="0" borderId="0" xfId="3" applyNumberFormat="1" applyFont="1"/>
    <xf numFmtId="0" fontId="3" fillId="2" borderId="0" xfId="2" applyFont="1" applyFill="1"/>
    <xf numFmtId="0" fontId="4" fillId="2" borderId="0" xfId="2" applyFont="1" applyFill="1"/>
    <xf numFmtId="165" fontId="4" fillId="0" borderId="0" xfId="2" applyNumberFormat="1" applyFont="1"/>
    <xf numFmtId="2" fontId="4" fillId="0" borderId="0" xfId="2" applyNumberFormat="1" applyFont="1"/>
    <xf numFmtId="2" fontId="8" fillId="0" borderId="0" xfId="2" applyNumberFormat="1" applyFont="1" applyAlignment="1">
      <alignment vertical="center"/>
    </xf>
    <xf numFmtId="2" fontId="6" fillId="0" borderId="0" xfId="2" applyNumberFormat="1" applyFont="1"/>
    <xf numFmtId="0" fontId="6" fillId="3" borderId="0" xfId="2" applyFont="1" applyFill="1"/>
    <xf numFmtId="0" fontId="6" fillId="0" borderId="0" xfId="2" applyFont="1" applyAlignment="1">
      <alignment vertical="center"/>
    </xf>
    <xf numFmtId="0" fontId="10" fillId="0" borderId="0" xfId="2" applyFont="1" applyAlignment="1">
      <alignment horizontal="center" readingOrder="1"/>
    </xf>
    <xf numFmtId="2" fontId="3" fillId="0" borderId="0" xfId="2" applyNumberFormat="1" applyFont="1" applyAlignment="1">
      <alignment horizontal="center"/>
    </xf>
    <xf numFmtId="0" fontId="5" fillId="0" borderId="1" xfId="2" applyFont="1" applyBorder="1" applyAlignment="1">
      <alignment horizontal="center" vertical="center" wrapText="1"/>
    </xf>
    <xf numFmtId="0" fontId="5" fillId="0" borderId="1" xfId="2" applyFont="1" applyBorder="1" applyAlignment="1">
      <alignment horizontal="center" wrapText="1"/>
    </xf>
    <xf numFmtId="0" fontId="4" fillId="0" borderId="1" xfId="2" applyFont="1" applyBorder="1" applyAlignment="1">
      <alignment horizontal="left"/>
    </xf>
    <xf numFmtId="167" fontId="4" fillId="0" borderId="1" xfId="2" applyNumberFormat="1" applyFont="1" applyBorder="1" applyAlignment="1">
      <alignment horizontal="center" vertical="center"/>
    </xf>
    <xf numFmtId="2" fontId="6" fillId="0" borderId="1" xfId="2" applyNumberFormat="1" applyFont="1" applyBorder="1" applyAlignment="1">
      <alignment horizontal="right" vertical="center"/>
    </xf>
    <xf numFmtId="0" fontId="6" fillId="0" borderId="1" xfId="2" applyFont="1" applyBorder="1" applyAlignment="1">
      <alignment horizontal="right" vertical="center"/>
    </xf>
    <xf numFmtId="169" fontId="6" fillId="0" borderId="1" xfId="2" applyNumberFormat="1" applyFont="1" applyBorder="1" applyAlignment="1">
      <alignment horizontal="right" vertical="center"/>
    </xf>
    <xf numFmtId="10" fontId="6" fillId="0" borderId="1" xfId="1" applyNumberFormat="1" applyFont="1" applyFill="1" applyBorder="1" applyAlignment="1">
      <alignment horizontal="right" vertical="center"/>
    </xf>
    <xf numFmtId="9" fontId="6" fillId="0" borderId="1" xfId="1" applyFont="1" applyFill="1" applyBorder="1" applyAlignment="1">
      <alignment horizontal="right" vertical="center"/>
    </xf>
    <xf numFmtId="167" fontId="6" fillId="0" borderId="1" xfId="2" applyNumberFormat="1" applyFont="1" applyBorder="1" applyAlignment="1">
      <alignment horizontal="right" vertical="center"/>
    </xf>
    <xf numFmtId="10" fontId="6" fillId="3" borderId="1" xfId="1" applyNumberFormat="1" applyFont="1" applyFill="1" applyBorder="1" applyAlignment="1">
      <alignment horizontal="right" vertical="center"/>
    </xf>
    <xf numFmtId="0" fontId="5" fillId="0" borderId="1" xfId="2" applyFont="1" applyBorder="1" applyAlignment="1">
      <alignment vertical="center"/>
    </xf>
    <xf numFmtId="2" fontId="5" fillId="0" borderId="1" xfId="6" applyNumberFormat="1" applyFont="1" applyFill="1" applyBorder="1" applyAlignment="1">
      <alignment horizontal="right" vertical="center"/>
    </xf>
    <xf numFmtId="0" fontId="5" fillId="0" borderId="5" xfId="2" applyFont="1" applyBorder="1" applyAlignment="1">
      <alignment vertical="center"/>
    </xf>
    <xf numFmtId="43" fontId="5" fillId="0" borderId="5" xfId="2" applyNumberFormat="1" applyFont="1" applyBorder="1" applyAlignment="1">
      <alignment vertical="center"/>
    </xf>
    <xf numFmtId="43" fontId="5" fillId="0" borderId="1" xfId="2" applyNumberFormat="1" applyFont="1" applyBorder="1" applyAlignment="1">
      <alignment vertical="center"/>
    </xf>
    <xf numFmtId="43" fontId="5" fillId="0" borderId="0" xfId="2" applyNumberFormat="1" applyFont="1" applyAlignment="1">
      <alignment vertical="center"/>
    </xf>
    <xf numFmtId="0" fontId="5" fillId="0" borderId="0" xfId="2" applyFont="1" applyAlignment="1">
      <alignment vertical="center"/>
    </xf>
    <xf numFmtId="10" fontId="5" fillId="0" borderId="1" xfId="4" quotePrefix="1" applyNumberFormat="1" applyFont="1" applyBorder="1" applyAlignment="1">
      <alignment horizontal="center" vertical="center"/>
    </xf>
    <xf numFmtId="2" fontId="6" fillId="0" borderId="0" xfId="2" applyNumberFormat="1" applyFont="1" applyAlignment="1">
      <alignment horizontal="right" vertical="center"/>
    </xf>
    <xf numFmtId="10" fontId="6" fillId="0" borderId="0" xfId="2" applyNumberFormat="1" applyFont="1" applyAlignment="1">
      <alignment horizontal="right" vertical="center"/>
    </xf>
    <xf numFmtId="43" fontId="6" fillId="0" borderId="0" xfId="2" applyNumberFormat="1" applyFont="1"/>
    <xf numFmtId="0" fontId="12" fillId="0" borderId="0" xfId="2" applyFont="1"/>
    <xf numFmtId="2" fontId="6" fillId="0" borderId="1" xfId="2" applyNumberFormat="1" applyFont="1" applyBorder="1" applyAlignment="1">
      <alignment horizontal="center" vertical="center"/>
    </xf>
    <xf numFmtId="2" fontId="4" fillId="0" borderId="1" xfId="2" applyNumberFormat="1" applyFont="1" applyBorder="1" applyAlignment="1">
      <alignment horizontal="center" vertical="center"/>
    </xf>
    <xf numFmtId="10" fontId="4" fillId="0" borderId="1" xfId="4" applyNumberFormat="1" applyFont="1" applyFill="1" applyBorder="1" applyAlignment="1">
      <alignment horizontal="center" vertical="center"/>
    </xf>
    <xf numFmtId="2" fontId="5" fillId="0" borderId="1" xfId="2" applyNumberFormat="1" applyFont="1" applyBorder="1" applyAlignment="1">
      <alignment horizontal="center" vertical="center"/>
    </xf>
    <xf numFmtId="0" fontId="6" fillId="0" borderId="1" xfId="2" applyFont="1" applyBorder="1" applyAlignment="1">
      <alignment horizontal="center" vertical="center"/>
    </xf>
    <xf numFmtId="1" fontId="6" fillId="0" borderId="1" xfId="2" applyNumberFormat="1" applyFont="1" applyBorder="1" applyAlignment="1">
      <alignment horizontal="center" vertical="center"/>
    </xf>
    <xf numFmtId="171" fontId="6" fillId="0" borderId="1" xfId="5" applyNumberFormat="1" applyFont="1" applyBorder="1" applyAlignment="1">
      <alignment horizontal="center" vertical="center"/>
    </xf>
    <xf numFmtId="1" fontId="6" fillId="0" borderId="1" xfId="5" applyNumberFormat="1" applyFont="1" applyBorder="1" applyAlignment="1">
      <alignment horizontal="center" vertical="center"/>
    </xf>
    <xf numFmtId="1" fontId="3" fillId="0" borderId="1" xfId="2" applyNumberFormat="1" applyFont="1" applyBorder="1" applyAlignment="1">
      <alignment horizontal="center" vertical="center"/>
    </xf>
    <xf numFmtId="1" fontId="5" fillId="0" borderId="1" xfId="6" applyNumberFormat="1" applyFont="1" applyFill="1" applyBorder="1" applyAlignment="1">
      <alignment horizontal="center" vertical="center"/>
    </xf>
    <xf numFmtId="2" fontId="5" fillId="0" borderId="1" xfId="6" applyNumberFormat="1" applyFont="1" applyFill="1" applyBorder="1" applyAlignment="1">
      <alignment horizontal="center" vertical="center"/>
    </xf>
    <xf numFmtId="168" fontId="4" fillId="0" borderId="1" xfId="2" applyNumberFormat="1" applyFont="1" applyBorder="1" applyAlignment="1">
      <alignment horizontal="center" vertical="center"/>
    </xf>
    <xf numFmtId="0" fontId="4" fillId="0" borderId="1" xfId="2" applyFont="1" applyBorder="1" applyAlignment="1">
      <alignment horizontal="right"/>
    </xf>
    <xf numFmtId="43" fontId="5" fillId="0" borderId="1" xfId="6" quotePrefix="1" applyFont="1" applyBorder="1" applyAlignment="1">
      <alignment horizontal="left" vertical="center"/>
    </xf>
    <xf numFmtId="43" fontId="5" fillId="0" borderId="1" xfId="6" applyFont="1" applyBorder="1"/>
    <xf numFmtId="0" fontId="6" fillId="0" borderId="1" xfId="2" applyFont="1" applyBorder="1"/>
    <xf numFmtId="0" fontId="6" fillId="0" borderId="1" xfId="2" applyFont="1" applyBorder="1" applyAlignment="1">
      <alignment horizontal="center"/>
    </xf>
    <xf numFmtId="2" fontId="6" fillId="0" borderId="1" xfId="2" applyNumberFormat="1" applyFont="1" applyBorder="1" applyAlignment="1">
      <alignment horizontal="center"/>
    </xf>
    <xf numFmtId="0" fontId="5" fillId="0" borderId="1" xfId="2" applyFont="1" applyBorder="1" applyAlignment="1">
      <alignment horizontal="center"/>
    </xf>
    <xf numFmtId="0" fontId="5" fillId="0" borderId="1" xfId="2" applyFont="1" applyBorder="1"/>
    <xf numFmtId="0" fontId="6" fillId="0" borderId="1" xfId="2" applyFont="1" applyBorder="1" applyAlignment="1">
      <alignment horizontal="right"/>
    </xf>
    <xf numFmtId="2" fontId="5" fillId="0" borderId="1" xfId="2" applyNumberFormat="1" applyFont="1" applyBorder="1" applyAlignment="1">
      <alignment horizontal="center"/>
    </xf>
    <xf numFmtId="166" fontId="13" fillId="0" borderId="0" xfId="4" applyNumberFormat="1" applyFont="1" applyFill="1" applyAlignment="1">
      <alignment horizontal="center"/>
    </xf>
    <xf numFmtId="2" fontId="13" fillId="0" borderId="0" xfId="4" applyNumberFormat="1" applyFont="1" applyFill="1" applyAlignment="1">
      <alignment horizontal="center"/>
    </xf>
    <xf numFmtId="10" fontId="13" fillId="0" borderId="0" xfId="4" applyNumberFormat="1" applyFont="1" applyFill="1" applyAlignment="1">
      <alignment horizontal="center"/>
    </xf>
    <xf numFmtId="2" fontId="13" fillId="0" borderId="0" xfId="2" applyNumberFormat="1" applyFont="1" applyAlignment="1">
      <alignment horizontal="center"/>
    </xf>
    <xf numFmtId="167" fontId="13" fillId="0" borderId="0" xfId="2" applyNumberFormat="1" applyFont="1" applyAlignment="1">
      <alignment horizontal="center"/>
    </xf>
    <xf numFmtId="166" fontId="13" fillId="0" borderId="0" xfId="2" applyNumberFormat="1" applyFont="1" applyAlignment="1">
      <alignment horizontal="center"/>
    </xf>
    <xf numFmtId="2" fontId="14" fillId="0" borderId="0" xfId="2" applyNumberFormat="1" applyFont="1" applyAlignment="1">
      <alignment horizontal="center"/>
    </xf>
    <xf numFmtId="2" fontId="14" fillId="0" borderId="0" xfId="2" applyNumberFormat="1" applyFont="1" applyAlignment="1">
      <alignment horizontal="center" vertical="center"/>
    </xf>
    <xf numFmtId="0" fontId="4" fillId="0" borderId="0" xfId="2" applyFont="1" applyAlignment="1">
      <alignment horizontal="left" vertical="center"/>
    </xf>
    <xf numFmtId="0" fontId="3" fillId="0" borderId="0" xfId="7" applyFont="1"/>
    <xf numFmtId="0" fontId="4" fillId="0" borderId="0" xfId="7" applyFont="1"/>
    <xf numFmtId="2" fontId="16" fillId="0" borderId="0" xfId="2" applyNumberFormat="1" applyFont="1"/>
    <xf numFmtId="172" fontId="4" fillId="0" borderId="0" xfId="2" applyNumberFormat="1" applyFont="1"/>
    <xf numFmtId="0" fontId="3" fillId="0" borderId="1" xfId="7" applyFont="1" applyBorder="1" applyAlignment="1">
      <alignment horizontal="center" vertical="center"/>
    </xf>
    <xf numFmtId="0" fontId="3" fillId="0" borderId="1" xfId="7" applyFont="1" applyBorder="1" applyAlignment="1">
      <alignment horizontal="center" vertical="center" wrapText="1"/>
    </xf>
    <xf numFmtId="0" fontId="4" fillId="0" borderId="1" xfId="7" applyFont="1" applyBorder="1"/>
    <xf numFmtId="0" fontId="4" fillId="0" borderId="1" xfId="7" applyFont="1" applyBorder="1" applyAlignment="1">
      <alignment horizontal="center"/>
    </xf>
    <xf numFmtId="2" fontId="4" fillId="0" borderId="1" xfId="7" applyNumberFormat="1" applyFont="1" applyBorder="1" applyAlignment="1">
      <alignment horizontal="center" vertical="center"/>
    </xf>
    <xf numFmtId="2" fontId="4" fillId="0" borderId="0" xfId="7" applyNumberFormat="1" applyFont="1"/>
    <xf numFmtId="0" fontId="4" fillId="0" borderId="1" xfId="2" applyFont="1" applyBorder="1"/>
    <xf numFmtId="0" fontId="4" fillId="0" borderId="1" xfId="2" applyFont="1" applyBorder="1" applyAlignment="1">
      <alignment wrapText="1"/>
    </xf>
    <xf numFmtId="0" fontId="4" fillId="0" borderId="0" xfId="2" applyFont="1" applyAlignment="1">
      <alignment horizontal="center"/>
    </xf>
    <xf numFmtId="0" fontId="28" fillId="0" borderId="1" xfId="2" applyFont="1" applyBorder="1" applyAlignment="1">
      <alignment horizontal="center"/>
    </xf>
    <xf numFmtId="10" fontId="16" fillId="4" borderId="1" xfId="4" applyNumberFormat="1" applyFont="1" applyFill="1" applyBorder="1"/>
    <xf numFmtId="10" fontId="4" fillId="0" borderId="0" xfId="4" applyNumberFormat="1" applyFont="1"/>
    <xf numFmtId="0" fontId="28" fillId="0" borderId="0" xfId="2" applyFont="1" applyAlignment="1">
      <alignment horizontal="center"/>
    </xf>
    <xf numFmtId="10" fontId="16" fillId="0" borderId="0" xfId="4" applyNumberFormat="1" applyFont="1" applyFill="1" applyBorder="1"/>
    <xf numFmtId="0" fontId="33" fillId="0" borderId="1" xfId="2" applyFont="1" applyBorder="1" applyAlignment="1">
      <alignment horizontal="center"/>
    </xf>
    <xf numFmtId="10" fontId="4" fillId="5" borderId="1" xfId="4" applyNumberFormat="1" applyFont="1" applyFill="1" applyBorder="1"/>
    <xf numFmtId="0" fontId="33" fillId="0" borderId="0" xfId="2" applyFont="1" applyAlignment="1">
      <alignment horizontal="center"/>
    </xf>
    <xf numFmtId="10" fontId="4" fillId="0" borderId="0" xfId="4" applyNumberFormat="1" applyFont="1" applyFill="1" applyBorder="1"/>
    <xf numFmtId="10" fontId="4" fillId="0" borderId="0" xfId="2" applyNumberFormat="1" applyFont="1"/>
    <xf numFmtId="0" fontId="33" fillId="0" borderId="1" xfId="2" applyFont="1" applyBorder="1" applyAlignment="1">
      <alignment horizontal="center" wrapText="1"/>
    </xf>
    <xf numFmtId="0" fontId="33" fillId="0" borderId="0" xfId="2" applyFont="1" applyAlignment="1">
      <alignment horizontal="center" wrapText="1"/>
    </xf>
    <xf numFmtId="2" fontId="16" fillId="4" borderId="0" xfId="2" applyNumberFormat="1" applyFont="1" applyFill="1"/>
    <xf numFmtId="0" fontId="4" fillId="0" borderId="1" xfId="2" applyFont="1" applyBorder="1" applyAlignment="1">
      <alignment horizontal="center"/>
    </xf>
    <xf numFmtId="2" fontId="4" fillId="0" borderId="1" xfId="2" applyNumberFormat="1" applyFont="1" applyBorder="1" applyAlignment="1">
      <alignment horizontal="center"/>
    </xf>
    <xf numFmtId="0" fontId="4" fillId="0" borderId="6" xfId="2" applyFont="1" applyBorder="1" applyAlignment="1">
      <alignment horizontal="center"/>
    </xf>
    <xf numFmtId="0" fontId="4" fillId="0" borderId="7" xfId="2" applyFont="1" applyBorder="1"/>
    <xf numFmtId="0" fontId="4" fillId="0" borderId="5" xfId="2" applyFont="1" applyBorder="1" applyAlignment="1">
      <alignment vertical="center"/>
    </xf>
    <xf numFmtId="9" fontId="4" fillId="0" borderId="1" xfId="4" applyFont="1" applyBorder="1" applyAlignment="1">
      <alignment horizontal="center"/>
    </xf>
    <xf numFmtId="166" fontId="4" fillId="0" borderId="1" xfId="4" applyNumberFormat="1" applyFont="1" applyBorder="1" applyAlignment="1">
      <alignment horizontal="center"/>
    </xf>
    <xf numFmtId="9" fontId="4" fillId="0" borderId="0" xfId="4" applyFont="1"/>
    <xf numFmtId="0" fontId="4" fillId="0" borderId="7" xfId="2" applyFont="1" applyBorder="1" applyAlignment="1">
      <alignment horizontal="center"/>
    </xf>
    <xf numFmtId="43" fontId="5" fillId="0" borderId="0" xfId="6" quotePrefix="1" applyFont="1" applyBorder="1" applyAlignment="1">
      <alignment horizontal="left" vertical="center"/>
    </xf>
    <xf numFmtId="10" fontId="5" fillId="0" borderId="0" xfId="4" quotePrefix="1" applyNumberFormat="1" applyFont="1" applyBorder="1" applyAlignment="1">
      <alignment horizontal="center" vertical="center"/>
    </xf>
    <xf numFmtId="43" fontId="5" fillId="0" borderId="0" xfId="6" applyFont="1" applyBorder="1"/>
    <xf numFmtId="165" fontId="5" fillId="0" borderId="1" xfId="2" applyNumberFormat="1" applyFont="1" applyBorder="1" applyAlignment="1">
      <alignment horizontal="center" vertical="center"/>
    </xf>
    <xf numFmtId="43" fontId="4" fillId="0" borderId="1" xfId="2" applyNumberFormat="1" applyFont="1" applyBorder="1"/>
    <xf numFmtId="166" fontId="4" fillId="0" borderId="0" xfId="1" applyNumberFormat="1" applyFont="1"/>
    <xf numFmtId="10" fontId="4" fillId="0" borderId="0" xfId="1" applyNumberFormat="1" applyFont="1"/>
    <xf numFmtId="0" fontId="13" fillId="0" borderId="0" xfId="0" applyFont="1"/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center" vertical="center"/>
    </xf>
    <xf numFmtId="2" fontId="13" fillId="0" borderId="0" xfId="0" applyNumberFormat="1" applyFont="1" applyAlignment="1">
      <alignment horizontal="right" vertical="center"/>
    </xf>
    <xf numFmtId="0" fontId="4" fillId="0" borderId="0" xfId="0" applyFont="1"/>
    <xf numFmtId="0" fontId="4" fillId="0" borderId="0" xfId="0" applyFont="1" applyAlignment="1">
      <alignment horizontal="center"/>
    </xf>
    <xf numFmtId="2" fontId="4" fillId="0" borderId="0" xfId="0" applyNumberFormat="1" applyFont="1" applyAlignment="1">
      <alignment horizontal="right" vertical="center"/>
    </xf>
    <xf numFmtId="167" fontId="13" fillId="0" borderId="0" xfId="0" applyNumberFormat="1" applyFont="1" applyAlignment="1">
      <alignment horizontal="right" vertical="center"/>
    </xf>
    <xf numFmtId="2" fontId="13" fillId="0" borderId="0" xfId="0" applyNumberFormat="1" applyFont="1" applyAlignment="1">
      <alignment horizontal="center"/>
    </xf>
    <xf numFmtId="2" fontId="13" fillId="0" borderId="0" xfId="0" applyNumberFormat="1" applyFont="1"/>
    <xf numFmtId="167" fontId="13" fillId="0" borderId="0" xfId="0" applyNumberFormat="1" applyFont="1"/>
    <xf numFmtId="167" fontId="18" fillId="0" borderId="0" xfId="0" applyNumberFormat="1" applyFont="1" applyAlignment="1">
      <alignment horizontal="center"/>
    </xf>
    <xf numFmtId="167" fontId="16" fillId="0" borderId="0" xfId="0" applyNumberFormat="1" applyFont="1"/>
    <xf numFmtId="167" fontId="19" fillId="0" borderId="0" xfId="0" applyNumberFormat="1" applyFont="1"/>
    <xf numFmtId="167" fontId="4" fillId="0" borderId="0" xfId="0" applyNumberFormat="1" applyFont="1"/>
    <xf numFmtId="0" fontId="14" fillId="0" borderId="0" xfId="0" applyFont="1"/>
    <xf numFmtId="174" fontId="13" fillId="0" borderId="0" xfId="0" applyNumberFormat="1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167" fontId="4" fillId="0" borderId="0" xfId="0" applyNumberFormat="1" applyFont="1" applyAlignment="1">
      <alignment horizontal="center"/>
    </xf>
    <xf numFmtId="0" fontId="13" fillId="0" borderId="1" xfId="0" applyFont="1" applyBorder="1"/>
    <xf numFmtId="2" fontId="13" fillId="0" borderId="1" xfId="0" applyNumberFormat="1" applyFont="1" applyBorder="1"/>
    <xf numFmtId="0" fontId="23" fillId="0" borderId="0" xfId="0" applyFont="1"/>
    <xf numFmtId="0" fontId="13" fillId="0" borderId="1" xfId="0" applyFont="1" applyBorder="1" applyAlignment="1">
      <alignment horizontal="center" vertical="center"/>
    </xf>
    <xf numFmtId="2" fontId="13" fillId="0" borderId="1" xfId="0" applyNumberFormat="1" applyFont="1" applyBorder="1" applyAlignment="1">
      <alignment horizontal="right" vertical="center"/>
    </xf>
    <xf numFmtId="0" fontId="3" fillId="0" borderId="0" xfId="0" applyFont="1"/>
    <xf numFmtId="0" fontId="34" fillId="0" borderId="0" xfId="0" applyFont="1"/>
    <xf numFmtId="0" fontId="1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2" fontId="0" fillId="0" borderId="0" xfId="0" applyNumberFormat="1"/>
    <xf numFmtId="0" fontId="17" fillId="0" borderId="0" xfId="0" applyFont="1"/>
    <xf numFmtId="167" fontId="13" fillId="0" borderId="0" xfId="0" applyNumberFormat="1" applyFont="1" applyAlignment="1">
      <alignment horizontal="center"/>
    </xf>
    <xf numFmtId="0" fontId="21" fillId="0" borderId="0" xfId="0" applyFont="1" applyAlignment="1">
      <alignment horizontal="left" vertical="center"/>
    </xf>
    <xf numFmtId="0" fontId="20" fillId="0" borderId="1" xfId="0" applyFont="1" applyBorder="1" applyAlignment="1">
      <alignment horizontal="center" vertical="center"/>
    </xf>
    <xf numFmtId="0" fontId="24" fillId="0" borderId="0" xfId="0" applyFont="1"/>
    <xf numFmtId="0" fontId="25" fillId="0" borderId="0" xfId="0" applyFont="1"/>
    <xf numFmtId="0" fontId="13" fillId="0" borderId="0" xfId="0" applyFont="1" applyAlignment="1">
      <alignment vertical="center"/>
    </xf>
    <xf numFmtId="167" fontId="26" fillId="0" borderId="0" xfId="0" applyNumberFormat="1" applyFont="1" applyAlignment="1">
      <alignment horizontal="center" vertical="center"/>
    </xf>
    <xf numFmtId="167" fontId="13" fillId="0" borderId="1" xfId="0" applyNumberFormat="1" applyFont="1" applyBorder="1" applyAlignment="1">
      <alignment horizontal="center"/>
    </xf>
    <xf numFmtId="167" fontId="13" fillId="0" borderId="1" xfId="0" applyNumberFormat="1" applyFont="1" applyBorder="1" applyAlignment="1">
      <alignment horizontal="left"/>
    </xf>
    <xf numFmtId="0" fontId="13" fillId="0" borderId="1" xfId="0" applyFont="1" applyBorder="1" applyAlignment="1">
      <alignment horizontal="left"/>
    </xf>
    <xf numFmtId="1" fontId="13" fillId="0" borderId="1" xfId="0" applyNumberFormat="1" applyFont="1" applyBorder="1"/>
    <xf numFmtId="167" fontId="13" fillId="0" borderId="1" xfId="0" applyNumberFormat="1" applyFont="1" applyBorder="1"/>
    <xf numFmtId="0" fontId="13" fillId="6" borderId="0" xfId="0" applyFont="1" applyFill="1" applyAlignment="1">
      <alignment horizontal="center" vertical="center" wrapText="1"/>
    </xf>
    <xf numFmtId="0" fontId="13" fillId="6" borderId="0" xfId="0" applyFont="1" applyFill="1"/>
    <xf numFmtId="0" fontId="27" fillId="0" borderId="1" xfId="0" applyFont="1" applyBorder="1"/>
    <xf numFmtId="167" fontId="18" fillId="6" borderId="0" xfId="0" applyNumberFormat="1" applyFont="1" applyFill="1" applyAlignment="1">
      <alignment horizontal="center"/>
    </xf>
    <xf numFmtId="167" fontId="16" fillId="6" borderId="0" xfId="0" applyNumberFormat="1" applyFont="1" applyFill="1"/>
    <xf numFmtId="167" fontId="19" fillId="6" borderId="0" xfId="0" applyNumberFormat="1" applyFont="1" applyFill="1"/>
    <xf numFmtId="167" fontId="4" fillId="6" borderId="0" xfId="0" applyNumberFormat="1" applyFont="1" applyFill="1"/>
    <xf numFmtId="2" fontId="13" fillId="6" borderId="0" xfId="0" applyNumberFormat="1" applyFont="1" applyFill="1" applyAlignment="1">
      <alignment horizontal="right" vertical="center"/>
    </xf>
    <xf numFmtId="0" fontId="23" fillId="6" borderId="0" xfId="0" applyFont="1" applyFill="1"/>
    <xf numFmtId="0" fontId="13" fillId="6" borderId="0" xfId="0" applyFont="1" applyFill="1" applyAlignment="1">
      <alignment horizontal="center"/>
    </xf>
    <xf numFmtId="174" fontId="13" fillId="6" borderId="0" xfId="0" applyNumberFormat="1" applyFont="1" applyFill="1"/>
    <xf numFmtId="0" fontId="13" fillId="6" borderId="0" xfId="0" applyFont="1" applyFill="1" applyAlignment="1">
      <alignment horizontal="right"/>
    </xf>
    <xf numFmtId="167" fontId="13" fillId="6" borderId="0" xfId="0" applyNumberFormat="1" applyFont="1" applyFill="1"/>
    <xf numFmtId="167" fontId="4" fillId="7" borderId="0" xfId="0" applyNumberFormat="1" applyFont="1" applyFill="1" applyAlignment="1">
      <alignment horizontal="center"/>
    </xf>
    <xf numFmtId="167" fontId="4" fillId="7" borderId="0" xfId="0" applyNumberFormat="1" applyFont="1" applyFill="1"/>
    <xf numFmtId="0" fontId="4" fillId="7" borderId="0" xfId="0" applyFont="1" applyFill="1"/>
    <xf numFmtId="0" fontId="13" fillId="7" borderId="0" xfId="0" applyFont="1" applyFill="1" applyAlignment="1">
      <alignment horizontal="center"/>
    </xf>
    <xf numFmtId="173" fontId="13" fillId="7" borderId="0" xfId="0" applyNumberFormat="1" applyFont="1" applyFill="1"/>
    <xf numFmtId="0" fontId="13" fillId="7" borderId="0" xfId="0" applyFont="1" applyFill="1"/>
    <xf numFmtId="167" fontId="18" fillId="7" borderId="0" xfId="0" applyNumberFormat="1" applyFont="1" applyFill="1" applyAlignment="1">
      <alignment horizontal="center"/>
    </xf>
    <xf numFmtId="167" fontId="16" fillId="7" borderId="0" xfId="0" applyNumberFormat="1" applyFont="1" applyFill="1"/>
    <xf numFmtId="167" fontId="13" fillId="7" borderId="0" xfId="0" applyNumberFormat="1" applyFont="1" applyFill="1"/>
    <xf numFmtId="167" fontId="19" fillId="7" borderId="0" xfId="0" applyNumberFormat="1" applyFont="1" applyFill="1"/>
    <xf numFmtId="2" fontId="13" fillId="7" borderId="0" xfId="0" applyNumberFormat="1" applyFont="1" applyFill="1"/>
    <xf numFmtId="2" fontId="13" fillId="7" borderId="0" xfId="0" applyNumberFormat="1" applyFont="1" applyFill="1" applyAlignment="1">
      <alignment horizontal="right" vertical="center"/>
    </xf>
    <xf numFmtId="0" fontId="23" fillId="7" borderId="0" xfId="0" applyFont="1" applyFill="1"/>
    <xf numFmtId="174" fontId="13" fillId="7" borderId="0" xfId="0" applyNumberFormat="1" applyFont="1" applyFill="1"/>
    <xf numFmtId="0" fontId="4" fillId="7" borderId="0" xfId="0" applyFont="1" applyFill="1" applyAlignment="1">
      <alignment horizontal="center"/>
    </xf>
    <xf numFmtId="0" fontId="35" fillId="6" borderId="1" xfId="0" applyFont="1" applyFill="1" applyBorder="1" applyAlignment="1">
      <alignment horizontal="right" vertical="center"/>
    </xf>
    <xf numFmtId="0" fontId="35" fillId="6" borderId="1" xfId="0" applyFont="1" applyFill="1" applyBorder="1" applyAlignment="1">
      <alignment horizontal="center" vertical="center"/>
    </xf>
    <xf numFmtId="0" fontId="35" fillId="6" borderId="1" xfId="0" applyFont="1" applyFill="1" applyBorder="1" applyAlignment="1">
      <alignment horizontal="center" vertical="center" wrapText="1"/>
    </xf>
    <xf numFmtId="167" fontId="35" fillId="6" borderId="1" xfId="0" applyNumberFormat="1" applyFont="1" applyFill="1" applyBorder="1" applyAlignment="1">
      <alignment horizontal="center" vertical="center" wrapText="1"/>
    </xf>
    <xf numFmtId="0" fontId="35" fillId="0" borderId="1" xfId="0" applyFont="1" applyBorder="1"/>
    <xf numFmtId="0" fontId="35" fillId="0" borderId="1" xfId="0" applyFont="1" applyBorder="1" applyAlignment="1">
      <alignment horizontal="center"/>
    </xf>
    <xf numFmtId="0" fontId="35" fillId="0" borderId="1" xfId="0" applyFont="1" applyBorder="1" applyAlignment="1">
      <alignment horizontal="center" vertical="center"/>
    </xf>
    <xf numFmtId="2" fontId="35" fillId="0" borderId="1" xfId="0" applyNumberFormat="1" applyFont="1" applyBorder="1" applyAlignment="1">
      <alignment horizontal="right" vertical="center"/>
    </xf>
    <xf numFmtId="167" fontId="35" fillId="0" borderId="1" xfId="0" applyNumberFormat="1" applyFont="1" applyBorder="1" applyAlignment="1">
      <alignment horizontal="right" vertical="center"/>
    </xf>
    <xf numFmtId="0" fontId="35" fillId="6" borderId="1" xfId="0" applyFont="1" applyFill="1" applyBorder="1"/>
    <xf numFmtId="0" fontId="35" fillId="6" borderId="1" xfId="0" applyFont="1" applyFill="1" applyBorder="1" applyAlignment="1">
      <alignment horizontal="center"/>
    </xf>
    <xf numFmtId="2" fontId="35" fillId="6" borderId="1" xfId="0" applyNumberFormat="1" applyFont="1" applyFill="1" applyBorder="1" applyAlignment="1">
      <alignment horizontal="right" vertical="center"/>
    </xf>
    <xf numFmtId="170" fontId="35" fillId="0" borderId="1" xfId="0" applyNumberFormat="1" applyFont="1" applyBorder="1" applyAlignment="1">
      <alignment horizontal="right" vertical="center"/>
    </xf>
    <xf numFmtId="165" fontId="35" fillId="0" borderId="1" xfId="0" applyNumberFormat="1" applyFont="1" applyBorder="1" applyAlignment="1">
      <alignment horizontal="right" vertical="center"/>
    </xf>
    <xf numFmtId="0" fontId="27" fillId="0" borderId="1" xfId="0" applyFont="1" applyBorder="1" applyAlignment="1">
      <alignment horizontal="right"/>
    </xf>
    <xf numFmtId="0" fontId="37" fillId="0" borderId="1" xfId="0" applyFont="1" applyBorder="1" applyAlignment="1">
      <alignment horizontal="center"/>
    </xf>
    <xf numFmtId="2" fontId="38" fillId="0" borderId="1" xfId="0" applyNumberFormat="1" applyFont="1" applyBorder="1" applyAlignment="1">
      <alignment horizontal="right" vertical="center"/>
    </xf>
    <xf numFmtId="0" fontId="35" fillId="0" borderId="1" xfId="0" applyFont="1" applyBorder="1" applyAlignment="1">
      <alignment horizontal="right"/>
    </xf>
    <xf numFmtId="0" fontId="38" fillId="7" borderId="1" xfId="0" applyFont="1" applyFill="1" applyBorder="1" applyAlignment="1">
      <alignment horizontal="right"/>
    </xf>
    <xf numFmtId="0" fontId="38" fillId="7" borderId="1" xfId="0" applyFont="1" applyFill="1" applyBorder="1"/>
    <xf numFmtId="0" fontId="38" fillId="7" borderId="1" xfId="0" applyFont="1" applyFill="1" applyBorder="1" applyAlignment="1">
      <alignment horizontal="center"/>
    </xf>
    <xf numFmtId="0" fontId="38" fillId="7" borderId="1" xfId="0" applyFont="1" applyFill="1" applyBorder="1" applyAlignment="1">
      <alignment horizontal="center" vertical="center"/>
    </xf>
    <xf numFmtId="2" fontId="38" fillId="7" borderId="1" xfId="0" applyNumberFormat="1" applyFont="1" applyFill="1" applyBorder="1" applyAlignment="1">
      <alignment horizontal="right" vertical="center"/>
    </xf>
    <xf numFmtId="1" fontId="35" fillId="0" borderId="1" xfId="0" applyNumberFormat="1" applyFont="1" applyBorder="1" applyAlignment="1">
      <alignment horizontal="right" vertical="center"/>
    </xf>
    <xf numFmtId="0" fontId="38" fillId="0" borderId="1" xfId="0" applyFont="1" applyBorder="1"/>
    <xf numFmtId="0" fontId="38" fillId="0" borderId="1" xfId="0" applyFont="1" applyBorder="1" applyAlignment="1">
      <alignment horizontal="center"/>
    </xf>
    <xf numFmtId="0" fontId="38" fillId="0" borderId="1" xfId="0" applyFont="1" applyBorder="1" applyAlignment="1">
      <alignment horizontal="center" vertical="center"/>
    </xf>
    <xf numFmtId="0" fontId="35" fillId="0" borderId="1" xfId="0" applyFont="1" applyBorder="1" applyAlignment="1">
      <alignment horizontal="left"/>
    </xf>
    <xf numFmtId="0" fontId="35" fillId="7" borderId="1" xfId="0" applyFont="1" applyFill="1" applyBorder="1"/>
    <xf numFmtId="0" fontId="35" fillId="7" borderId="1" xfId="0" applyFont="1" applyFill="1" applyBorder="1" applyAlignment="1">
      <alignment horizontal="center"/>
    </xf>
    <xf numFmtId="0" fontId="35" fillId="7" borderId="1" xfId="0" applyFont="1" applyFill="1" applyBorder="1" applyAlignment="1">
      <alignment horizontal="center" vertical="center"/>
    </xf>
    <xf numFmtId="2" fontId="35" fillId="7" borderId="1" xfId="0" applyNumberFormat="1" applyFont="1" applyFill="1" applyBorder="1" applyAlignment="1">
      <alignment horizontal="right" vertical="center"/>
    </xf>
    <xf numFmtId="167" fontId="35" fillId="6" borderId="1" xfId="0" applyNumberFormat="1" applyFont="1" applyFill="1" applyBorder="1" applyAlignment="1">
      <alignment horizontal="right" vertical="center"/>
    </xf>
    <xf numFmtId="173" fontId="35" fillId="7" borderId="1" xfId="0" applyNumberFormat="1" applyFont="1" applyFill="1" applyBorder="1" applyAlignment="1">
      <alignment horizontal="right" vertical="center"/>
    </xf>
    <xf numFmtId="2" fontId="35" fillId="0" borderId="1" xfId="0" applyNumberFormat="1" applyFont="1" applyBorder="1" applyAlignment="1">
      <alignment horizontal="center"/>
    </xf>
    <xf numFmtId="2" fontId="35" fillId="0" borderId="1" xfId="0" applyNumberFormat="1" applyFont="1" applyBorder="1"/>
    <xf numFmtId="173" fontId="35" fillId="0" borderId="1" xfId="0" applyNumberFormat="1" applyFont="1" applyBorder="1" applyAlignment="1">
      <alignment horizontal="right" vertical="center"/>
    </xf>
    <xf numFmtId="169" fontId="35" fillId="7" borderId="1" xfId="0" applyNumberFormat="1" applyFont="1" applyFill="1" applyBorder="1" applyAlignment="1">
      <alignment horizontal="right" vertical="center"/>
    </xf>
    <xf numFmtId="0" fontId="27" fillId="0" borderId="1" xfId="0" applyFont="1" applyBorder="1" applyAlignment="1">
      <alignment horizontal="center"/>
    </xf>
    <xf numFmtId="0" fontId="42" fillId="0" borderId="1" xfId="0" applyFont="1" applyBorder="1" applyAlignment="1">
      <alignment horizontal="center"/>
    </xf>
    <xf numFmtId="0" fontId="42" fillId="7" borderId="1" xfId="0" applyFont="1" applyFill="1" applyBorder="1" applyAlignment="1">
      <alignment horizontal="center"/>
    </xf>
    <xf numFmtId="167" fontId="38" fillId="7" borderId="1" xfId="0" applyNumberFormat="1" applyFont="1" applyFill="1" applyBorder="1" applyAlignment="1">
      <alignment horizontal="right" vertical="center"/>
    </xf>
    <xf numFmtId="2" fontId="44" fillId="0" borderId="1" xfId="0" applyNumberFormat="1" applyFont="1" applyBorder="1" applyAlignment="1">
      <alignment horizontal="right" vertical="center"/>
    </xf>
    <xf numFmtId="0" fontId="35" fillId="7" borderId="1" xfId="0" applyFont="1" applyFill="1" applyBorder="1" applyAlignment="1">
      <alignment horizontal="right"/>
    </xf>
    <xf numFmtId="0" fontId="35" fillId="6" borderId="1" xfId="0" applyFont="1" applyFill="1" applyBorder="1" applyAlignment="1">
      <alignment horizontal="right"/>
    </xf>
    <xf numFmtId="0" fontId="35" fillId="6" borderId="1" xfId="0" applyFont="1" applyFill="1" applyBorder="1" applyAlignment="1">
      <alignment horizontal="left"/>
    </xf>
    <xf numFmtId="0" fontId="37" fillId="0" borderId="1" xfId="0" applyFont="1" applyBorder="1" applyAlignment="1">
      <alignment horizontal="center" vertical="center"/>
    </xf>
    <xf numFmtId="2" fontId="45" fillId="0" borderId="1" xfId="0" applyNumberFormat="1" applyFont="1" applyBorder="1" applyAlignment="1">
      <alignment horizontal="right" vertical="center"/>
    </xf>
    <xf numFmtId="169" fontId="35" fillId="0" borderId="1" xfId="0" applyNumberFormat="1" applyFont="1" applyBorder="1" applyAlignment="1">
      <alignment horizontal="right" vertical="center"/>
    </xf>
    <xf numFmtId="167" fontId="35" fillId="6" borderId="1" xfId="0" applyNumberFormat="1" applyFont="1" applyFill="1" applyBorder="1"/>
    <xf numFmtId="0" fontId="35" fillId="7" borderId="1" xfId="0" applyFont="1" applyFill="1" applyBorder="1" applyAlignment="1">
      <alignment horizontal="left"/>
    </xf>
    <xf numFmtId="167" fontId="27" fillId="0" borderId="1" xfId="0" applyNumberFormat="1" applyFont="1" applyBorder="1" applyAlignment="1">
      <alignment horizontal="right" vertical="center"/>
    </xf>
    <xf numFmtId="2" fontId="27" fillId="0" borderId="1" xfId="0" applyNumberFormat="1" applyFont="1" applyBorder="1" applyAlignment="1">
      <alignment horizontal="right" vertical="center"/>
    </xf>
    <xf numFmtId="0" fontId="27" fillId="0" borderId="1" xfId="0" applyFont="1" applyBorder="1" applyAlignment="1">
      <alignment vertical="center"/>
    </xf>
    <xf numFmtId="0" fontId="35" fillId="0" borderId="1" xfId="0" applyFont="1" applyBorder="1" applyAlignment="1">
      <alignment vertical="center"/>
    </xf>
    <xf numFmtId="0" fontId="35" fillId="0" borderId="1" xfId="0" applyFont="1" applyBorder="1" applyAlignment="1">
      <alignment vertical="center" wrapText="1"/>
    </xf>
    <xf numFmtId="0" fontId="46" fillId="0" borderId="1" xfId="0" applyFont="1" applyBorder="1"/>
    <xf numFmtId="0" fontId="44" fillId="0" borderId="1" xfId="0" applyFont="1" applyBorder="1"/>
    <xf numFmtId="0" fontId="35" fillId="0" borderId="1" xfId="0" applyFont="1" applyBorder="1" applyAlignment="1">
      <alignment wrapText="1"/>
    </xf>
    <xf numFmtId="167" fontId="38" fillId="0" borderId="1" xfId="2" applyNumberFormat="1" applyFont="1" applyBorder="1"/>
    <xf numFmtId="0" fontId="27" fillId="7" borderId="1" xfId="0" applyFont="1" applyFill="1" applyBorder="1" applyAlignment="1">
      <alignment horizontal="right"/>
    </xf>
    <xf numFmtId="167" fontId="47" fillId="7" borderId="1" xfId="2" applyNumberFormat="1" applyFont="1" applyFill="1" applyBorder="1"/>
    <xf numFmtId="167" fontId="27" fillId="7" borderId="1" xfId="0" applyNumberFormat="1" applyFont="1" applyFill="1" applyBorder="1" applyAlignment="1">
      <alignment horizontal="right" vertical="center"/>
    </xf>
    <xf numFmtId="0" fontId="46" fillId="6" borderId="1" xfId="0" applyFont="1" applyFill="1" applyBorder="1"/>
    <xf numFmtId="0" fontId="27" fillId="6" borderId="1" xfId="0" applyFont="1" applyFill="1" applyBorder="1"/>
    <xf numFmtId="2" fontId="27" fillId="6" borderId="1" xfId="0" applyNumberFormat="1" applyFont="1" applyFill="1" applyBorder="1" applyAlignment="1">
      <alignment horizontal="right" vertical="center"/>
    </xf>
    <xf numFmtId="0" fontId="47" fillId="0" borderId="1" xfId="0" applyFont="1" applyBorder="1"/>
    <xf numFmtId="167" fontId="38" fillId="0" borderId="1" xfId="0" applyNumberFormat="1" applyFont="1" applyBorder="1" applyAlignment="1">
      <alignment horizontal="right" vertical="center"/>
    </xf>
    <xf numFmtId="167" fontId="48" fillId="0" borderId="1" xfId="0" applyNumberFormat="1" applyFont="1" applyBorder="1" applyAlignment="1">
      <alignment horizontal="right" vertical="center"/>
    </xf>
    <xf numFmtId="0" fontId="27" fillId="7" borderId="1" xfId="0" applyFont="1" applyFill="1" applyBorder="1"/>
    <xf numFmtId="2" fontId="27" fillId="7" borderId="1" xfId="0" applyNumberFormat="1" applyFont="1" applyFill="1" applyBorder="1" applyAlignment="1">
      <alignment horizontal="right" vertical="center"/>
    </xf>
    <xf numFmtId="167" fontId="38" fillId="7" borderId="1" xfId="2" applyNumberFormat="1" applyFont="1" applyFill="1" applyBorder="1"/>
    <xf numFmtId="0" fontId="27" fillId="7" borderId="1" xfId="0" applyFont="1" applyFill="1" applyBorder="1" applyAlignment="1">
      <alignment wrapText="1"/>
    </xf>
    <xf numFmtId="170" fontId="27" fillId="7" borderId="1" xfId="0" applyNumberFormat="1" applyFont="1" applyFill="1" applyBorder="1" applyAlignment="1">
      <alignment horizontal="right" vertical="center"/>
    </xf>
    <xf numFmtId="0" fontId="27" fillId="6" borderId="1" xfId="0" applyFont="1" applyFill="1" applyBorder="1" applyAlignment="1">
      <alignment horizontal="right"/>
    </xf>
    <xf numFmtId="0" fontId="27" fillId="0" borderId="1" xfId="0" applyFont="1" applyBorder="1" applyAlignment="1">
      <alignment wrapText="1"/>
    </xf>
    <xf numFmtId="170" fontId="27" fillId="0" borderId="1" xfId="0" applyNumberFormat="1" applyFont="1" applyBorder="1" applyAlignment="1">
      <alignment horizontal="right" vertical="center"/>
    </xf>
    <xf numFmtId="0" fontId="47" fillId="0" borderId="1" xfId="0" applyFont="1" applyBorder="1" applyAlignment="1">
      <alignment horizontal="right"/>
    </xf>
    <xf numFmtId="0" fontId="47" fillId="0" borderId="1" xfId="0" applyFont="1" applyBorder="1" applyAlignment="1">
      <alignment horizontal="center"/>
    </xf>
    <xf numFmtId="2" fontId="47" fillId="0" borderId="1" xfId="0" applyNumberFormat="1" applyFont="1" applyBorder="1" applyAlignment="1">
      <alignment horizontal="right" vertical="center"/>
    </xf>
    <xf numFmtId="167" fontId="47" fillId="0" borderId="1" xfId="0" applyNumberFormat="1" applyFont="1" applyBorder="1" applyAlignment="1">
      <alignment horizontal="right" vertical="center"/>
    </xf>
    <xf numFmtId="0" fontId="47" fillId="7" borderId="1" xfId="0" applyFont="1" applyFill="1" applyBorder="1" applyAlignment="1">
      <alignment horizontal="right"/>
    </xf>
    <xf numFmtId="167" fontId="47" fillId="7" borderId="1" xfId="0" applyNumberFormat="1" applyFont="1" applyFill="1" applyBorder="1" applyAlignment="1">
      <alignment horizontal="right" vertical="center"/>
    </xf>
    <xf numFmtId="0" fontId="47" fillId="0" borderId="1" xfId="0" applyFont="1" applyBorder="1" applyAlignment="1">
      <alignment horizontal="center" vertical="center"/>
    </xf>
    <xf numFmtId="2" fontId="38" fillId="0" borderId="1" xfId="0" applyNumberFormat="1" applyFont="1" applyBorder="1" applyAlignment="1">
      <alignment horizontal="right"/>
    </xf>
    <xf numFmtId="0" fontId="47" fillId="7" borderId="1" xfId="0" applyFont="1" applyFill="1" applyBorder="1"/>
    <xf numFmtId="0" fontId="27" fillId="7" borderId="1" xfId="0" applyFont="1" applyFill="1" applyBorder="1" applyAlignment="1">
      <alignment horizontal="center"/>
    </xf>
    <xf numFmtId="170" fontId="38" fillId="0" borderId="1" xfId="0" applyNumberFormat="1" applyFont="1" applyBorder="1" applyAlignment="1">
      <alignment horizontal="right" vertical="center"/>
    </xf>
    <xf numFmtId="0" fontId="38" fillId="0" borderId="1" xfId="0" applyFont="1" applyBorder="1" applyAlignment="1">
      <alignment horizontal="left"/>
    </xf>
    <xf numFmtId="0" fontId="51" fillId="0" borderId="1" xfId="0" applyFont="1" applyBorder="1" applyAlignment="1">
      <alignment horizontal="center"/>
    </xf>
    <xf numFmtId="0" fontId="38" fillId="0" borderId="1" xfId="0" applyFont="1" applyBorder="1" applyAlignment="1">
      <alignment horizontal="left" indent="3"/>
    </xf>
    <xf numFmtId="2" fontId="47" fillId="7" borderId="1" xfId="0" applyNumberFormat="1" applyFont="1" applyFill="1" applyBorder="1" applyAlignment="1">
      <alignment horizontal="right" vertical="center"/>
    </xf>
    <xf numFmtId="167" fontId="27" fillId="7" borderId="1" xfId="0" applyNumberFormat="1" applyFont="1" applyFill="1" applyBorder="1"/>
    <xf numFmtId="0" fontId="52" fillId="0" borderId="1" xfId="0" applyFont="1" applyBorder="1"/>
    <xf numFmtId="0" fontId="47" fillId="0" borderId="1" xfId="0" applyFont="1" applyBorder="1" applyAlignment="1">
      <alignment horizontal="left"/>
    </xf>
    <xf numFmtId="175" fontId="35" fillId="0" borderId="1" xfId="0" applyNumberFormat="1" applyFont="1" applyBorder="1" applyAlignment="1">
      <alignment horizontal="right" vertical="center"/>
    </xf>
    <xf numFmtId="0" fontId="4" fillId="0" borderId="7" xfId="2" applyFont="1" applyBorder="1" applyAlignment="1">
      <alignment horizontal="center"/>
    </xf>
    <xf numFmtId="0" fontId="4" fillId="0" borderId="1" xfId="2" applyFont="1" applyBorder="1" applyAlignment="1">
      <alignment horizontal="center" vertical="center"/>
    </xf>
    <xf numFmtId="0" fontId="14" fillId="0" borderId="0" xfId="0" applyFont="1" applyAlignment="1">
      <alignment horizontal="left"/>
    </xf>
    <xf numFmtId="0" fontId="35" fillId="0" borderId="1" xfId="0" applyFont="1" applyBorder="1" applyAlignment="1">
      <alignment horizontal="center" wrapText="1"/>
    </xf>
    <xf numFmtId="0" fontId="5" fillId="0" borderId="3" xfId="2" applyFont="1" applyBorder="1" applyAlignment="1">
      <alignment horizontal="center" vertical="center"/>
    </xf>
    <xf numFmtId="0" fontId="5" fillId="0" borderId="2" xfId="2" applyFont="1" applyBorder="1" applyAlignment="1">
      <alignment horizontal="center" vertical="center"/>
    </xf>
    <xf numFmtId="0" fontId="5" fillId="0" borderId="1" xfId="2" applyFont="1" applyBorder="1" applyAlignment="1">
      <alignment horizontal="center" vertical="center"/>
    </xf>
    <xf numFmtId="0" fontId="4" fillId="0" borderId="0" xfId="2" applyFont="1" applyAlignment="1">
      <alignment horizontal="left" vertical="center"/>
    </xf>
    <xf numFmtId="0" fontId="4" fillId="0" borderId="0" xfId="2" applyFont="1" applyAlignment="1">
      <alignment horizontal="left"/>
    </xf>
    <xf numFmtId="0" fontId="6" fillId="0" borderId="0" xfId="2" applyFont="1" applyAlignment="1">
      <alignment horizontal="left"/>
    </xf>
    <xf numFmtId="0" fontId="5" fillId="0" borderId="1" xfId="2" applyFont="1" applyBorder="1" applyAlignment="1">
      <alignment horizontal="center" vertical="center" wrapText="1"/>
    </xf>
    <xf numFmtId="0" fontId="5" fillId="0" borderId="4" xfId="2" applyFont="1" applyBorder="1" applyAlignment="1">
      <alignment horizontal="center" vertical="center" wrapText="1"/>
    </xf>
    <xf numFmtId="0" fontId="5" fillId="0" borderId="0" xfId="2" applyFont="1" applyAlignment="1">
      <alignment horizontal="center" vertical="center" wrapText="1"/>
    </xf>
    <xf numFmtId="0" fontId="5" fillId="0" borderId="3" xfId="2" applyFont="1" applyBorder="1" applyAlignment="1">
      <alignment horizontal="center" vertical="center" wrapText="1"/>
    </xf>
    <xf numFmtId="0" fontId="5" fillId="0" borderId="2" xfId="2" applyFont="1" applyBorder="1" applyAlignment="1">
      <alignment horizontal="center" vertical="center" wrapText="1"/>
    </xf>
    <xf numFmtId="0" fontId="5" fillId="0" borderId="1" xfId="2" applyFont="1" applyBorder="1" applyAlignment="1">
      <alignment horizontal="left" vertical="center"/>
    </xf>
    <xf numFmtId="0" fontId="5" fillId="0" borderId="3" xfId="2" applyFont="1" applyBorder="1" applyAlignment="1">
      <alignment horizontal="left" vertical="center"/>
    </xf>
    <xf numFmtId="0" fontId="5" fillId="0" borderId="0" xfId="2" applyFont="1" applyAlignment="1">
      <alignment vertical="center"/>
    </xf>
  </cellXfs>
  <cellStyles count="8">
    <cellStyle name="Comma 2" xfId="6" xr:uid="{00000000-0005-0000-0000-000000000000}"/>
    <cellStyle name="Comma_Energy Calculation" xfId="5" xr:uid="{00000000-0005-0000-0000-000001000000}"/>
    <cellStyle name="Normal" xfId="0" builtinId="0"/>
    <cellStyle name="Normal 2" xfId="2" xr:uid="{00000000-0005-0000-0000-000003000000}"/>
    <cellStyle name="Normal 3" xfId="7" xr:uid="{00000000-0005-0000-0000-000004000000}"/>
    <cellStyle name="Normal_FULL" xfId="3" xr:uid="{00000000-0005-0000-0000-000005000000}"/>
    <cellStyle name="Percent" xfId="1" builtinId="5"/>
    <cellStyle name="Percent 3" xfId="4" xr:uid="{00000000-0005-0000-0000-000007000000}"/>
  </cellStyles>
  <dxfs count="0"/>
  <tableStyles count="0" defaultTableStyle="TableStyleMedium2" defaultPivotStyle="PivotStyleLight16"/>
  <colors>
    <mruColors>
      <color rgb="FFFF79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18" Type="http://schemas.openxmlformats.org/officeDocument/2006/relationships/externalLink" Target="externalLinks/externalLink13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6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externalLink" Target="externalLinks/externalLink12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1.xml"/><Relationship Id="rId20" Type="http://schemas.openxmlformats.org/officeDocument/2006/relationships/externalLink" Target="externalLinks/externalLink15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0.xml"/><Relationship Id="rId23" Type="http://schemas.openxmlformats.org/officeDocument/2006/relationships/styles" Target="styles.xml"/><Relationship Id="rId10" Type="http://schemas.openxmlformats.org/officeDocument/2006/relationships/externalLink" Target="externalLinks/externalLink5.xml"/><Relationship Id="rId19" Type="http://schemas.openxmlformats.org/officeDocument/2006/relationships/externalLink" Target="externalLinks/externalLink1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externalLink" Target="externalLinks/externalLink9.xml"/><Relationship Id="rId2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26</xdr:row>
      <xdr:rowOff>39780</xdr:rowOff>
    </xdr:from>
    <xdr:ext cx="8169808" cy="6302749"/>
    <xdr:pic>
      <xdr:nvPicPr>
        <xdr:cNvPr id="2" name="Picture 1" descr="untitled.bmp">
          <a:extLst>
            <a:ext uri="{FF2B5EF4-FFF2-40B4-BE49-F238E27FC236}">
              <a16:creationId xmlns:a16="http://schemas.microsoft.com/office/drawing/2014/main" id="{436737E6-6AA5-483B-A108-37419E0F48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5914800"/>
          <a:ext cx="8169808" cy="630274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twoCellAnchor>
    <xdr:from>
      <xdr:col>3</xdr:col>
      <xdr:colOff>1154206</xdr:colOff>
      <xdr:row>27</xdr:row>
      <xdr:rowOff>156883</xdr:rowOff>
    </xdr:from>
    <xdr:to>
      <xdr:col>4</xdr:col>
      <xdr:colOff>2241</xdr:colOff>
      <xdr:row>55</xdr:row>
      <xdr:rowOff>106457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4D79E876-440C-447D-963E-60C5BD0A465A}"/>
            </a:ext>
          </a:extLst>
        </xdr:cNvPr>
        <xdr:cNvCxnSpPr/>
      </xdr:nvCxnSpPr>
      <xdr:spPr>
        <a:xfrm>
          <a:off x="4552726" y="6245263"/>
          <a:ext cx="90095" cy="5923654"/>
        </a:xfrm>
        <a:prstGeom prst="line">
          <a:avLst/>
        </a:prstGeom>
        <a:ln w="158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168088</xdr:colOff>
      <xdr:row>38</xdr:row>
      <xdr:rowOff>11205</xdr:rowOff>
    </xdr:from>
    <xdr:to>
      <xdr:col>10</xdr:col>
      <xdr:colOff>414618</xdr:colOff>
      <xdr:row>38</xdr:row>
      <xdr:rowOff>179292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57BC60DD-F49E-4BC6-8969-3DB21C8B294A}"/>
            </a:ext>
          </a:extLst>
        </xdr:cNvPr>
        <xdr:cNvCxnSpPr/>
      </xdr:nvCxnSpPr>
      <xdr:spPr>
        <a:xfrm flipV="1">
          <a:off x="168088" y="8446545"/>
          <a:ext cx="8712350" cy="168087"/>
        </a:xfrm>
        <a:prstGeom prst="line">
          <a:avLst/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10</xdr:col>
      <xdr:colOff>383600</xdr:colOff>
      <xdr:row>1</xdr:row>
      <xdr:rowOff>123825</xdr:rowOff>
    </xdr:from>
    <xdr:to>
      <xdr:col>18</xdr:col>
      <xdr:colOff>164728</xdr:colOff>
      <xdr:row>19</xdr:row>
      <xdr:rowOff>143996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A49F653-D918-4686-A6D2-9CFBD71DAE7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7926" t="16865" r="37410" b="12669"/>
        <a:stretch/>
      </xdr:blipFill>
      <xdr:spPr>
        <a:xfrm>
          <a:off x="8849420" y="337185"/>
          <a:ext cx="4947488" cy="4188311"/>
        </a:xfrm>
        <a:prstGeom prst="rect">
          <a:avLst/>
        </a:prstGeom>
      </xdr:spPr>
    </xdr:pic>
    <xdr:clientData/>
  </xdr:twoCellAnchor>
  <xdr:twoCellAnchor>
    <xdr:from>
      <xdr:col>19</xdr:col>
      <xdr:colOff>201707</xdr:colOff>
      <xdr:row>43</xdr:row>
      <xdr:rowOff>22413</xdr:rowOff>
    </xdr:from>
    <xdr:to>
      <xdr:col>19</xdr:col>
      <xdr:colOff>224118</xdr:colOff>
      <xdr:row>70</xdr:row>
      <xdr:rowOff>100853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CC18D9FB-F897-487F-B8E8-B8BB3C57A195}"/>
            </a:ext>
          </a:extLst>
        </xdr:cNvPr>
        <xdr:cNvCxnSpPr/>
      </xdr:nvCxnSpPr>
      <xdr:spPr>
        <a:xfrm>
          <a:off x="14458727" y="9524553"/>
          <a:ext cx="22411" cy="5839160"/>
        </a:xfrm>
        <a:prstGeom prst="line">
          <a:avLst/>
        </a:prstGeom>
        <a:ln w="158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280146</xdr:colOff>
      <xdr:row>56</xdr:row>
      <xdr:rowOff>89648</xdr:rowOff>
    </xdr:from>
    <xdr:to>
      <xdr:col>26</xdr:col>
      <xdr:colOff>302558</xdr:colOff>
      <xdr:row>56</xdr:row>
      <xdr:rowOff>100853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379444A5-5E8D-4253-BFE3-92FD1384E762}"/>
            </a:ext>
          </a:extLst>
        </xdr:cNvPr>
        <xdr:cNvCxnSpPr/>
      </xdr:nvCxnSpPr>
      <xdr:spPr>
        <a:xfrm flipV="1">
          <a:off x="10620486" y="12365468"/>
          <a:ext cx="8312972" cy="11205"/>
        </a:xfrm>
        <a:prstGeom prst="line">
          <a:avLst/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314325</xdr:colOff>
      <xdr:row>74</xdr:row>
      <xdr:rowOff>104775</xdr:rowOff>
    </xdr:from>
    <xdr:to>
      <xdr:col>34</xdr:col>
      <xdr:colOff>304801</xdr:colOff>
      <xdr:row>89</xdr:row>
      <xdr:rowOff>168137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193375" y="14916150"/>
          <a:ext cx="5248276" cy="3337832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23</xdr:col>
      <xdr:colOff>95250</xdr:colOff>
      <xdr:row>410</xdr:row>
      <xdr:rowOff>0</xdr:rowOff>
    </xdr:from>
    <xdr:to>
      <xdr:col>30</xdr:col>
      <xdr:colOff>550123</xdr:colOff>
      <xdr:row>430</xdr:row>
      <xdr:rowOff>209360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859625" y="62226825"/>
          <a:ext cx="6385140" cy="4202575"/>
        </a:xfrm>
        <a:prstGeom prst="rect">
          <a:avLst/>
        </a:prstGeom>
      </xdr:spPr>
    </xdr:pic>
    <xdr:clientData/>
  </xdr:twoCellAnchor>
  <xdr:twoCellAnchor>
    <xdr:from>
      <xdr:col>24</xdr:col>
      <xdr:colOff>994834</xdr:colOff>
      <xdr:row>352</xdr:row>
      <xdr:rowOff>21166</xdr:rowOff>
    </xdr:from>
    <xdr:to>
      <xdr:col>25</xdr:col>
      <xdr:colOff>698501</xdr:colOff>
      <xdr:row>359</xdr:row>
      <xdr:rowOff>21166</xdr:rowOff>
    </xdr:to>
    <xdr:sp macro="" textlink="">
      <xdr:nvSpPr>
        <xdr:cNvPr id="4" name="Flowchart: Delay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6200000">
          <a:off x="21206355" y="52209170"/>
          <a:ext cx="1343025" cy="1113367"/>
        </a:xfrm>
        <a:prstGeom prst="flowChartDelay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24</xdr:col>
      <xdr:colOff>984250</xdr:colOff>
      <xdr:row>359</xdr:row>
      <xdr:rowOff>148166</xdr:rowOff>
    </xdr:from>
    <xdr:to>
      <xdr:col>25</xdr:col>
      <xdr:colOff>666750</xdr:colOff>
      <xdr:row>359</xdr:row>
      <xdr:rowOff>158750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 flipV="1">
          <a:off x="21310600" y="53564366"/>
          <a:ext cx="1092200" cy="10584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836083</xdr:colOff>
      <xdr:row>355</xdr:row>
      <xdr:rowOff>84667</xdr:rowOff>
    </xdr:from>
    <xdr:to>
      <xdr:col>24</xdr:col>
      <xdr:colOff>836083</xdr:colOff>
      <xdr:row>359</xdr:row>
      <xdr:rowOff>21167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CxnSpPr/>
      </xdr:nvCxnSpPr>
      <xdr:spPr>
        <a:xfrm flipV="1">
          <a:off x="21162433" y="52729342"/>
          <a:ext cx="0" cy="70802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24</xdr:col>
      <xdr:colOff>1354666</xdr:colOff>
      <xdr:row>359</xdr:row>
      <xdr:rowOff>169333</xdr:rowOff>
    </xdr:from>
    <xdr:ext cx="271485" cy="264560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/>
      </xdr:nvSpPr>
      <xdr:spPr>
        <a:xfrm>
          <a:off x="21681016" y="53585533"/>
          <a:ext cx="27148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D</a:t>
          </a:r>
        </a:p>
      </xdr:txBody>
    </xdr:sp>
    <xdr:clientData/>
  </xdr:oneCellAnchor>
  <xdr:oneCellAnchor>
    <xdr:from>
      <xdr:col>24</xdr:col>
      <xdr:colOff>529167</xdr:colOff>
      <xdr:row>356</xdr:row>
      <xdr:rowOff>148167</xdr:rowOff>
    </xdr:from>
    <xdr:ext cx="397481" cy="264560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/>
      </xdr:nvSpPr>
      <xdr:spPr>
        <a:xfrm>
          <a:off x="20855517" y="52983342"/>
          <a:ext cx="39748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D/2</a:t>
          </a:r>
        </a:p>
      </xdr:txBody>
    </xdr:sp>
    <xdr:clientData/>
  </xdr:oneCellAnchor>
  <xdr:twoCellAnchor>
    <xdr:from>
      <xdr:col>24</xdr:col>
      <xdr:colOff>846667</xdr:colOff>
      <xdr:row>351</xdr:row>
      <xdr:rowOff>169333</xdr:rowOff>
    </xdr:from>
    <xdr:to>
      <xdr:col>24</xdr:col>
      <xdr:colOff>846667</xdr:colOff>
      <xdr:row>355</xdr:row>
      <xdr:rowOff>84669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CxnSpPr/>
      </xdr:nvCxnSpPr>
      <xdr:spPr>
        <a:xfrm flipV="1">
          <a:off x="21173017" y="52052008"/>
          <a:ext cx="0" cy="677336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24</xdr:col>
      <xdr:colOff>529167</xdr:colOff>
      <xdr:row>353</xdr:row>
      <xdr:rowOff>116417</xdr:rowOff>
    </xdr:from>
    <xdr:ext cx="397481" cy="264560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/>
      </xdr:nvSpPr>
      <xdr:spPr>
        <a:xfrm>
          <a:off x="20855517" y="52380092"/>
          <a:ext cx="39748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D/2</a:t>
          </a:r>
        </a:p>
      </xdr:txBody>
    </xdr:sp>
    <xdr:clientData/>
  </xdr:oneCellAnchor>
  <xdr:twoCellAnchor>
    <xdr:from>
      <xdr:col>24</xdr:col>
      <xdr:colOff>994834</xdr:colOff>
      <xdr:row>355</xdr:row>
      <xdr:rowOff>132291</xdr:rowOff>
    </xdr:from>
    <xdr:to>
      <xdr:col>25</xdr:col>
      <xdr:colOff>698501</xdr:colOff>
      <xdr:row>355</xdr:row>
      <xdr:rowOff>132291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CxnSpPr>
          <a:stCxn id="4" idx="0"/>
          <a:endCxn id="4" idx="2"/>
        </xdr:cNvCxnSpPr>
      </xdr:nvCxnSpPr>
      <xdr:spPr>
        <a:xfrm>
          <a:off x="21321184" y="52776966"/>
          <a:ext cx="1113367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23</xdr:col>
      <xdr:colOff>254000</xdr:colOff>
      <xdr:row>410</xdr:row>
      <xdr:rowOff>0</xdr:rowOff>
    </xdr:from>
    <xdr:to>
      <xdr:col>30</xdr:col>
      <xdr:colOff>57102</xdr:colOff>
      <xdr:row>422</xdr:row>
      <xdr:rowOff>17371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18375" y="62226825"/>
          <a:ext cx="5750514" cy="223635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Jobs\OPEN\751340%20Balephi\61Design_HW\final\settling%20basin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LHKSHP\Design\Weir%20hydraulics_diwash(final)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LHKSHP\Design\Weir%20hydraulics_diwash(final)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eevika\Desktop\Palun\Energy_calc_Palun_Nepali_Dec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ED\Jobs\OPEN\933034%20DD%20of%20Myagdi%20Khola%20HPP\21%20Hydrology%20and%20Energy\Headloss%20and%20Energy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933034%20DD%20of%20Myagdi%20Khola%20HPP\21%20Hydrology%20and%20Energy\Headloss%20and%20Energy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933034%20DD%20of%20Myagdi%20Khola%20HPP\21%20Hydrology%20and%20Energy\Flow_Analysis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eevika\Desktop\Myagdi\Flow_Analysi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Jobs\OPEN\751340%20Balephi\61Design_HW\final\settling%20basin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Work\Khare\mhs\overall%20design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Projects\Khare\751030%20Khare.ms\61Hydraulics\OLD\Basic%20Design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My%20Documents\Basic%20Design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Share_all\Pravash\from%20kirty\sankhuwa%20as%20khimti%20new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Share_all\Pravash\from%20kirty\sankhuwa%20as%20khimti%20new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OPEN\751020%20Lower%20Hongu.np\61Hydraulics\Headwork\Supporting%20xls\Basic%20Design%20L.%20Hongu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OPEN\640%20Khare\61Hydraulics\Basic%20Desig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ttling basin III"/>
      <sheetName val="settling basin IV a"/>
      <sheetName val="settling basin IV b"/>
      <sheetName val="settling basin 200"/>
      <sheetName val="settling basin 220"/>
      <sheetName val="settling basin 240"/>
      <sheetName val="settling basin 250"/>
      <sheetName val="settling basin 260"/>
      <sheetName val="settling basin 280"/>
      <sheetName val="settling basin 300"/>
      <sheetName val="settling basin 320"/>
      <sheetName val="settling basin 340"/>
      <sheetName val="settling basin 360"/>
      <sheetName val="settling basin 380"/>
      <sheetName val="settling basin 400"/>
      <sheetName val="Hydrology"/>
    </sheetNames>
    <sheetDataSet>
      <sheetData sheetId="0"/>
      <sheetData sheetId="1"/>
      <sheetData sheetId="2"/>
      <sheetData sheetId="3"/>
      <sheetData sheetId="4"/>
      <sheetData sheetId="5">
        <row r="6">
          <cell r="D6">
            <v>3.8</v>
          </cell>
        </row>
        <row r="7">
          <cell r="D7">
            <v>1.026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ater elev."/>
      <sheetName val="Water level"/>
      <sheetName val="Final"/>
      <sheetName val="Final_int"/>
      <sheetName val="Low bed"/>
      <sheetName val="Low bed_int"/>
      <sheetName val="subs weir(100)"/>
      <sheetName val="Design @10"/>
      <sheetName val="subs weir(ds)"/>
      <sheetName val="Final (drain holes)"/>
      <sheetName val="Final (ds)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ater elev."/>
      <sheetName val="Water level"/>
      <sheetName val="Final"/>
      <sheetName val="Final_int"/>
      <sheetName val="Low bed"/>
      <sheetName val="Low bed_int"/>
      <sheetName val="subs weir(100)"/>
      <sheetName val="Design @10"/>
      <sheetName val="subs weir(ds)"/>
      <sheetName val="Final (drain holes)"/>
      <sheetName val="Final (ds)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v to Nepali Calender"/>
      <sheetName val="Summary"/>
      <sheetName val="Monthly flow"/>
      <sheetName val="Head loss_ Q30"/>
      <sheetName val="Total Energy_Q30"/>
      <sheetName val="Head loss_ Q35"/>
      <sheetName val="Total Energy_Q35"/>
      <sheetName val="Head loss_ Q43(old)"/>
      <sheetName val="Total Energy(Old)"/>
      <sheetName val="Head loss_ Q43"/>
      <sheetName val="Total Energy_Q43 "/>
      <sheetName val="Head loss_ Q45"/>
      <sheetName val="Total Energy_Q45"/>
      <sheetName val="Head loss_ Q50"/>
      <sheetName val="Total Energy_Q50"/>
      <sheetName val="Head loss_ Q55"/>
      <sheetName val="Total Energy_Q55"/>
      <sheetName val="Head loss_ Q60"/>
      <sheetName val="Total Energy_Q60"/>
      <sheetName val="TWL"/>
      <sheetName val="efficiency from chart "/>
      <sheetName val="Summary of all layout options"/>
      <sheetName val="Total Energy_Pipecanal"/>
      <sheetName val="NPV(Diffof Pipe&amp;canal)"/>
      <sheetName val="Bend loss"/>
      <sheetName val="Capcity finalization"/>
      <sheetName val="Energy summary"/>
      <sheetName val="Total Energy_with 16.2"/>
      <sheetName val="Incremental cost SB"/>
      <sheetName val="efficiency shee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8">
          <cell r="B28" t="str">
            <v>Baishakh</v>
          </cell>
        </row>
        <row r="29">
          <cell r="B29" t="str">
            <v>Jestha</v>
          </cell>
        </row>
        <row r="32">
          <cell r="B32" t="str">
            <v>Ashadh</v>
          </cell>
        </row>
        <row r="33">
          <cell r="B33" t="str">
            <v>Shrawan</v>
          </cell>
        </row>
        <row r="34">
          <cell r="B34" t="str">
            <v>Bhadra</v>
          </cell>
        </row>
        <row r="35">
          <cell r="B35" t="str">
            <v>Ashwin</v>
          </cell>
        </row>
        <row r="36">
          <cell r="B36" t="str">
            <v>Kartik</v>
          </cell>
        </row>
        <row r="37">
          <cell r="B37" t="str">
            <v>Mangshir</v>
          </cell>
        </row>
        <row r="40">
          <cell r="B40" t="str">
            <v>Paush</v>
          </cell>
        </row>
        <row r="41">
          <cell r="B41" t="str">
            <v>Magh</v>
          </cell>
        </row>
        <row r="42">
          <cell r="B42" t="str">
            <v>Fagun</v>
          </cell>
        </row>
        <row r="43">
          <cell r="B43" t="str">
            <v>Chaitra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lood Summary (2)"/>
      <sheetName val="Salient Features "/>
      <sheetName val="Flood Summary"/>
      <sheetName val="Coffer dam "/>
      <sheetName val="Spillway_Levels "/>
      <sheetName val="Weir "/>
      <sheetName val="Q2 "/>
      <sheetName val="Stilling basin "/>
      <sheetName val="Ds Flow aftr weir"/>
      <sheetName val="Stilling basin floor"/>
      <sheetName val="Undersluice Section "/>
      <sheetName val="Undersluice "/>
      <sheetName val="Trash Passage"/>
      <sheetName val="Intake"/>
      <sheetName val="Sheet2"/>
      <sheetName val="Gravel Trap"/>
      <sheetName val="Approach Culvert "/>
      <sheetName val="Ogee des "/>
      <sheetName val="HL one bay operation"/>
      <sheetName val="Energy  Nep (3)"/>
      <sheetName val="Compare Energy_564"/>
      <sheetName val="Energy_564"/>
      <sheetName val="Energy_636"/>
      <sheetName val="Compare Energy"/>
      <sheetName val="Headloss Estimation"/>
      <sheetName val="Sheet7"/>
      <sheetName val="Bend loss"/>
      <sheetName val="headloss summary"/>
      <sheetName val="Sheet5"/>
      <sheetName val="Bearing check_ central cut-off"/>
      <sheetName val="Settling Basin_Camp_final"/>
      <sheetName val="Settling Basin_vetter_16.2"/>
      <sheetName val="Settling Basin_vetter_20.2"/>
      <sheetName val="Settling Basin Flushing Outage"/>
      <sheetName val="Submergence at outlet of SB"/>
      <sheetName val="Spillway at SB"/>
      <sheetName val="Surge in Settling basin"/>
      <sheetName val="GT Spillway"/>
      <sheetName val="Stage Discharge Curve"/>
      <sheetName val="stilling basin length"/>
      <sheetName val="Bellmouth"/>
      <sheetName val="Flood"/>
      <sheetName val="Sheet1"/>
      <sheetName val="Gate Details"/>
      <sheetName val="Sheet3"/>
      <sheetName val="Sheet4"/>
    </sheetNames>
    <sheetDataSet>
      <sheetData sheetId="0"/>
      <sheetData sheetId="1"/>
      <sheetData sheetId="2">
        <row r="1">
          <cell r="B1" t="str">
            <v>Lower Erkhuwa Hydropower Project (14.15 MW)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29">
          <cell r="G29">
            <v>494</v>
          </cell>
        </row>
        <row r="31">
          <cell r="G31">
            <v>496</v>
          </cell>
        </row>
        <row r="39">
          <cell r="G39" t="str">
            <v>Rectangular</v>
          </cell>
        </row>
      </sheetData>
      <sheetData sheetId="14"/>
      <sheetData sheetId="15"/>
      <sheetData sheetId="16">
        <row r="44">
          <cell r="G44">
            <v>0.32870833333333327</v>
          </cell>
        </row>
      </sheetData>
      <sheetData sheetId="17"/>
      <sheetData sheetId="18">
        <row r="84">
          <cell r="M84">
            <v>495.21436432867444</v>
          </cell>
        </row>
      </sheetData>
      <sheetData sheetId="19"/>
      <sheetData sheetId="20"/>
      <sheetData sheetId="21"/>
      <sheetData sheetId="22">
        <row r="26">
          <cell r="E26">
            <v>5.6539999999999999</v>
          </cell>
          <cell r="F26">
            <v>4.8604889697070206</v>
          </cell>
        </row>
        <row r="27">
          <cell r="F27">
            <v>19.835700339079036</v>
          </cell>
        </row>
        <row r="30">
          <cell r="F30">
            <v>21.82061939073396</v>
          </cell>
        </row>
        <row r="31">
          <cell r="F31">
            <v>21.82061939073396</v>
          </cell>
        </row>
        <row r="32">
          <cell r="F32">
            <v>21.82061939073396</v>
          </cell>
        </row>
        <row r="33">
          <cell r="F33">
            <v>21.82061939073396</v>
          </cell>
        </row>
        <row r="34">
          <cell r="F34">
            <v>17.689371378818084</v>
          </cell>
        </row>
        <row r="35">
          <cell r="F35">
            <v>5.9210569757525411</v>
          </cell>
        </row>
        <row r="38">
          <cell r="F38">
            <v>2.7414096372400527</v>
          </cell>
        </row>
        <row r="39">
          <cell r="F39">
            <v>2.1552816432056989</v>
          </cell>
        </row>
        <row r="40">
          <cell r="F40">
            <v>2.1363318091323471</v>
          </cell>
        </row>
        <row r="41">
          <cell r="F41">
            <v>2.3861673754975743</v>
          </cell>
        </row>
      </sheetData>
      <sheetData sheetId="23"/>
      <sheetData sheetId="24"/>
      <sheetData sheetId="25"/>
      <sheetData sheetId="26">
        <row r="23">
          <cell r="H23">
            <v>0.23771200000000001</v>
          </cell>
        </row>
      </sheetData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lood Summary (2)"/>
      <sheetName val="Salient Features "/>
      <sheetName val="Flood Summary"/>
      <sheetName val="Coffer dam "/>
      <sheetName val="Spillway_Levels "/>
      <sheetName val="Weir "/>
      <sheetName val="Q2 "/>
      <sheetName val="Stilling basin "/>
      <sheetName val="Ds Flow aftr weir"/>
      <sheetName val="Stilling basin floor"/>
      <sheetName val="Undersluice Section "/>
      <sheetName val="Undersluice "/>
      <sheetName val="Trash Passage"/>
      <sheetName val="Intake"/>
      <sheetName val="Sheet2"/>
      <sheetName val="Gravel Trap"/>
      <sheetName val="Approach Culvert "/>
      <sheetName val="Ogee des "/>
      <sheetName val="HL one bay operation"/>
      <sheetName val="Energy  Nep (3)"/>
      <sheetName val="Compare Energy_564"/>
      <sheetName val="Energy_564"/>
      <sheetName val="Energy_636"/>
      <sheetName val="Compare Energy"/>
      <sheetName val="Headloss Estimation"/>
      <sheetName val="Sheet7"/>
      <sheetName val="Bend loss"/>
      <sheetName val="headloss summary"/>
      <sheetName val="Sheet5"/>
      <sheetName val="Bearing check_ central cut-off"/>
      <sheetName val="Settling Basin_Camp_final"/>
      <sheetName val="Settling Basin_vetter_16.2"/>
      <sheetName val="Settling Basin_vetter_20.2"/>
      <sheetName val="Settling Basin Flushing Outage"/>
      <sheetName val="Submergence at outlet of SB"/>
      <sheetName val="Spillway at SB"/>
      <sheetName val="Surge in Settling basin"/>
      <sheetName val="GT Spillway"/>
      <sheetName val="Stage Discharge Curve"/>
      <sheetName val="stilling basin length"/>
      <sheetName val="Bellmouth"/>
      <sheetName val="Flood"/>
      <sheetName val="Sheet1"/>
      <sheetName val="Gate Details"/>
      <sheetName val="Sheet3"/>
      <sheetName val="Sheet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>
        <row r="24">
          <cell r="T24" t="str">
            <v>Dry season energy</v>
          </cell>
          <cell r="U24" t="str">
            <v>Wet season energy</v>
          </cell>
        </row>
        <row r="25">
          <cell r="T25" t="str">
            <v>(GWh)</v>
          </cell>
          <cell r="U25" t="str">
            <v>(GWh)</v>
          </cell>
        </row>
        <row r="26">
          <cell r="T26">
            <v>19.084875</v>
          </cell>
        </row>
        <row r="28">
          <cell r="T28">
            <v>18.197752000000001</v>
          </cell>
        </row>
        <row r="29">
          <cell r="U29">
            <v>19.410934999999998</v>
          </cell>
        </row>
        <row r="30">
          <cell r="U30">
            <v>41.823683000000003</v>
          </cell>
        </row>
        <row r="31">
          <cell r="U31">
            <v>40.516691999999999</v>
          </cell>
        </row>
        <row r="32">
          <cell r="U32">
            <v>40.516691999999999</v>
          </cell>
        </row>
        <row r="33">
          <cell r="U33">
            <v>40.516691999999999</v>
          </cell>
        </row>
        <row r="34">
          <cell r="U34">
            <v>39.209702</v>
          </cell>
        </row>
        <row r="36">
          <cell r="U36">
            <v>10.889794</v>
          </cell>
        </row>
        <row r="37">
          <cell r="T37">
            <v>10.163809000000001</v>
          </cell>
        </row>
        <row r="38">
          <cell r="T38">
            <v>16.756440999999999</v>
          </cell>
        </row>
        <row r="39">
          <cell r="T39">
            <v>12.995863</v>
          </cell>
        </row>
        <row r="40">
          <cell r="T40">
            <v>12.890288</v>
          </cell>
        </row>
        <row r="41">
          <cell r="T41">
            <v>13.020546</v>
          </cell>
        </row>
        <row r="43">
          <cell r="T43">
            <v>0</v>
          </cell>
        </row>
      </sheetData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AR with Darbang Myagdi"/>
      <sheetName val="CAR_manglghat_daily"/>
      <sheetName val="CAR_Mangalghat_daily avg"/>
      <sheetName val="runoffrainfall"/>
      <sheetName val="MCAR_manglghat"/>
      <sheetName val="PCAR_manglghat"/>
      <sheetName val="comparison_CAR"/>
      <sheetName val="rating curve1"/>
      <sheetName val="daily_measured _WSCADA"/>
      <sheetName val="Precipitation"/>
      <sheetName val="thiessen"/>
      <sheetName val="CAR with rahughat"/>
      <sheetName val="IDW"/>
      <sheetName val="regional_regression"/>
      <sheetName val="regional_regression_log"/>
      <sheetName val="Regional regression_FDC"/>
      <sheetName val="Regional regression_FDC_log"/>
      <sheetName val="Comparison_FDC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19">
          <cell r="J19">
            <v>6</v>
          </cell>
          <cell r="K19">
            <v>6.09</v>
          </cell>
          <cell r="R19">
            <v>6.09</v>
          </cell>
        </row>
        <row r="20">
          <cell r="J20">
            <v>10.79</v>
          </cell>
          <cell r="K20">
            <v>11.8</v>
          </cell>
          <cell r="R20">
            <v>12.34444648125252</v>
          </cell>
        </row>
        <row r="21">
          <cell r="J21">
            <v>42.62</v>
          </cell>
          <cell r="K21">
            <v>45.42</v>
          </cell>
          <cell r="R21">
            <v>45.42</v>
          </cell>
        </row>
        <row r="22">
          <cell r="J22">
            <v>81.430000000000007</v>
          </cell>
          <cell r="K22">
            <v>73.28</v>
          </cell>
          <cell r="R22">
            <v>55.662426127241801</v>
          </cell>
        </row>
        <row r="23">
          <cell r="J23">
            <v>68.069999999999993</v>
          </cell>
          <cell r="K23">
            <v>65.41</v>
          </cell>
          <cell r="R23">
            <v>47.643535419876692</v>
          </cell>
        </row>
        <row r="24">
          <cell r="J24">
            <v>33.14</v>
          </cell>
          <cell r="K24">
            <v>36.1</v>
          </cell>
          <cell r="R24">
            <v>27.157036695760414</v>
          </cell>
        </row>
        <row r="25">
          <cell r="J25">
            <v>13.78</v>
          </cell>
          <cell r="K25">
            <v>13.49</v>
          </cell>
          <cell r="R25">
            <v>11.659600738991886</v>
          </cell>
        </row>
        <row r="26">
          <cell r="J26">
            <v>7.86</v>
          </cell>
          <cell r="K26">
            <v>7.11</v>
          </cell>
          <cell r="R26">
            <v>6.7443114937084667</v>
          </cell>
        </row>
        <row r="27">
          <cell r="J27">
            <v>5.72</v>
          </cell>
          <cell r="K27">
            <v>5.56</v>
          </cell>
          <cell r="R27">
            <v>4.4936370445151486</v>
          </cell>
        </row>
        <row r="28">
          <cell r="J28">
            <v>4.66</v>
          </cell>
          <cell r="K28">
            <v>4.54</v>
          </cell>
          <cell r="R28">
            <v>3.9165834856166404</v>
          </cell>
        </row>
        <row r="29">
          <cell r="J29">
            <v>4.17</v>
          </cell>
          <cell r="K29">
            <v>4.3600000000000003</v>
          </cell>
        </row>
        <row r="30">
          <cell r="J30">
            <v>4.45</v>
          </cell>
          <cell r="K30">
            <v>4.41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AR with Darbang Myagdi"/>
      <sheetName val="CAR_Mangalghat_daily avg"/>
      <sheetName val="runoffrainfall"/>
      <sheetName val="MCAR_manglghat"/>
      <sheetName val="PCAR_manglghat"/>
      <sheetName val="Sheet1"/>
      <sheetName val="rating curve1"/>
      <sheetName val="daily_measured _WSCADA"/>
      <sheetName val="Precipitation"/>
      <sheetName val="thiessen"/>
      <sheetName val="CAR with rahughat"/>
      <sheetName val="IDW"/>
      <sheetName val="regional_regression"/>
      <sheetName val="regional_regression_log"/>
      <sheetName val="Regional regression_FDC"/>
      <sheetName val="Regional regression_FDC_log"/>
      <sheetName val="comparison_CAR"/>
      <sheetName val="Comparison_FDC"/>
      <sheetName val="Sheet2"/>
      <sheetName val="CAR_manglghat_daily"/>
      <sheetName val="Sheet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29">
          <cell r="R29">
            <v>3.8959999999999999</v>
          </cell>
        </row>
        <row r="30">
          <cell r="R30">
            <v>4.41</v>
          </cell>
        </row>
      </sheetData>
      <sheetData sheetId="17"/>
      <sheetData sheetId="18"/>
      <sheetData sheetId="19"/>
      <sheetData sheetId="2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ttling basin III"/>
      <sheetName val="settling basin IV a"/>
      <sheetName val="settling basin IV b"/>
      <sheetName val="settling basin 200"/>
      <sheetName val="settling basin 220"/>
      <sheetName val="settling basin 240"/>
      <sheetName val="settling basin 250"/>
      <sheetName val="settling basin 260"/>
      <sheetName val="settling basin 280"/>
      <sheetName val="settling basin 300"/>
      <sheetName val="settling basin 320"/>
      <sheetName val="settling basin 340"/>
      <sheetName val="settling basin 360"/>
      <sheetName val="settling basin 380"/>
      <sheetName val="settling basin 400"/>
      <sheetName val="Hydrolog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6">
          <cell r="D6">
            <v>3.8</v>
          </cell>
        </row>
        <row r="7">
          <cell r="D7">
            <v>1.026</v>
          </cell>
        </row>
        <row r="8">
          <cell r="D8">
            <v>2.98</v>
          </cell>
        </row>
        <row r="9">
          <cell r="D9">
            <v>0.34429530201342284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eneral Data"/>
      <sheetName val="Hydrograph"/>
      <sheetName val="Return Period"/>
      <sheetName val="Flow Duration Curve"/>
      <sheetName val="Hydrology"/>
      <sheetName val="Metrology  Data"/>
      <sheetName val="Water Level"/>
      <sheetName val="Weir Design"/>
      <sheetName val="Format A (2)"/>
      <sheetName val="Side Intake and Orifice"/>
      <sheetName val="Trashracks"/>
      <sheetName val="Gravel Trap"/>
      <sheetName val="Gravel Flushing Chanel"/>
      <sheetName val="Intake Canal"/>
      <sheetName val="Settling Flushing Chanel "/>
      <sheetName val="Headrace Canal "/>
      <sheetName val="Headrace Tunnel1 - Option 1"/>
      <sheetName val="Headrace Canal  (2)"/>
      <sheetName val="Headrace Canal  (3)"/>
      <sheetName val="Headrace Tunnel2 - Option 1"/>
      <sheetName val="Headrace Tunnel2 - Option 1 (2)"/>
      <sheetName val="Headrace Tunnel - Option2"/>
      <sheetName val="HeadLoss"/>
      <sheetName val="Hydraulic Gadient"/>
      <sheetName val="Hydraulic Gadient (2)"/>
      <sheetName val="Surge Shaft"/>
      <sheetName val="Penstock"/>
      <sheetName val="Format A"/>
    </sheetNames>
    <sheetDataSet>
      <sheetData sheetId="0"/>
      <sheetData sheetId="1" refreshError="1"/>
      <sheetData sheetId="2" refreshError="1"/>
      <sheetData sheetId="3" refreshError="1"/>
      <sheetData sheetId="4"/>
      <sheetData sheetId="5"/>
      <sheetData sheetId="6"/>
      <sheetData sheetId="7"/>
      <sheetData sheetId="8"/>
      <sheetData sheetId="9">
        <row r="8">
          <cell r="C8">
            <v>2.94</v>
          </cell>
        </row>
      </sheetData>
      <sheetData sheetId="10"/>
      <sheetData sheetId="11"/>
      <sheetData sheetId="12"/>
      <sheetData sheetId="13">
        <row r="13">
          <cell r="C13">
            <v>2</v>
          </cell>
        </row>
      </sheetData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eneral Data"/>
      <sheetName val="Hydrograph"/>
      <sheetName val="Return Period"/>
      <sheetName val="Flow Duration Curve"/>
      <sheetName val="Hydrology"/>
      <sheetName val="Metrology  Data"/>
      <sheetName val="Water Level"/>
      <sheetName val="Weir Design"/>
      <sheetName val="Weir Uplift"/>
      <sheetName val="Format A (2)"/>
      <sheetName val="Side Intake and Orifice"/>
      <sheetName val="Trashracks"/>
      <sheetName val="Gravel Trap"/>
      <sheetName val="Gravel Flushing Chanel"/>
      <sheetName val="Intake Canal"/>
      <sheetName val="Settling Basin"/>
      <sheetName val="Settling Flushing Chanel "/>
      <sheetName val="Headrace Tunnel1 - Option 1"/>
      <sheetName val="Headrace Canal  (2)"/>
      <sheetName val="Headrace Canal  (3)"/>
      <sheetName val="Headrace Tunnel2 - Option 1"/>
      <sheetName val="Headrace Tunnel2 - Option 1 (2)"/>
      <sheetName val="Headrace Tunnel - Option2"/>
      <sheetName val="HeadLoss"/>
      <sheetName val="Hydraulic Gadient"/>
      <sheetName val="Hydraulic Gadient (2)"/>
      <sheetName val="HeadLoss (2)"/>
      <sheetName val="HeadLoss HFL"/>
      <sheetName val="HeadLossApril"/>
      <sheetName val="HeadLossApril (3)"/>
      <sheetName val="Headrace Tunnel III Phase 1"/>
      <sheetName val="Headrace Canal Option III"/>
      <sheetName val="Headrace Tunnel III Phase 2"/>
      <sheetName val="Surge Shaft 3m dia"/>
      <sheetName val="Surge Shaft 4m dia"/>
      <sheetName val="Penstock"/>
      <sheetName val="Side Intake and Orifice (2)"/>
      <sheetName val="Headrace Canal  before st"/>
      <sheetName val="Format A (3)"/>
      <sheetName val="Hydraulig Jump"/>
      <sheetName val="Headloss final"/>
    </sheetNames>
    <sheetDataSet>
      <sheetData sheetId="0"/>
      <sheetData sheetId="1" refreshError="1"/>
      <sheetData sheetId="2" refreshError="1"/>
      <sheetData sheetId="3" refreshError="1"/>
      <sheetData sheetId="4"/>
      <sheetData sheetId="5"/>
      <sheetData sheetId="6">
        <row r="14">
          <cell r="B14">
            <v>1535.41</v>
          </cell>
        </row>
        <row r="19">
          <cell r="B19">
            <v>1537.81</v>
          </cell>
        </row>
      </sheetData>
      <sheetData sheetId="7"/>
      <sheetData sheetId="8"/>
      <sheetData sheetId="9"/>
      <sheetData sheetId="10">
        <row r="18">
          <cell r="H18">
            <v>1.6415788877562578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eneral Data"/>
      <sheetName val="Hydrograph"/>
      <sheetName val="Return Period"/>
      <sheetName val="Flow Duration Curve"/>
      <sheetName val="Hydrology"/>
      <sheetName val="Metrology  Data"/>
      <sheetName val="Water Level"/>
      <sheetName val="Weir Design"/>
      <sheetName val="Format A (2)"/>
      <sheetName val="Side Intake and Orifice"/>
      <sheetName val="Trashracks"/>
      <sheetName val="Gravel Trap"/>
      <sheetName val="Gravel Flushing Chanel"/>
      <sheetName val="Intake Canal"/>
      <sheetName val="Settling Basin"/>
      <sheetName val="Settling Flushing Chanel "/>
      <sheetName val="Headrace Canal "/>
      <sheetName val="Headrace Tunnel1 - Option 1"/>
      <sheetName val="Headrace Canal  (2)"/>
      <sheetName val="Headrace Tunnel2 - Option 1"/>
      <sheetName val="Headrace Tunnel - Option2"/>
      <sheetName val="HeadLoss"/>
      <sheetName val="Hydraulic Gadient"/>
      <sheetName val="Format A"/>
      <sheetName val="subs weir(100)"/>
      <sheetName val="Headloss final"/>
    </sheetNames>
    <sheetDataSet>
      <sheetData sheetId="0">
        <row r="7">
          <cell r="B7">
            <v>2.94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10">
          <cell r="C10">
            <v>0.02</v>
          </cell>
        </row>
      </sheetData>
      <sheetData sheetId="14">
        <row r="31">
          <cell r="I31">
            <v>2.8266242162540216</v>
          </cell>
        </row>
      </sheetData>
      <sheetData sheetId="15"/>
      <sheetData sheetId="16">
        <row r="20">
          <cell r="H20">
            <v>3.375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 refreshError="1"/>
      <sheetData sheetId="25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undersluice hydraulics NWL  (2)"/>
      <sheetName val="fine trash rack "/>
      <sheetName val="submergence depth "/>
      <sheetName val="side intake "/>
      <sheetName val="hl loss"/>
      <sheetName val="gravel trap "/>
      <sheetName val="fixing of water way crest "/>
      <sheetName val="undersluice hydraulics HFL"/>
      <sheetName val="undersluice hydraulics NWL "/>
      <sheetName val="undersluice HFL "/>
      <sheetName val="boulder weir "/>
      <sheetName val="ogee weir "/>
      <sheetName val="head over the weir "/>
      <sheetName val="sheet pile "/>
      <sheetName val="khosla analysis"/>
      <sheetName val="floor thickness "/>
      <sheetName val="Protection works "/>
      <sheetName val="vertical drop weir "/>
      <sheetName val="undersluice "/>
      <sheetName val="Sheet1"/>
      <sheetName val="Sheet2"/>
      <sheetName val="Sheet3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D1">
            <v>426</v>
          </cell>
        </row>
        <row r="2">
          <cell r="D2">
            <v>426</v>
          </cell>
        </row>
        <row r="348">
          <cell r="D348">
            <v>12</v>
          </cell>
        </row>
        <row r="349">
          <cell r="D349">
            <v>2</v>
          </cell>
        </row>
        <row r="351">
          <cell r="D351">
            <v>412</v>
          </cell>
        </row>
        <row r="353">
          <cell r="D353">
            <v>10.3</v>
          </cell>
        </row>
        <row r="397">
          <cell r="D397">
            <v>40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undersluice hydraulics NWL  (2)"/>
      <sheetName val="fine trash rack "/>
      <sheetName val="submergence depth "/>
      <sheetName val="side intake "/>
      <sheetName val="hl loss"/>
      <sheetName val="gravel trap "/>
      <sheetName val="fixing of water way crest "/>
      <sheetName val="undersluice hydraulics HFL"/>
      <sheetName val="undersluice hydraulics NWL "/>
      <sheetName val="undersluice HFL "/>
      <sheetName val="boulder weir "/>
      <sheetName val="ogee weir "/>
      <sheetName val="head over the weir "/>
      <sheetName val="sheet pile "/>
      <sheetName val="khosla analysis"/>
      <sheetName val="floor thickness "/>
      <sheetName val="Protection works "/>
      <sheetName val="vertical drop weir "/>
      <sheetName val="undersluice "/>
      <sheetName val="Sheet1"/>
      <sheetName val="Sheet2"/>
      <sheetName val="Sheet3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D1">
            <v>426</v>
          </cell>
        </row>
        <row r="2">
          <cell r="D2">
            <v>426</v>
          </cell>
        </row>
        <row r="348">
          <cell r="D348">
            <v>12</v>
          </cell>
        </row>
        <row r="349">
          <cell r="D349">
            <v>2</v>
          </cell>
        </row>
        <row r="351">
          <cell r="D351">
            <v>412</v>
          </cell>
        </row>
        <row r="353">
          <cell r="D353">
            <v>10.3</v>
          </cell>
        </row>
        <row r="397">
          <cell r="D397">
            <v>40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eneral Data"/>
      <sheetName val="Hydrograph"/>
      <sheetName val="Return Period"/>
      <sheetName val="Flow Duration Curve"/>
      <sheetName val="Hydrology"/>
      <sheetName val="Metrology  Data"/>
      <sheetName val="Water Level"/>
      <sheetName val="Weir Design"/>
      <sheetName val="Weir Uplift"/>
      <sheetName val="Format A (2)"/>
      <sheetName val="Side Intake and Orifice"/>
      <sheetName val="Trashracks"/>
      <sheetName val="Gravel Trap"/>
      <sheetName val="Gravel Flushing Chanel"/>
      <sheetName val="Intake Canal"/>
      <sheetName val="Settling Basin"/>
      <sheetName val="Settling Flushing Chanel "/>
      <sheetName val="Headrace Tunnel1 - Option 1"/>
      <sheetName val="Headrace Canal  (2)"/>
      <sheetName val="Headrace Canal  (3)"/>
      <sheetName val="Headrace Tunnel2 - Option 1"/>
      <sheetName val="Headrace Tunnel2 - Option 1 (2)"/>
      <sheetName val="Headrace Tunnel - Option2"/>
      <sheetName val="HeadLoss"/>
      <sheetName val="Hydraulic Gadient"/>
      <sheetName val="Hydraulic Gadient (2)"/>
      <sheetName val="HeadLoss (2)"/>
      <sheetName val="HeadLoss HFL"/>
      <sheetName val="HeadLossApril"/>
      <sheetName val="HeadLossApril (3)"/>
      <sheetName val="Headrace Tunnel III Phase 1"/>
      <sheetName val="Headrace Canal Option III"/>
      <sheetName val="Headrace Tunnel III Phase 2"/>
      <sheetName val="Surge Shaft 3m dia"/>
      <sheetName val="Surge Shaft 4m dia"/>
      <sheetName val="Penstock"/>
      <sheetName val="Side Intake and Orifice (2)"/>
      <sheetName val="Headrace Canal  before st"/>
      <sheetName val="Format A (3)"/>
      <sheetName val="Hydraulig Jump"/>
    </sheetNames>
    <sheetDataSet>
      <sheetData sheetId="0"/>
      <sheetData sheetId="1" refreshError="1"/>
      <sheetData sheetId="2" refreshError="1"/>
      <sheetData sheetId="3" refreshError="1"/>
      <sheetData sheetId="4"/>
      <sheetData sheetId="5"/>
      <sheetData sheetId="6"/>
      <sheetData sheetId="7"/>
      <sheetData sheetId="8"/>
      <sheetData sheetId="9"/>
      <sheetData sheetId="10">
        <row r="22">
          <cell r="H22">
            <v>51.720844308653703</v>
          </cell>
        </row>
      </sheetData>
      <sheetData sheetId="11"/>
      <sheetData sheetId="12"/>
      <sheetData sheetId="13"/>
      <sheetData sheetId="14"/>
      <sheetData sheetId="15">
        <row r="20">
          <cell r="C20">
            <v>9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eneral Data"/>
      <sheetName val="Hydrograph"/>
      <sheetName val="Return Period"/>
      <sheetName val="Flow Duration Curve"/>
      <sheetName val="Hydrology"/>
      <sheetName val="Metrology  Data"/>
      <sheetName val="Water Level"/>
      <sheetName val="Weir Design"/>
      <sheetName val="Weir Uplift"/>
      <sheetName val="Format A (2)"/>
      <sheetName val="Side Intake and Orifice"/>
      <sheetName val="Trashracks"/>
      <sheetName val="Gravel Trap"/>
      <sheetName val="Gravel Flushing Chanel"/>
      <sheetName val="Intake Canal"/>
      <sheetName val="Settling Basin"/>
      <sheetName val="Settling Flushing Chanel "/>
      <sheetName val="Headrace Tunnel1 - Option 1"/>
      <sheetName val="Headrace Canal  (2)"/>
      <sheetName val="Headrace Canal  (3)"/>
      <sheetName val="Headrace Tunnel2 - Option 1"/>
      <sheetName val="Headrace Tunnel2 - Option 1 (2)"/>
      <sheetName val="Headrace Tunnel - Option2"/>
      <sheetName val="HeadLoss"/>
      <sheetName val="Hydraulic Gadient"/>
      <sheetName val="Hydraulic Gadient (2)"/>
      <sheetName val="HeadLoss (2)"/>
      <sheetName val="HeadLoss HFL"/>
      <sheetName val="HeadLossApril"/>
      <sheetName val="HeadLossApril (3)"/>
      <sheetName val="Headrace Tunnel III Phase 1"/>
      <sheetName val="Headrace Canal Option III"/>
      <sheetName val="Headrace Tunnel III Phase 2"/>
      <sheetName val="Surge Shaft 3m dia"/>
      <sheetName val="Surge Shaft 4m dia"/>
      <sheetName val="Penstock"/>
      <sheetName val="Side Intake and Orifice (2)"/>
      <sheetName val="Headrace Canal  before st"/>
      <sheetName val="Format A (3)"/>
      <sheetName val="Hydraulig Jump"/>
      <sheetName val="Headrace Canal "/>
      <sheetName val="Submergence"/>
      <sheetName val="Headrace Tunnel I"/>
      <sheetName val="Headrace Tunnel II Phase 1"/>
      <sheetName val="Headrace Canal Option II"/>
      <sheetName val="Headrace Tunnel II Phase 2"/>
      <sheetName val="Basic Design"/>
      <sheetName val="HeadLossApril (2)"/>
      <sheetName val="Headloss final"/>
    </sheetNames>
    <sheetDataSet>
      <sheetData sheetId="0"/>
      <sheetData sheetId="1"/>
      <sheetData sheetId="2"/>
      <sheetData sheetId="3"/>
      <sheetData sheetId="4">
        <row r="22">
          <cell r="B22">
            <v>207.30894043101549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O25"/>
  <sheetViews>
    <sheetView workbookViewId="0"/>
  </sheetViews>
  <sheetFormatPr defaultColWidth="9.109375" defaultRowHeight="16.8" x14ac:dyDescent="0.45"/>
  <cols>
    <col min="1" max="1" width="9.109375" style="2"/>
    <col min="2" max="2" width="14.33203125" style="2" bestFit="1" customWidth="1"/>
    <col min="3" max="3" width="28.5546875" style="2" bestFit="1" customWidth="1"/>
    <col min="4" max="4" width="18.109375" style="2" customWidth="1"/>
    <col min="5" max="6" width="12.5546875" style="2" customWidth="1"/>
    <col min="7" max="7" width="15.88671875" style="2" customWidth="1"/>
    <col min="8" max="13" width="9.109375" style="2"/>
    <col min="14" max="14" width="11.5546875" style="2" bestFit="1" customWidth="1"/>
    <col min="15" max="16384" width="9.109375" style="2"/>
  </cols>
  <sheetData>
    <row r="2" spans="2:15" ht="33.6" x14ac:dyDescent="0.45">
      <c r="B2" s="79" t="s">
        <v>402</v>
      </c>
      <c r="C2" s="80" t="s">
        <v>403</v>
      </c>
      <c r="D2" s="81"/>
    </row>
    <row r="3" spans="2:15" ht="18" x14ac:dyDescent="0.5">
      <c r="B3" s="82">
        <v>100</v>
      </c>
      <c r="C3" s="83">
        <v>0.90500000000000003</v>
      </c>
      <c r="E3" s="84"/>
      <c r="F3" s="84"/>
      <c r="N3" s="85"/>
      <c r="O3" s="86"/>
    </row>
    <row r="4" spans="2:15" ht="18" x14ac:dyDescent="0.5">
      <c r="B4" s="87">
        <v>90</v>
      </c>
      <c r="C4" s="88">
        <v>0.90500000000000003</v>
      </c>
      <c r="E4" s="84"/>
      <c r="F4" s="84"/>
      <c r="N4" s="89"/>
      <c r="O4" s="90"/>
    </row>
    <row r="5" spans="2:15" ht="18" x14ac:dyDescent="0.5">
      <c r="B5" s="87">
        <v>80</v>
      </c>
      <c r="C5" s="88">
        <v>0.90500000000000003</v>
      </c>
      <c r="E5" s="91"/>
      <c r="F5" s="91"/>
      <c r="N5" s="89"/>
      <c r="O5" s="90"/>
    </row>
    <row r="6" spans="2:15" ht="18" x14ac:dyDescent="0.5">
      <c r="B6" s="87">
        <v>70</v>
      </c>
      <c r="C6" s="88">
        <v>0.90500000000000003</v>
      </c>
      <c r="E6" s="91"/>
      <c r="F6" s="91"/>
      <c r="N6" s="89"/>
      <c r="O6" s="90"/>
    </row>
    <row r="7" spans="2:15" ht="18" x14ac:dyDescent="0.5">
      <c r="B7" s="87">
        <v>60</v>
      </c>
      <c r="C7" s="88">
        <v>0.90500000000000003</v>
      </c>
      <c r="N7" s="89"/>
      <c r="O7" s="90"/>
    </row>
    <row r="8" spans="2:15" ht="18" x14ac:dyDescent="0.5">
      <c r="B8" s="87">
        <v>50</v>
      </c>
      <c r="C8" s="88">
        <v>0.90500000000000003</v>
      </c>
      <c r="G8" s="8"/>
      <c r="N8" s="89"/>
      <c r="O8" s="90"/>
    </row>
    <row r="9" spans="2:15" ht="18.75" customHeight="1" x14ac:dyDescent="0.5">
      <c r="B9" s="92" t="s">
        <v>404</v>
      </c>
      <c r="C9" s="88">
        <v>0.90500000000000003</v>
      </c>
      <c r="G9" s="8"/>
      <c r="N9" s="93"/>
      <c r="O9" s="90"/>
    </row>
    <row r="10" spans="2:15" x14ac:dyDescent="0.45">
      <c r="B10" s="2" t="s">
        <v>288</v>
      </c>
      <c r="D10" s="94">
        <f>'Energy '!E15</f>
        <v>12.5</v>
      </c>
      <c r="E10" s="2" t="s">
        <v>289</v>
      </c>
    </row>
    <row r="11" spans="2:15" x14ac:dyDescent="0.45">
      <c r="B11" s="2" t="s">
        <v>405</v>
      </c>
      <c r="D11" s="8">
        <f>'Energy '!E14</f>
        <v>3</v>
      </c>
    </row>
    <row r="12" spans="2:15" x14ac:dyDescent="0.45">
      <c r="B12" s="95"/>
      <c r="C12" s="95" t="s">
        <v>406</v>
      </c>
      <c r="D12" s="96">
        <f>D10/D11</f>
        <v>4.166666666666667</v>
      </c>
      <c r="E12" s="97"/>
      <c r="F12" s="103"/>
      <c r="G12" s="98"/>
      <c r="H12" s="278"/>
      <c r="I12" s="278"/>
    </row>
    <row r="13" spans="2:15" x14ac:dyDescent="0.45">
      <c r="B13" s="95" t="s">
        <v>21</v>
      </c>
      <c r="C13" s="95" t="s">
        <v>407</v>
      </c>
      <c r="D13" s="95" t="s">
        <v>408</v>
      </c>
      <c r="E13" s="95" t="s">
        <v>409</v>
      </c>
      <c r="F13" s="95" t="s">
        <v>411</v>
      </c>
      <c r="G13" s="99" t="s">
        <v>28</v>
      </c>
      <c r="H13" s="279" t="s">
        <v>410</v>
      </c>
      <c r="I13" s="279"/>
    </row>
    <row r="14" spans="2:15" x14ac:dyDescent="0.45">
      <c r="B14" s="95" t="str">
        <f>'[12]Total Energy(Old)'!B28</f>
        <v>Baishakh</v>
      </c>
      <c r="C14" s="96">
        <f>'Energy '!E26</f>
        <v>5.6539999999999999</v>
      </c>
      <c r="D14" s="100">
        <f>C14/1/$D$12</f>
        <v>1.3569599999999999</v>
      </c>
      <c r="E14" s="100">
        <f>C14/2/$D$12</f>
        <v>0.67847999999999997</v>
      </c>
      <c r="F14" s="100">
        <f>C14/3/$D$12</f>
        <v>0.45232</v>
      </c>
      <c r="G14" s="101">
        <v>0.91</v>
      </c>
      <c r="H14" s="17">
        <v>2</v>
      </c>
      <c r="I14" s="95"/>
      <c r="J14" s="102">
        <v>0.9</v>
      </c>
    </row>
    <row r="15" spans="2:15" x14ac:dyDescent="0.45">
      <c r="B15" s="95" t="str">
        <f>'[12]Total Energy(Old)'!B29</f>
        <v>Jestha</v>
      </c>
      <c r="C15" s="96">
        <f>'Energy '!E27</f>
        <v>11.364000000000001</v>
      </c>
      <c r="D15" s="100">
        <f t="shared" ref="D15:D25" si="0">C15/1/$D$12</f>
        <v>2.72736</v>
      </c>
      <c r="E15" s="100">
        <f t="shared" ref="E15:E25" si="1">C15/2/$D$12</f>
        <v>1.36368</v>
      </c>
      <c r="F15" s="100">
        <f t="shared" ref="F15:F25" si="2">C15/3/$D$12</f>
        <v>0.90912000000000004</v>
      </c>
      <c r="G15" s="101">
        <v>0.91</v>
      </c>
      <c r="H15" s="17">
        <v>3</v>
      </c>
      <c r="I15" s="95"/>
      <c r="J15" s="102">
        <v>0.91</v>
      </c>
    </row>
    <row r="16" spans="2:15" x14ac:dyDescent="0.45">
      <c r="B16" s="95" t="str">
        <f>'[12]Total Energy(Old)'!B32</f>
        <v>Ashadh</v>
      </c>
      <c r="C16" s="96">
        <f>'Energy '!E30</f>
        <v>12.5</v>
      </c>
      <c r="D16" s="100">
        <f t="shared" si="0"/>
        <v>3</v>
      </c>
      <c r="E16" s="100">
        <f t="shared" si="1"/>
        <v>1.5</v>
      </c>
      <c r="F16" s="100">
        <f t="shared" si="2"/>
        <v>1</v>
      </c>
      <c r="G16" s="101">
        <v>0.91</v>
      </c>
      <c r="H16" s="17">
        <v>3</v>
      </c>
      <c r="I16" s="95"/>
      <c r="J16" s="102">
        <v>0.91</v>
      </c>
    </row>
    <row r="17" spans="2:10" x14ac:dyDescent="0.45">
      <c r="B17" s="95" t="str">
        <f>'[12]Total Energy(Old)'!B33</f>
        <v>Shrawan</v>
      </c>
      <c r="C17" s="96">
        <f>'Energy '!E31</f>
        <v>12.5</v>
      </c>
      <c r="D17" s="100">
        <f t="shared" si="0"/>
        <v>3</v>
      </c>
      <c r="E17" s="100">
        <f t="shared" si="1"/>
        <v>1.5</v>
      </c>
      <c r="F17" s="100">
        <f t="shared" si="2"/>
        <v>1</v>
      </c>
      <c r="G17" s="101">
        <v>0.91</v>
      </c>
      <c r="H17" s="17">
        <v>3</v>
      </c>
      <c r="I17" s="95"/>
      <c r="J17" s="102">
        <v>0.91</v>
      </c>
    </row>
    <row r="18" spans="2:10" x14ac:dyDescent="0.45">
      <c r="B18" s="95" t="str">
        <f>'[12]Total Energy(Old)'!B34</f>
        <v>Bhadra</v>
      </c>
      <c r="C18" s="96">
        <f>'Energy '!E32</f>
        <v>12.5</v>
      </c>
      <c r="D18" s="100">
        <f t="shared" si="0"/>
        <v>3</v>
      </c>
      <c r="E18" s="100">
        <f t="shared" si="1"/>
        <v>1.5</v>
      </c>
      <c r="F18" s="100">
        <f t="shared" si="2"/>
        <v>1</v>
      </c>
      <c r="G18" s="101">
        <v>0.91</v>
      </c>
      <c r="H18" s="17">
        <v>3</v>
      </c>
      <c r="I18" s="95"/>
      <c r="J18" s="102">
        <v>0.91</v>
      </c>
    </row>
    <row r="19" spans="2:10" x14ac:dyDescent="0.45">
      <c r="B19" s="95" t="str">
        <f>'[12]Total Energy(Old)'!B35</f>
        <v>Ashwin</v>
      </c>
      <c r="C19" s="96">
        <f>'Energy '!E33</f>
        <v>12.5</v>
      </c>
      <c r="D19" s="100">
        <f t="shared" si="0"/>
        <v>3</v>
      </c>
      <c r="E19" s="100">
        <f t="shared" si="1"/>
        <v>1.5</v>
      </c>
      <c r="F19" s="100">
        <f t="shared" si="2"/>
        <v>1</v>
      </c>
      <c r="G19" s="101">
        <v>0.91</v>
      </c>
      <c r="H19" s="17">
        <v>3</v>
      </c>
      <c r="I19" s="95"/>
      <c r="J19" s="102">
        <v>0.91</v>
      </c>
    </row>
    <row r="20" spans="2:10" x14ac:dyDescent="0.45">
      <c r="B20" s="95" t="str">
        <f>'[12]Total Energy(Old)'!B36</f>
        <v>Kartik</v>
      </c>
      <c r="C20" s="96">
        <f>'Energy '!E34</f>
        <v>12.5</v>
      </c>
      <c r="D20" s="100">
        <f t="shared" si="0"/>
        <v>3</v>
      </c>
      <c r="E20" s="100">
        <f t="shared" si="1"/>
        <v>1.5</v>
      </c>
      <c r="F20" s="100">
        <f t="shared" si="2"/>
        <v>1</v>
      </c>
      <c r="G20" s="101">
        <v>0.91</v>
      </c>
      <c r="H20" s="17">
        <v>3</v>
      </c>
      <c r="I20" s="95"/>
      <c r="J20" s="102">
        <v>0.91</v>
      </c>
    </row>
    <row r="21" spans="2:10" x14ac:dyDescent="0.45">
      <c r="B21" s="95" t="str">
        <f>'[12]Total Energy(Old)'!B37</f>
        <v>Mangshir</v>
      </c>
      <c r="C21" s="96">
        <f>'Energy '!E35</f>
        <v>6.6740000000000004</v>
      </c>
      <c r="D21" s="100">
        <f t="shared" si="0"/>
        <v>1.6017600000000001</v>
      </c>
      <c r="E21" s="100">
        <f t="shared" si="1"/>
        <v>0.80088000000000004</v>
      </c>
      <c r="F21" s="100">
        <f t="shared" si="2"/>
        <v>0.53391999999999995</v>
      </c>
      <c r="G21" s="101">
        <v>0.91</v>
      </c>
      <c r="H21" s="17">
        <v>3</v>
      </c>
      <c r="I21" s="95"/>
      <c r="J21" s="102">
        <v>0.89</v>
      </c>
    </row>
    <row r="22" spans="2:10" x14ac:dyDescent="0.45">
      <c r="B22" s="95" t="str">
        <f>'[12]Total Energy(Old)'!B40</f>
        <v>Paush</v>
      </c>
      <c r="C22" s="96">
        <f>'Energy '!E38</f>
        <v>5.1239999999999997</v>
      </c>
      <c r="D22" s="100">
        <f t="shared" si="0"/>
        <v>1.2297599999999997</v>
      </c>
      <c r="E22" s="100">
        <f t="shared" si="1"/>
        <v>0.61487999999999987</v>
      </c>
      <c r="F22" s="100">
        <f t="shared" si="2"/>
        <v>0.40991999999999995</v>
      </c>
      <c r="G22" s="101">
        <v>0.91</v>
      </c>
      <c r="H22" s="17">
        <v>2</v>
      </c>
      <c r="I22" s="95"/>
      <c r="J22" s="102">
        <v>0.89</v>
      </c>
    </row>
    <row r="23" spans="2:10" x14ac:dyDescent="0.45">
      <c r="B23" s="95" t="str">
        <f>'[12]Total Energy(Old)'!B41</f>
        <v>Magh</v>
      </c>
      <c r="C23" s="96">
        <f>'Energy '!E39</f>
        <v>4.1040000000000001</v>
      </c>
      <c r="D23" s="100">
        <f t="shared" si="0"/>
        <v>0.98495999999999995</v>
      </c>
      <c r="E23" s="100">
        <f t="shared" si="1"/>
        <v>0.49247999999999997</v>
      </c>
      <c r="F23" s="100">
        <f t="shared" si="2"/>
        <v>0.32832</v>
      </c>
      <c r="G23" s="101">
        <v>0.91</v>
      </c>
      <c r="H23" s="17">
        <v>2</v>
      </c>
      <c r="I23" s="95"/>
      <c r="J23" s="102">
        <v>0.9</v>
      </c>
    </row>
    <row r="24" spans="2:10" x14ac:dyDescent="0.45">
      <c r="B24" s="95" t="str">
        <f>'[12]Total Energy(Old)'!B42</f>
        <v>Fagun</v>
      </c>
      <c r="C24" s="96">
        <f>'Energy '!E40</f>
        <v>3.9240000000000004</v>
      </c>
      <c r="D24" s="100">
        <f t="shared" si="0"/>
        <v>0.94176000000000004</v>
      </c>
      <c r="E24" s="100">
        <f t="shared" si="1"/>
        <v>0.47088000000000002</v>
      </c>
      <c r="F24" s="100">
        <f t="shared" si="2"/>
        <v>0.31391999999999998</v>
      </c>
      <c r="G24" s="101">
        <v>0.91</v>
      </c>
      <c r="H24" s="17">
        <v>1</v>
      </c>
      <c r="I24" s="95"/>
      <c r="J24" s="102">
        <v>0.89</v>
      </c>
    </row>
    <row r="25" spans="2:10" x14ac:dyDescent="0.45">
      <c r="B25" s="95" t="str">
        <f>'[12]Total Energy(Old)'!B43</f>
        <v>Chaitra</v>
      </c>
      <c r="C25" s="96">
        <f>'Energy '!E41</f>
        <v>3.9740000000000002</v>
      </c>
      <c r="D25" s="100">
        <f t="shared" si="0"/>
        <v>0.95375999999999994</v>
      </c>
      <c r="E25" s="100">
        <f t="shared" si="1"/>
        <v>0.47687999999999997</v>
      </c>
      <c r="F25" s="100">
        <f t="shared" si="2"/>
        <v>0.31791999999999998</v>
      </c>
      <c r="G25" s="101">
        <v>0.91</v>
      </c>
      <c r="H25" s="17">
        <v>1</v>
      </c>
      <c r="I25" s="95"/>
      <c r="J25" s="102">
        <v>0.9</v>
      </c>
    </row>
  </sheetData>
  <mergeCells count="2">
    <mergeCell ref="H12:I12"/>
    <mergeCell ref="H13:I13"/>
  </mergeCells>
  <printOptions horizontalCentered="1"/>
  <pageMargins left="0.7" right="0.7" top="0.75" bottom="0.75" header="0.3" footer="0.3"/>
  <pageSetup paperSize="9" scale="68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 tint="0.39997558519241921"/>
    <pageSetUpPr fitToPage="1"/>
  </sheetPr>
  <dimension ref="A1:AK541"/>
  <sheetViews>
    <sheetView topLeftCell="A443" zoomScale="85" zoomScaleNormal="85" zoomScalePageLayoutView="55" workbookViewId="0">
      <selection activeCell="F440" sqref="F440"/>
    </sheetView>
  </sheetViews>
  <sheetFormatPr defaultColWidth="9.109375" defaultRowHeight="16.8" x14ac:dyDescent="0.45"/>
  <cols>
    <col min="1" max="1" width="15.109375" style="111" customWidth="1"/>
    <col min="2" max="2" width="42" style="111" customWidth="1"/>
    <col min="3" max="3" width="30" style="111" customWidth="1"/>
    <col min="4" max="4" width="7.88671875" style="112" customWidth="1"/>
    <col min="5" max="5" width="12.88671875" style="113" customWidth="1"/>
    <col min="6" max="6" width="13.21875" style="118" customWidth="1"/>
    <col min="7" max="7" width="16.33203125" style="118" customWidth="1"/>
    <col min="8" max="8" width="16.5546875" style="118" customWidth="1"/>
    <col min="9" max="9" width="12.5546875" style="118" customWidth="1"/>
    <col min="10" max="10" width="12" style="118" customWidth="1"/>
    <col min="11" max="11" width="12.6640625" style="118" customWidth="1"/>
    <col min="12" max="12" width="11.33203125" style="118" customWidth="1"/>
    <col min="13" max="13" width="12.5546875" style="118" customWidth="1"/>
    <col min="14" max="14" width="10.5546875" style="118" customWidth="1"/>
    <col min="15" max="15" width="12" style="118" customWidth="1"/>
    <col min="16" max="16" width="13.109375" style="118" customWidth="1"/>
    <col min="17" max="17" width="10.88671875" style="118" customWidth="1"/>
    <col min="18" max="18" width="12.44140625" style="118" customWidth="1"/>
    <col min="19" max="19" width="12" style="112" customWidth="1"/>
    <col min="20" max="20" width="10" style="111" customWidth="1"/>
    <col min="21" max="22" width="9.109375" style="111" hidden="1" customWidth="1"/>
    <col min="23" max="23" width="1.6640625" style="111" customWidth="1"/>
    <col min="24" max="24" width="8.44140625" style="111" customWidth="1"/>
    <col min="25" max="25" width="21.109375" style="111" customWidth="1"/>
    <col min="26" max="26" width="17.109375" style="111" customWidth="1"/>
    <col min="27" max="27" width="14.88671875" style="111" customWidth="1"/>
    <col min="28" max="28" width="9.109375" style="111"/>
    <col min="29" max="29" width="9.109375" style="111" customWidth="1"/>
    <col min="30" max="16384" width="9.109375" style="111"/>
  </cols>
  <sheetData>
    <row r="1" spans="1:27" x14ac:dyDescent="0.45">
      <c r="A1" s="129" t="s">
        <v>81</v>
      </c>
      <c r="B1" s="280" t="s">
        <v>414</v>
      </c>
      <c r="C1" s="280"/>
      <c r="D1" s="280"/>
      <c r="E1" s="280"/>
      <c r="F1" s="280"/>
      <c r="G1" s="280"/>
      <c r="H1" s="280"/>
      <c r="I1" s="280"/>
      <c r="J1" s="280"/>
      <c r="K1" s="280"/>
      <c r="L1" s="280"/>
      <c r="M1" s="280"/>
      <c r="N1" s="280"/>
      <c r="O1" s="280"/>
      <c r="P1" s="280"/>
      <c r="Q1" s="280"/>
      <c r="R1" s="280"/>
      <c r="S1" s="280"/>
      <c r="T1" s="280"/>
      <c r="U1" s="280"/>
    </row>
    <row r="2" spans="1:27" x14ac:dyDescent="0.45">
      <c r="A2" s="129" t="s">
        <v>82</v>
      </c>
      <c r="B2" s="138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 s="140"/>
      <c r="T2"/>
      <c r="U2"/>
      <c r="Y2" s="118"/>
      <c r="Z2" s="141" t="s">
        <v>83</v>
      </c>
    </row>
    <row r="3" spans="1:27" x14ac:dyDescent="0.45">
      <c r="A3" s="129" t="s">
        <v>84</v>
      </c>
      <c r="B3" s="136" t="s">
        <v>85</v>
      </c>
      <c r="C3" s="113"/>
      <c r="D3" s="111"/>
      <c r="E3" s="111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1"/>
      <c r="T3" s="113"/>
    </row>
    <row r="4" spans="1:27" x14ac:dyDescent="0.45">
      <c r="A4" s="129" t="s">
        <v>86</v>
      </c>
      <c r="B4" s="115" t="s">
        <v>87</v>
      </c>
      <c r="C4" s="113"/>
      <c r="D4" s="111"/>
      <c r="E4" s="111"/>
      <c r="F4" s="112"/>
      <c r="G4" s="112"/>
      <c r="H4" s="112"/>
      <c r="I4" s="112"/>
      <c r="J4" s="112"/>
      <c r="K4" s="112"/>
      <c r="L4" s="112"/>
      <c r="M4" s="112"/>
      <c r="N4" s="112"/>
      <c r="O4" s="112"/>
      <c r="P4" s="112"/>
      <c r="Q4" s="112"/>
      <c r="R4" s="112"/>
      <c r="S4" s="111"/>
      <c r="T4" s="113"/>
    </row>
    <row r="5" spans="1:27" x14ac:dyDescent="0.45">
      <c r="A5" s="139" t="s">
        <v>88</v>
      </c>
      <c r="B5" s="111" t="s">
        <v>467</v>
      </c>
      <c r="C5" s="113"/>
    </row>
    <row r="6" spans="1:27" x14ac:dyDescent="0.45">
      <c r="C6" s="113"/>
    </row>
    <row r="8" spans="1:27" s="155" customFormat="1" ht="52.5" customHeight="1" x14ac:dyDescent="0.45">
      <c r="A8" s="182" t="s">
        <v>89</v>
      </c>
      <c r="B8" s="183" t="s">
        <v>90</v>
      </c>
      <c r="C8" s="184" t="s">
        <v>91</v>
      </c>
      <c r="D8" s="183" t="s">
        <v>92</v>
      </c>
      <c r="E8" s="183" t="s">
        <v>93</v>
      </c>
      <c r="F8" s="185" t="s">
        <v>94</v>
      </c>
      <c r="G8" s="185" t="s">
        <v>47</v>
      </c>
      <c r="H8" s="185" t="s">
        <v>48</v>
      </c>
      <c r="I8" s="185" t="s">
        <v>95</v>
      </c>
      <c r="J8" s="185" t="s">
        <v>96</v>
      </c>
      <c r="K8" s="185" t="s">
        <v>53</v>
      </c>
      <c r="L8" s="185" t="s">
        <v>97</v>
      </c>
      <c r="M8" s="185" t="s">
        <v>55</v>
      </c>
      <c r="N8" s="185" t="s">
        <v>56</v>
      </c>
      <c r="O8" s="185" t="s">
        <v>59</v>
      </c>
      <c r="P8" s="185" t="s">
        <v>60</v>
      </c>
      <c r="Q8" s="185" t="s">
        <v>61</v>
      </c>
      <c r="R8" s="185" t="s">
        <v>62</v>
      </c>
      <c r="S8" s="154" t="s">
        <v>98</v>
      </c>
      <c r="T8" s="154" t="s">
        <v>99</v>
      </c>
    </row>
    <row r="9" spans="1:27" ht="19.2" x14ac:dyDescent="0.5">
      <c r="A9" s="186"/>
      <c r="B9" s="186" t="s">
        <v>100</v>
      </c>
      <c r="C9" s="240" t="s">
        <v>101</v>
      </c>
      <c r="D9" s="187" t="s">
        <v>102</v>
      </c>
      <c r="E9" s="188" t="s">
        <v>103</v>
      </c>
      <c r="F9" s="189">
        <f>'Energy '!E15</f>
        <v>12.5</v>
      </c>
      <c r="G9" s="189">
        <f>'Energy '!E26</f>
        <v>5.6539999999999999</v>
      </c>
      <c r="H9" s="189">
        <f>'Energy '!E27</f>
        <v>11.364000000000001</v>
      </c>
      <c r="I9" s="189">
        <f>'Energy '!E30</f>
        <v>12.5</v>
      </c>
      <c r="J9" s="189">
        <f>'Energy '!E31</f>
        <v>12.5</v>
      </c>
      <c r="K9" s="189">
        <f>'Energy '!E32</f>
        <v>12.5</v>
      </c>
      <c r="L9" s="189">
        <f>'Energy '!E33</f>
        <v>12.5</v>
      </c>
      <c r="M9" s="189">
        <f>'Energy '!E34</f>
        <v>12.5</v>
      </c>
      <c r="N9" s="189">
        <f>'Energy '!E35</f>
        <v>6.6740000000000004</v>
      </c>
      <c r="O9" s="189">
        <f>'Energy '!E38</f>
        <v>5.1239999999999997</v>
      </c>
      <c r="P9" s="189">
        <f>'Energy '!E39</f>
        <v>4.1040000000000001</v>
      </c>
      <c r="Q9" s="189">
        <f>'Energy '!E40</f>
        <v>3.9240000000000004</v>
      </c>
      <c r="R9" s="189">
        <f>'Energy '!E41</f>
        <v>3.9740000000000002</v>
      </c>
    </row>
    <row r="10" spans="1:27" ht="19.2" x14ac:dyDescent="0.5">
      <c r="A10" s="186"/>
      <c r="B10" s="186" t="s">
        <v>104</v>
      </c>
      <c r="C10" s="186"/>
      <c r="D10" s="187" t="s">
        <v>105</v>
      </c>
      <c r="E10" s="188" t="s">
        <v>103</v>
      </c>
      <c r="F10" s="189">
        <f>1.2*F9</f>
        <v>15</v>
      </c>
      <c r="G10" s="189">
        <f t="shared" ref="G10:R10" si="0">1.2*G9</f>
        <v>6.7847999999999997</v>
      </c>
      <c r="H10" s="189">
        <f t="shared" si="0"/>
        <v>13.636800000000001</v>
      </c>
      <c r="I10" s="189">
        <f t="shared" si="0"/>
        <v>15</v>
      </c>
      <c r="J10" s="189">
        <f t="shared" si="0"/>
        <v>15</v>
      </c>
      <c r="K10" s="189">
        <f t="shared" si="0"/>
        <v>15</v>
      </c>
      <c r="L10" s="189">
        <f t="shared" si="0"/>
        <v>15</v>
      </c>
      <c r="M10" s="189">
        <f t="shared" si="0"/>
        <v>15</v>
      </c>
      <c r="N10" s="189">
        <f t="shared" si="0"/>
        <v>8.0088000000000008</v>
      </c>
      <c r="O10" s="189">
        <f t="shared" si="0"/>
        <v>6.1487999999999996</v>
      </c>
      <c r="P10" s="189">
        <f t="shared" si="0"/>
        <v>4.9248000000000003</v>
      </c>
      <c r="Q10" s="189">
        <f t="shared" si="0"/>
        <v>4.7088000000000001</v>
      </c>
      <c r="R10" s="189">
        <f t="shared" si="0"/>
        <v>4.7687999999999997</v>
      </c>
      <c r="AA10" s="111">
        <f>F9*1.25</f>
        <v>15.625</v>
      </c>
    </row>
    <row r="11" spans="1:27" ht="19.2" x14ac:dyDescent="0.5">
      <c r="A11" s="186"/>
      <c r="B11" s="186" t="s">
        <v>106</v>
      </c>
      <c r="C11" s="186"/>
      <c r="D11" s="187" t="s">
        <v>107</v>
      </c>
      <c r="E11" s="188" t="s">
        <v>103</v>
      </c>
      <c r="F11" s="190">
        <f>F9*1.1</f>
        <v>13.750000000000002</v>
      </c>
      <c r="G11" s="190">
        <f t="shared" ref="G11:R11" si="1">G9*1.1</f>
        <v>6.2194000000000003</v>
      </c>
      <c r="H11" s="190">
        <f t="shared" si="1"/>
        <v>12.500400000000003</v>
      </c>
      <c r="I11" s="190">
        <f t="shared" si="1"/>
        <v>13.750000000000002</v>
      </c>
      <c r="J11" s="190">
        <f t="shared" si="1"/>
        <v>13.750000000000002</v>
      </c>
      <c r="K11" s="190">
        <f t="shared" si="1"/>
        <v>13.750000000000002</v>
      </c>
      <c r="L11" s="190">
        <f t="shared" si="1"/>
        <v>13.750000000000002</v>
      </c>
      <c r="M11" s="190">
        <f t="shared" si="1"/>
        <v>13.750000000000002</v>
      </c>
      <c r="N11" s="190">
        <f t="shared" si="1"/>
        <v>7.341400000000001</v>
      </c>
      <c r="O11" s="190">
        <f t="shared" si="1"/>
        <v>5.6364000000000001</v>
      </c>
      <c r="P11" s="190">
        <f t="shared" si="1"/>
        <v>4.5144000000000002</v>
      </c>
      <c r="Q11" s="190">
        <f t="shared" si="1"/>
        <v>4.3164000000000007</v>
      </c>
      <c r="R11" s="190">
        <f t="shared" si="1"/>
        <v>4.3714000000000004</v>
      </c>
    </row>
    <row r="12" spans="1:27" ht="19.2" x14ac:dyDescent="0.5">
      <c r="A12" s="186"/>
      <c r="B12" s="186" t="s">
        <v>108</v>
      </c>
      <c r="C12" s="186"/>
      <c r="D12" s="187"/>
      <c r="E12" s="188" t="s">
        <v>2</v>
      </c>
      <c r="F12" s="189">
        <f>'Energy '!E5</f>
        <v>2482</v>
      </c>
      <c r="G12" s="189">
        <f>+F12</f>
        <v>2482</v>
      </c>
      <c r="H12" s="189">
        <f t="shared" ref="H12:R15" si="2">+G12</f>
        <v>2482</v>
      </c>
      <c r="I12" s="189">
        <f t="shared" si="2"/>
        <v>2482</v>
      </c>
      <c r="J12" s="189">
        <f t="shared" si="2"/>
        <v>2482</v>
      </c>
      <c r="K12" s="189">
        <f t="shared" si="2"/>
        <v>2482</v>
      </c>
      <c r="L12" s="189">
        <f t="shared" si="2"/>
        <v>2482</v>
      </c>
      <c r="M12" s="189">
        <f t="shared" si="2"/>
        <v>2482</v>
      </c>
      <c r="N12" s="189">
        <f t="shared" si="2"/>
        <v>2482</v>
      </c>
      <c r="O12" s="189">
        <f t="shared" si="2"/>
        <v>2482</v>
      </c>
      <c r="P12" s="189">
        <f t="shared" si="2"/>
        <v>2482</v>
      </c>
      <c r="Q12" s="189">
        <f t="shared" si="2"/>
        <v>2482</v>
      </c>
      <c r="R12" s="189">
        <f t="shared" si="2"/>
        <v>2482</v>
      </c>
    </row>
    <row r="13" spans="1:27" ht="19.2" x14ac:dyDescent="0.5">
      <c r="A13" s="186"/>
      <c r="B13" s="186" t="s">
        <v>109</v>
      </c>
      <c r="C13" s="186"/>
      <c r="D13" s="187"/>
      <c r="E13" s="188" t="s">
        <v>110</v>
      </c>
      <c r="F13" s="189">
        <v>16</v>
      </c>
      <c r="G13" s="189">
        <f>+F13</f>
        <v>16</v>
      </c>
      <c r="H13" s="189">
        <f t="shared" si="2"/>
        <v>16</v>
      </c>
      <c r="I13" s="189">
        <f t="shared" si="2"/>
        <v>16</v>
      </c>
      <c r="J13" s="189">
        <f t="shared" si="2"/>
        <v>16</v>
      </c>
      <c r="K13" s="189">
        <f t="shared" si="2"/>
        <v>16</v>
      </c>
      <c r="L13" s="189">
        <f t="shared" si="2"/>
        <v>16</v>
      </c>
      <c r="M13" s="189">
        <f t="shared" si="2"/>
        <v>16</v>
      </c>
      <c r="N13" s="189">
        <f t="shared" si="2"/>
        <v>16</v>
      </c>
      <c r="O13" s="189">
        <f t="shared" si="2"/>
        <v>16</v>
      </c>
      <c r="P13" s="189">
        <f t="shared" si="2"/>
        <v>16</v>
      </c>
      <c r="Q13" s="189">
        <f t="shared" si="2"/>
        <v>16</v>
      </c>
      <c r="R13" s="189">
        <f t="shared" si="2"/>
        <v>16</v>
      </c>
    </row>
    <row r="14" spans="1:27" ht="19.2" x14ac:dyDescent="0.5">
      <c r="A14" s="186"/>
      <c r="B14" s="186" t="s">
        <v>111</v>
      </c>
      <c r="C14" s="186"/>
      <c r="D14" s="187"/>
      <c r="E14" s="188" t="s">
        <v>110</v>
      </c>
      <c r="F14" s="189">
        <v>36</v>
      </c>
      <c r="G14" s="189">
        <f>+F14</f>
        <v>36</v>
      </c>
      <c r="H14" s="189">
        <f t="shared" si="2"/>
        <v>36</v>
      </c>
      <c r="I14" s="189">
        <f t="shared" si="2"/>
        <v>36</v>
      </c>
      <c r="J14" s="189">
        <f t="shared" si="2"/>
        <v>36</v>
      </c>
      <c r="K14" s="189">
        <f t="shared" si="2"/>
        <v>36</v>
      </c>
      <c r="L14" s="189">
        <f t="shared" si="2"/>
        <v>36</v>
      </c>
      <c r="M14" s="189">
        <f t="shared" si="2"/>
        <v>36</v>
      </c>
      <c r="N14" s="189">
        <f t="shared" si="2"/>
        <v>36</v>
      </c>
      <c r="O14" s="189">
        <f t="shared" si="2"/>
        <v>36</v>
      </c>
      <c r="P14" s="189">
        <f t="shared" si="2"/>
        <v>36</v>
      </c>
      <c r="Q14" s="189">
        <f t="shared" si="2"/>
        <v>36</v>
      </c>
      <c r="R14" s="189">
        <f t="shared" si="2"/>
        <v>36</v>
      </c>
    </row>
    <row r="15" spans="1:27" ht="19.2" x14ac:dyDescent="0.5">
      <c r="A15" s="186"/>
      <c r="B15" s="186" t="s">
        <v>112</v>
      </c>
      <c r="C15" s="186"/>
      <c r="D15" s="187"/>
      <c r="E15" s="188" t="s">
        <v>4</v>
      </c>
      <c r="F15" s="189">
        <v>4.8</v>
      </c>
      <c r="G15" s="189">
        <f>+F15</f>
        <v>4.8</v>
      </c>
      <c r="H15" s="189">
        <f t="shared" si="2"/>
        <v>4.8</v>
      </c>
      <c r="I15" s="189">
        <f t="shared" si="2"/>
        <v>4.8</v>
      </c>
      <c r="J15" s="189">
        <f t="shared" si="2"/>
        <v>4.8</v>
      </c>
      <c r="K15" s="189">
        <f t="shared" si="2"/>
        <v>4.8</v>
      </c>
      <c r="L15" s="189">
        <f t="shared" si="2"/>
        <v>4.8</v>
      </c>
      <c r="M15" s="189">
        <f t="shared" si="2"/>
        <v>4.8</v>
      </c>
      <c r="N15" s="189">
        <f t="shared" si="2"/>
        <v>4.8</v>
      </c>
      <c r="O15" s="189">
        <f t="shared" si="2"/>
        <v>4.8</v>
      </c>
      <c r="P15" s="189">
        <f t="shared" si="2"/>
        <v>4.8</v>
      </c>
      <c r="Q15" s="189">
        <f t="shared" si="2"/>
        <v>4.8</v>
      </c>
      <c r="R15" s="189">
        <f t="shared" si="2"/>
        <v>4.8</v>
      </c>
    </row>
    <row r="16" spans="1:27" ht="19.2" x14ac:dyDescent="0.5">
      <c r="A16" s="186"/>
      <c r="B16" s="186" t="s">
        <v>113</v>
      </c>
      <c r="C16" s="186"/>
      <c r="D16" s="187"/>
      <c r="E16" s="188" t="s">
        <v>114</v>
      </c>
      <c r="F16" s="189">
        <f t="shared" ref="F16:R16" si="3">F47*F15/SIN(RADIANS(F30))</f>
        <v>9.9386513319367964</v>
      </c>
      <c r="G16" s="189">
        <f t="shared" si="3"/>
        <v>9.9386513319367964</v>
      </c>
      <c r="H16" s="189">
        <f t="shared" si="3"/>
        <v>9.9386513319367964</v>
      </c>
      <c r="I16" s="189">
        <f t="shared" si="3"/>
        <v>9.9386513319367964</v>
      </c>
      <c r="J16" s="189">
        <f t="shared" si="3"/>
        <v>9.9386513319367964</v>
      </c>
      <c r="K16" s="189">
        <f t="shared" si="3"/>
        <v>9.9386513319367964</v>
      </c>
      <c r="L16" s="189">
        <f t="shared" si="3"/>
        <v>9.9386513319367964</v>
      </c>
      <c r="M16" s="189">
        <f t="shared" si="3"/>
        <v>9.9386513319367964</v>
      </c>
      <c r="N16" s="189">
        <f t="shared" si="3"/>
        <v>9.9386513319367964</v>
      </c>
      <c r="O16" s="189">
        <f t="shared" si="3"/>
        <v>9.9386513319367964</v>
      </c>
      <c r="P16" s="189">
        <f t="shared" si="3"/>
        <v>9.9386513319367964</v>
      </c>
      <c r="Q16" s="189">
        <f t="shared" si="3"/>
        <v>9.9386513319367964</v>
      </c>
      <c r="R16" s="189">
        <f t="shared" si="3"/>
        <v>9.9386513319367964</v>
      </c>
    </row>
    <row r="17" spans="1:26" ht="19.2" x14ac:dyDescent="0.5">
      <c r="A17" s="186"/>
      <c r="B17" s="186" t="s">
        <v>115</v>
      </c>
      <c r="C17" s="186"/>
      <c r="D17" s="187"/>
      <c r="E17" s="188"/>
      <c r="F17" s="189">
        <f t="shared" ref="F17:R17" si="4">F45*(F16-(F14*F13*F47*(SIN(RADIANS(F30)))/1000))</f>
        <v>17.65180956010358</v>
      </c>
      <c r="G17" s="189">
        <f t="shared" si="4"/>
        <v>17.65180956010358</v>
      </c>
      <c r="H17" s="189">
        <f t="shared" si="4"/>
        <v>17.65180956010358</v>
      </c>
      <c r="I17" s="189">
        <f t="shared" si="4"/>
        <v>17.65180956010358</v>
      </c>
      <c r="J17" s="189">
        <f t="shared" si="4"/>
        <v>17.65180956010358</v>
      </c>
      <c r="K17" s="189">
        <f t="shared" si="4"/>
        <v>17.65180956010358</v>
      </c>
      <c r="L17" s="189">
        <f t="shared" si="4"/>
        <v>17.65180956010358</v>
      </c>
      <c r="M17" s="189">
        <f t="shared" si="4"/>
        <v>17.65180956010358</v>
      </c>
      <c r="N17" s="189">
        <f t="shared" si="4"/>
        <v>17.65180956010358</v>
      </c>
      <c r="O17" s="189">
        <f t="shared" si="4"/>
        <v>17.65180956010358</v>
      </c>
      <c r="P17" s="189">
        <f t="shared" si="4"/>
        <v>17.65180956010358</v>
      </c>
      <c r="Q17" s="189">
        <f t="shared" si="4"/>
        <v>17.65180956010358</v>
      </c>
      <c r="R17" s="189">
        <f t="shared" si="4"/>
        <v>17.65180956010358</v>
      </c>
    </row>
    <row r="18" spans="1:26" ht="19.2" x14ac:dyDescent="0.5">
      <c r="A18" s="186"/>
      <c r="B18" s="186" t="s">
        <v>116</v>
      </c>
      <c r="C18" s="186"/>
      <c r="D18" s="187" t="s">
        <v>468</v>
      </c>
      <c r="E18" s="188" t="s">
        <v>117</v>
      </c>
      <c r="F18" s="189">
        <f>F10/F17</f>
        <v>0.84977123444062252</v>
      </c>
      <c r="G18" s="189">
        <f>G10/G17</f>
        <v>0.38436852476218236</v>
      </c>
      <c r="H18" s="189">
        <f>H10/H17</f>
        <v>0.77254402465465877</v>
      </c>
      <c r="I18" s="189">
        <f t="shared" ref="I18:R18" si="5">I10/I17</f>
        <v>0.84977123444062252</v>
      </c>
      <c r="J18" s="189">
        <f t="shared" si="5"/>
        <v>0.84977123444062252</v>
      </c>
      <c r="K18" s="189">
        <f t="shared" si="5"/>
        <v>0.84977123444062252</v>
      </c>
      <c r="L18" s="189">
        <f t="shared" si="5"/>
        <v>0.84977123444062252</v>
      </c>
      <c r="M18" s="189">
        <f t="shared" si="5"/>
        <v>0.84977123444062252</v>
      </c>
      <c r="N18" s="189">
        <f t="shared" si="5"/>
        <v>0.45370985749253717</v>
      </c>
      <c r="O18" s="189">
        <f t="shared" si="5"/>
        <v>0.34833822442189993</v>
      </c>
      <c r="P18" s="189">
        <f t="shared" si="5"/>
        <v>0.27899689169154518</v>
      </c>
      <c r="Q18" s="189">
        <f t="shared" si="5"/>
        <v>0.26676018591560019</v>
      </c>
      <c r="R18" s="189">
        <f t="shared" si="5"/>
        <v>0.27015927085336267</v>
      </c>
    </row>
    <row r="19" spans="1:26" ht="19.2" x14ac:dyDescent="0.5">
      <c r="A19" s="186"/>
      <c r="B19" s="186" t="s">
        <v>118</v>
      </c>
      <c r="C19" s="186"/>
      <c r="D19" s="187" t="s">
        <v>469</v>
      </c>
      <c r="E19" s="188" t="s">
        <v>4</v>
      </c>
      <c r="F19" s="190">
        <f>F18^2/(2*9.81)</f>
        <v>3.6804849688213022E-2</v>
      </c>
      <c r="G19" s="190">
        <f t="shared" ref="G19:R19" si="6">G18^2/(2*9.81)</f>
        <v>7.5300286864350861E-3</v>
      </c>
      <c r="H19" s="190">
        <f t="shared" si="6"/>
        <v>3.0419177881224158E-2</v>
      </c>
      <c r="I19" s="190">
        <f t="shared" si="6"/>
        <v>3.6804849688213022E-2</v>
      </c>
      <c r="J19" s="190">
        <f t="shared" si="6"/>
        <v>3.6804849688213022E-2</v>
      </c>
      <c r="K19" s="190">
        <f t="shared" si="6"/>
        <v>3.6804849688213022E-2</v>
      </c>
      <c r="L19" s="190">
        <f t="shared" si="6"/>
        <v>3.6804849688213022E-2</v>
      </c>
      <c r="M19" s="190">
        <f t="shared" si="6"/>
        <v>3.6804849688213022E-2</v>
      </c>
      <c r="N19" s="190">
        <f t="shared" si="6"/>
        <v>1.0491979346885748E-2</v>
      </c>
      <c r="O19" s="190">
        <f t="shared" si="6"/>
        <v>6.1844810700000972E-3</v>
      </c>
      <c r="P19" s="190">
        <f t="shared" si="6"/>
        <v>3.9673427917198663E-3</v>
      </c>
      <c r="Q19" s="190">
        <f t="shared" si="6"/>
        <v>3.6269621197617522E-3</v>
      </c>
      <c r="R19" s="190">
        <f t="shared" si="6"/>
        <v>3.719981224669754E-3</v>
      </c>
    </row>
    <row r="20" spans="1:26" s="155" customFormat="1" ht="19.2" x14ac:dyDescent="0.5">
      <c r="A20" s="191"/>
      <c r="B20" s="191" t="s">
        <v>98</v>
      </c>
      <c r="C20" s="191"/>
      <c r="D20" s="192"/>
      <c r="E20" s="183" t="s">
        <v>2</v>
      </c>
      <c r="F20" s="193">
        <f>+F12+F19</f>
        <v>2482.036804849688</v>
      </c>
      <c r="G20" s="193">
        <f t="shared" ref="G20:R20" si="7">+G12+G19</f>
        <v>2482.0075300286862</v>
      </c>
      <c r="H20" s="193">
        <f t="shared" si="7"/>
        <v>2482.0304191778814</v>
      </c>
      <c r="I20" s="193">
        <f t="shared" si="7"/>
        <v>2482.036804849688</v>
      </c>
      <c r="J20" s="193">
        <f t="shared" si="7"/>
        <v>2482.036804849688</v>
      </c>
      <c r="K20" s="193">
        <f t="shared" si="7"/>
        <v>2482.036804849688</v>
      </c>
      <c r="L20" s="193">
        <f t="shared" si="7"/>
        <v>2482.036804849688</v>
      </c>
      <c r="M20" s="193">
        <f t="shared" si="7"/>
        <v>2482.036804849688</v>
      </c>
      <c r="N20" s="193">
        <f t="shared" si="7"/>
        <v>2482.0104919793471</v>
      </c>
      <c r="O20" s="193">
        <f t="shared" si="7"/>
        <v>2482.0061844810698</v>
      </c>
      <c r="P20" s="193">
        <f t="shared" si="7"/>
        <v>2482.0039673427918</v>
      </c>
      <c r="Q20" s="193">
        <f t="shared" si="7"/>
        <v>2482.0036269621196</v>
      </c>
      <c r="R20" s="193">
        <f t="shared" si="7"/>
        <v>2482.0037199812245</v>
      </c>
      <c r="S20" s="157">
        <f>F12+F19</f>
        <v>2482.036804849688</v>
      </c>
      <c r="T20" s="158">
        <f>F12</f>
        <v>2482</v>
      </c>
      <c r="U20" s="159"/>
      <c r="V20" s="160"/>
      <c r="X20" s="161" t="s">
        <v>119</v>
      </c>
      <c r="Y20" s="162"/>
    </row>
    <row r="21" spans="1:26" s="155" customFormat="1" ht="19.2" x14ac:dyDescent="0.5">
      <c r="A21" s="191"/>
      <c r="B21" s="191" t="s">
        <v>120</v>
      </c>
      <c r="C21" s="191"/>
      <c r="D21" s="192"/>
      <c r="E21" s="183" t="s">
        <v>2</v>
      </c>
      <c r="F21" s="193">
        <f>+F12</f>
        <v>2482</v>
      </c>
      <c r="G21" s="193">
        <f t="shared" ref="G21:R21" si="8">+G12</f>
        <v>2482</v>
      </c>
      <c r="H21" s="193">
        <f t="shared" si="8"/>
        <v>2482</v>
      </c>
      <c r="I21" s="193">
        <f t="shared" si="8"/>
        <v>2482</v>
      </c>
      <c r="J21" s="193">
        <f t="shared" si="8"/>
        <v>2482</v>
      </c>
      <c r="K21" s="193">
        <f t="shared" si="8"/>
        <v>2482</v>
      </c>
      <c r="L21" s="193">
        <f t="shared" si="8"/>
        <v>2482</v>
      </c>
      <c r="M21" s="193">
        <f t="shared" si="8"/>
        <v>2482</v>
      </c>
      <c r="N21" s="193">
        <f t="shared" si="8"/>
        <v>2482</v>
      </c>
      <c r="O21" s="193">
        <f t="shared" si="8"/>
        <v>2482</v>
      </c>
      <c r="P21" s="193">
        <f t="shared" si="8"/>
        <v>2482</v>
      </c>
      <c r="Q21" s="193">
        <f t="shared" si="8"/>
        <v>2482</v>
      </c>
      <c r="R21" s="193">
        <f t="shared" si="8"/>
        <v>2482</v>
      </c>
      <c r="S21" s="157"/>
      <c r="T21" s="158"/>
      <c r="U21" s="159"/>
      <c r="V21" s="160"/>
      <c r="X21" s="161"/>
      <c r="Y21" s="162"/>
    </row>
    <row r="22" spans="1:26" ht="19.2" x14ac:dyDescent="0.5">
      <c r="A22" s="186"/>
      <c r="B22" s="186"/>
      <c r="C22" s="186"/>
      <c r="D22" s="187"/>
      <c r="E22" s="188"/>
      <c r="F22" s="194"/>
      <c r="G22" s="194"/>
      <c r="H22" s="195"/>
      <c r="I22" s="195"/>
      <c r="J22" s="195"/>
      <c r="K22" s="195"/>
      <c r="L22" s="195"/>
      <c r="M22" s="195"/>
      <c r="N22" s="195"/>
      <c r="O22" s="195"/>
      <c r="P22" s="195"/>
      <c r="Q22" s="195"/>
      <c r="R22" s="195"/>
      <c r="S22" s="122"/>
      <c r="T22" s="124"/>
      <c r="U22" s="124"/>
    </row>
    <row r="23" spans="1:26" ht="19.2" x14ac:dyDescent="0.5">
      <c r="A23" s="196">
        <v>1</v>
      </c>
      <c r="B23" s="156" t="s">
        <v>121</v>
      </c>
      <c r="C23" s="186"/>
      <c r="D23" s="187"/>
      <c r="E23" s="188"/>
      <c r="F23" s="190"/>
      <c r="G23" s="190"/>
      <c r="H23" s="190"/>
      <c r="I23" s="190"/>
      <c r="J23" s="190"/>
      <c r="K23" s="190"/>
      <c r="L23" s="190"/>
      <c r="M23" s="190"/>
      <c r="N23" s="190"/>
      <c r="O23" s="190"/>
      <c r="P23" s="190"/>
      <c r="Q23" s="190"/>
      <c r="R23" s="190"/>
    </row>
    <row r="24" spans="1:26" ht="19.2" x14ac:dyDescent="0.5">
      <c r="A24" s="156">
        <v>1.1000000000000001</v>
      </c>
      <c r="B24" s="156" t="s">
        <v>122</v>
      </c>
      <c r="C24" s="186"/>
      <c r="D24" s="187"/>
      <c r="E24" s="188"/>
      <c r="F24" s="190"/>
      <c r="G24" s="190"/>
      <c r="H24" s="190"/>
      <c r="I24" s="190"/>
      <c r="J24" s="190"/>
      <c r="K24" s="190"/>
      <c r="L24" s="190"/>
      <c r="M24" s="190"/>
      <c r="N24" s="190"/>
      <c r="O24" s="190"/>
      <c r="P24" s="190"/>
      <c r="Q24" s="190"/>
      <c r="R24" s="190"/>
    </row>
    <row r="25" spans="1:26" ht="19.2" x14ac:dyDescent="0.5">
      <c r="A25" s="186"/>
      <c r="B25" s="186" t="s">
        <v>123</v>
      </c>
      <c r="C25" s="186" t="str">
        <f>[13]Intake!G39</f>
        <v>Rectangular</v>
      </c>
      <c r="D25" s="187"/>
      <c r="E25" s="188"/>
      <c r="F25" s="190"/>
      <c r="G25" s="190"/>
      <c r="H25" s="190"/>
      <c r="I25" s="190"/>
      <c r="J25" s="190"/>
      <c r="K25" s="190"/>
      <c r="L25" s="190"/>
      <c r="M25" s="190"/>
      <c r="N25" s="190"/>
      <c r="O25" s="190"/>
      <c r="P25" s="190"/>
      <c r="Q25" s="190"/>
      <c r="R25" s="190"/>
    </row>
    <row r="26" spans="1:26" ht="19.2" x14ac:dyDescent="0.5">
      <c r="A26" s="186"/>
      <c r="B26" s="186" t="s">
        <v>124</v>
      </c>
      <c r="C26" s="186"/>
      <c r="D26" s="187" t="s">
        <v>125</v>
      </c>
      <c r="E26" s="188" t="s">
        <v>110</v>
      </c>
      <c r="F26" s="189">
        <v>16</v>
      </c>
      <c r="G26" s="189">
        <f>+F26</f>
        <v>16</v>
      </c>
      <c r="H26" s="189">
        <f t="shared" ref="H26:R29" si="9">+G26</f>
        <v>16</v>
      </c>
      <c r="I26" s="189">
        <f t="shared" si="9"/>
        <v>16</v>
      </c>
      <c r="J26" s="189">
        <f t="shared" si="9"/>
        <v>16</v>
      </c>
      <c r="K26" s="189">
        <f t="shared" si="9"/>
        <v>16</v>
      </c>
      <c r="L26" s="189">
        <f t="shared" si="9"/>
        <v>16</v>
      </c>
      <c r="M26" s="189">
        <f t="shared" si="9"/>
        <v>16</v>
      </c>
      <c r="N26" s="189">
        <f t="shared" si="9"/>
        <v>16</v>
      </c>
      <c r="O26" s="189">
        <f t="shared" si="9"/>
        <v>16</v>
      </c>
      <c r="P26" s="189">
        <f t="shared" si="9"/>
        <v>16</v>
      </c>
      <c r="Q26" s="189">
        <f t="shared" si="9"/>
        <v>16</v>
      </c>
      <c r="R26" s="189">
        <f>+Q26</f>
        <v>16</v>
      </c>
    </row>
    <row r="27" spans="1:26" ht="19.2" x14ac:dyDescent="0.5">
      <c r="A27" s="186"/>
      <c r="B27" s="186" t="s">
        <v>126</v>
      </c>
      <c r="C27" s="186"/>
      <c r="D27" s="187" t="s">
        <v>127</v>
      </c>
      <c r="E27" s="188" t="s">
        <v>110</v>
      </c>
      <c r="F27" s="189">
        <v>70</v>
      </c>
      <c r="G27" s="189">
        <f>+F27</f>
        <v>70</v>
      </c>
      <c r="H27" s="189">
        <f t="shared" si="9"/>
        <v>70</v>
      </c>
      <c r="I27" s="189">
        <f t="shared" si="9"/>
        <v>70</v>
      </c>
      <c r="J27" s="189">
        <f t="shared" si="9"/>
        <v>70</v>
      </c>
      <c r="K27" s="189">
        <f t="shared" si="9"/>
        <v>70</v>
      </c>
      <c r="L27" s="189">
        <f t="shared" si="9"/>
        <v>70</v>
      </c>
      <c r="M27" s="189">
        <f t="shared" si="9"/>
        <v>70</v>
      </c>
      <c r="N27" s="189">
        <f t="shared" si="9"/>
        <v>70</v>
      </c>
      <c r="O27" s="189">
        <f t="shared" si="9"/>
        <v>70</v>
      </c>
      <c r="P27" s="189">
        <f t="shared" si="9"/>
        <v>70</v>
      </c>
      <c r="Q27" s="189">
        <f t="shared" si="9"/>
        <v>70</v>
      </c>
      <c r="R27" s="189">
        <f t="shared" si="9"/>
        <v>70</v>
      </c>
    </row>
    <row r="28" spans="1:26" ht="19.2" x14ac:dyDescent="0.5">
      <c r="A28" s="186"/>
      <c r="B28" s="186" t="s">
        <v>128</v>
      </c>
      <c r="C28" s="186"/>
      <c r="D28" s="187"/>
      <c r="E28" s="188"/>
      <c r="F28" s="189">
        <f>CEILING(F46*1000/F27+1,1)</f>
        <v>70</v>
      </c>
      <c r="G28" s="189">
        <f>+F28</f>
        <v>70</v>
      </c>
      <c r="H28" s="189">
        <f t="shared" si="9"/>
        <v>70</v>
      </c>
      <c r="I28" s="189">
        <f t="shared" si="9"/>
        <v>70</v>
      </c>
      <c r="J28" s="189">
        <f t="shared" si="9"/>
        <v>70</v>
      </c>
      <c r="K28" s="189">
        <f t="shared" si="9"/>
        <v>70</v>
      </c>
      <c r="L28" s="189">
        <f t="shared" si="9"/>
        <v>70</v>
      </c>
      <c r="M28" s="189">
        <f>+L28</f>
        <v>70</v>
      </c>
      <c r="N28" s="189">
        <f t="shared" si="9"/>
        <v>70</v>
      </c>
      <c r="O28" s="189">
        <f t="shared" si="9"/>
        <v>70</v>
      </c>
      <c r="P28" s="189">
        <f t="shared" si="9"/>
        <v>70</v>
      </c>
      <c r="Q28" s="189">
        <f t="shared" si="9"/>
        <v>70</v>
      </c>
      <c r="R28" s="189">
        <f t="shared" si="9"/>
        <v>70</v>
      </c>
    </row>
    <row r="29" spans="1:26" ht="19.2" x14ac:dyDescent="0.5">
      <c r="A29" s="186"/>
      <c r="B29" s="186" t="s">
        <v>129</v>
      </c>
      <c r="C29" s="186"/>
      <c r="D29" s="187" t="s">
        <v>470</v>
      </c>
      <c r="E29" s="188"/>
      <c r="F29" s="189">
        <f>VLOOKUP(C25,Y29:Z34,2,FALSE)</f>
        <v>2.42</v>
      </c>
      <c r="G29" s="189">
        <f>+F29</f>
        <v>2.42</v>
      </c>
      <c r="H29" s="189">
        <f t="shared" si="9"/>
        <v>2.42</v>
      </c>
      <c r="I29" s="189">
        <f t="shared" si="9"/>
        <v>2.42</v>
      </c>
      <c r="J29" s="189">
        <f t="shared" si="9"/>
        <v>2.42</v>
      </c>
      <c r="K29" s="189">
        <f t="shared" si="9"/>
        <v>2.42</v>
      </c>
      <c r="L29" s="189">
        <f t="shared" si="9"/>
        <v>2.42</v>
      </c>
      <c r="M29" s="189">
        <f t="shared" si="9"/>
        <v>2.42</v>
      </c>
      <c r="N29" s="189">
        <f t="shared" si="9"/>
        <v>2.42</v>
      </c>
      <c r="O29" s="189">
        <f>+N29</f>
        <v>2.42</v>
      </c>
      <c r="P29" s="189">
        <f t="shared" si="9"/>
        <v>2.42</v>
      </c>
      <c r="Q29" s="189">
        <f t="shared" si="9"/>
        <v>2.42</v>
      </c>
      <c r="R29" s="189">
        <f t="shared" si="9"/>
        <v>2.42</v>
      </c>
      <c r="Y29" s="131" t="s">
        <v>130</v>
      </c>
      <c r="Z29" s="132">
        <v>2.42</v>
      </c>
    </row>
    <row r="30" spans="1:26" ht="19.2" x14ac:dyDescent="0.5">
      <c r="A30" s="186"/>
      <c r="B30" s="186" t="s">
        <v>131</v>
      </c>
      <c r="C30" s="186"/>
      <c r="D30" s="197" t="s">
        <v>132</v>
      </c>
      <c r="E30" s="188"/>
      <c r="F30" s="189">
        <v>75</v>
      </c>
      <c r="G30" s="189">
        <v>75</v>
      </c>
      <c r="H30" s="189">
        <v>75</v>
      </c>
      <c r="I30" s="189">
        <v>75</v>
      </c>
      <c r="J30" s="189">
        <v>75</v>
      </c>
      <c r="K30" s="189">
        <v>75</v>
      </c>
      <c r="L30" s="189">
        <v>75</v>
      </c>
      <c r="M30" s="189">
        <v>75</v>
      </c>
      <c r="N30" s="189">
        <v>75</v>
      </c>
      <c r="O30" s="189">
        <v>75</v>
      </c>
      <c r="P30" s="189">
        <v>75</v>
      </c>
      <c r="Q30" s="189">
        <v>75</v>
      </c>
      <c r="R30" s="189">
        <v>75</v>
      </c>
      <c r="Y30" s="131" t="s">
        <v>133</v>
      </c>
      <c r="Z30" s="132">
        <v>1.8</v>
      </c>
    </row>
    <row r="31" spans="1:26" ht="19.2" x14ac:dyDescent="0.5">
      <c r="A31" s="186"/>
      <c r="B31" s="186" t="s">
        <v>134</v>
      </c>
      <c r="C31" s="186"/>
      <c r="D31" s="197" t="s">
        <v>135</v>
      </c>
      <c r="E31" s="188"/>
      <c r="F31" s="198">
        <v>115</v>
      </c>
      <c r="G31" s="198">
        <v>115</v>
      </c>
      <c r="H31" s="198">
        <v>115</v>
      </c>
      <c r="I31" s="198">
        <v>115</v>
      </c>
      <c r="J31" s="198">
        <v>115</v>
      </c>
      <c r="K31" s="198">
        <v>115</v>
      </c>
      <c r="L31" s="198">
        <v>115</v>
      </c>
      <c r="M31" s="198">
        <v>115</v>
      </c>
      <c r="N31" s="198">
        <v>115</v>
      </c>
      <c r="O31" s="198">
        <v>115</v>
      </c>
      <c r="P31" s="198">
        <v>115</v>
      </c>
      <c r="Q31" s="198">
        <v>115</v>
      </c>
      <c r="R31" s="198">
        <v>115</v>
      </c>
      <c r="Y31" s="131" t="s">
        <v>136</v>
      </c>
      <c r="Z31" s="132">
        <v>1.8</v>
      </c>
    </row>
    <row r="32" spans="1:26" ht="19.2" x14ac:dyDescent="0.5">
      <c r="A32" s="186"/>
      <c r="B32" s="186" t="s">
        <v>137</v>
      </c>
      <c r="C32" s="186"/>
      <c r="D32" s="187" t="s">
        <v>468</v>
      </c>
      <c r="E32" s="188" t="s">
        <v>117</v>
      </c>
      <c r="F32" s="189">
        <f t="shared" ref="F32:R32" si="10">F18</f>
        <v>0.84977123444062252</v>
      </c>
      <c r="G32" s="189">
        <f t="shared" si="10"/>
        <v>0.38436852476218236</v>
      </c>
      <c r="H32" s="189">
        <f t="shared" si="10"/>
        <v>0.77254402465465877</v>
      </c>
      <c r="I32" s="189">
        <f t="shared" si="10"/>
        <v>0.84977123444062252</v>
      </c>
      <c r="J32" s="189">
        <f t="shared" si="10"/>
        <v>0.84977123444062252</v>
      </c>
      <c r="K32" s="189">
        <f t="shared" si="10"/>
        <v>0.84977123444062252</v>
      </c>
      <c r="L32" s="189">
        <f t="shared" si="10"/>
        <v>0.84977123444062252</v>
      </c>
      <c r="M32" s="189">
        <f t="shared" si="10"/>
        <v>0.84977123444062252</v>
      </c>
      <c r="N32" s="189">
        <f t="shared" si="10"/>
        <v>0.45370985749253717</v>
      </c>
      <c r="O32" s="189">
        <f t="shared" si="10"/>
        <v>0.34833822442189993</v>
      </c>
      <c r="P32" s="189">
        <f t="shared" si="10"/>
        <v>0.27899689169154518</v>
      </c>
      <c r="Q32" s="189">
        <f t="shared" si="10"/>
        <v>0.26676018591560019</v>
      </c>
      <c r="R32" s="189">
        <f t="shared" si="10"/>
        <v>0.27015927085336267</v>
      </c>
      <c r="Y32" s="131" t="s">
        <v>138</v>
      </c>
      <c r="Z32" s="132">
        <v>1.7</v>
      </c>
    </row>
    <row r="33" spans="1:26" ht="19.2" x14ac:dyDescent="0.5">
      <c r="A33" s="186"/>
      <c r="B33" s="186" t="s">
        <v>118</v>
      </c>
      <c r="C33" s="186"/>
      <c r="D33" s="187" t="s">
        <v>469</v>
      </c>
      <c r="E33" s="188" t="s">
        <v>4</v>
      </c>
      <c r="F33" s="189">
        <f>F32^2/(2*9.81)</f>
        <v>3.6804849688213022E-2</v>
      </c>
      <c r="G33" s="189">
        <f t="shared" ref="G33:R33" si="11">G32^2/(2*9.81)</f>
        <v>7.5300286864350861E-3</v>
      </c>
      <c r="H33" s="189">
        <f t="shared" si="11"/>
        <v>3.0419177881224158E-2</v>
      </c>
      <c r="I33" s="189">
        <f t="shared" si="11"/>
        <v>3.6804849688213022E-2</v>
      </c>
      <c r="J33" s="189">
        <f t="shared" si="11"/>
        <v>3.6804849688213022E-2</v>
      </c>
      <c r="K33" s="189">
        <f t="shared" si="11"/>
        <v>3.6804849688213022E-2</v>
      </c>
      <c r="L33" s="189">
        <f t="shared" si="11"/>
        <v>3.6804849688213022E-2</v>
      </c>
      <c r="M33" s="189">
        <f t="shared" si="11"/>
        <v>3.6804849688213022E-2</v>
      </c>
      <c r="N33" s="189">
        <f t="shared" si="11"/>
        <v>1.0491979346885748E-2</v>
      </c>
      <c r="O33" s="189">
        <f t="shared" si="11"/>
        <v>6.1844810700000972E-3</v>
      </c>
      <c r="P33" s="189">
        <f t="shared" si="11"/>
        <v>3.9673427917198663E-3</v>
      </c>
      <c r="Q33" s="189">
        <f t="shared" si="11"/>
        <v>3.6269621197617522E-3</v>
      </c>
      <c r="R33" s="189">
        <f t="shared" si="11"/>
        <v>3.719981224669754E-3</v>
      </c>
      <c r="Y33" s="131" t="s">
        <v>139</v>
      </c>
      <c r="Z33" s="132">
        <v>1</v>
      </c>
    </row>
    <row r="34" spans="1:26" ht="19.2" x14ac:dyDescent="0.5">
      <c r="A34" s="186"/>
      <c r="B34" s="186"/>
      <c r="C34" s="186"/>
      <c r="D34" s="187"/>
      <c r="E34" s="188"/>
      <c r="F34" s="189"/>
      <c r="G34" s="189"/>
      <c r="H34" s="189"/>
      <c r="I34" s="189"/>
      <c r="J34" s="189"/>
      <c r="K34" s="189"/>
      <c r="L34" s="189"/>
      <c r="M34" s="189"/>
      <c r="N34" s="189"/>
      <c r="O34" s="189"/>
      <c r="P34" s="189"/>
      <c r="Q34" s="189"/>
      <c r="R34" s="189"/>
      <c r="Y34" s="131" t="s">
        <v>140</v>
      </c>
      <c r="Z34" s="132">
        <v>0.8</v>
      </c>
    </row>
    <row r="35" spans="1:26" ht="20.399999999999999" x14ac:dyDescent="0.5">
      <c r="A35" s="199"/>
      <c r="B35" s="186" t="s">
        <v>141</v>
      </c>
      <c r="C35" s="186" t="s">
        <v>471</v>
      </c>
      <c r="D35" s="187" t="s">
        <v>472</v>
      </c>
      <c r="E35" s="188" t="s">
        <v>4</v>
      </c>
      <c r="F35" s="189">
        <f t="shared" ref="F35:R35" si="12">F29*((F26/F27)^(4/3))*F33*SIN(RADIANS(F30))</f>
        <v>1.2023385798169473E-2</v>
      </c>
      <c r="G35" s="189">
        <f t="shared" si="12"/>
        <v>2.4599051683476159E-3</v>
      </c>
      <c r="H35" s="189">
        <f t="shared" si="12"/>
        <v>9.9373184356797532E-3</v>
      </c>
      <c r="I35" s="189">
        <f t="shared" si="12"/>
        <v>1.2023385798169473E-2</v>
      </c>
      <c r="J35" s="189">
        <f t="shared" si="12"/>
        <v>1.2023385798169473E-2</v>
      </c>
      <c r="K35" s="189">
        <f t="shared" si="12"/>
        <v>1.2023385798169473E-2</v>
      </c>
      <c r="L35" s="189">
        <f t="shared" si="12"/>
        <v>1.2023385798169473E-2</v>
      </c>
      <c r="M35" s="189">
        <f t="shared" si="12"/>
        <v>1.2023385798169473E-2</v>
      </c>
      <c r="N35" s="189">
        <f t="shared" si="12"/>
        <v>3.4275133995298871E-3</v>
      </c>
      <c r="O35" s="189">
        <f t="shared" si="12"/>
        <v>2.0203424955135964E-3</v>
      </c>
      <c r="P35" s="189">
        <f t="shared" si="12"/>
        <v>1.2960491180517217E-3</v>
      </c>
      <c r="Q35" s="189">
        <f t="shared" si="12"/>
        <v>1.1848537682034861E-3</v>
      </c>
      <c r="R35" s="189">
        <f t="shared" si="12"/>
        <v>1.2152411925343476E-3</v>
      </c>
      <c r="X35" s="111" t="s">
        <v>119</v>
      </c>
    </row>
    <row r="36" spans="1:26" ht="20.399999999999999" x14ac:dyDescent="0.5">
      <c r="A36" s="199"/>
      <c r="B36" s="186" t="s">
        <v>142</v>
      </c>
      <c r="C36" s="186" t="s">
        <v>473</v>
      </c>
      <c r="D36" s="187" t="s">
        <v>474</v>
      </c>
      <c r="E36" s="188" t="s">
        <v>4</v>
      </c>
      <c r="F36" s="189">
        <f>F33*SIN(RADIANS(F31))</f>
        <v>3.3356521873140886E-2</v>
      </c>
      <c r="G36" s="189">
        <f t="shared" ref="G36:R36" si="13">G33*SIN(RADIANS(G31))</f>
        <v>6.8245236351254755E-3</v>
      </c>
      <c r="H36" s="189">
        <f t="shared" si="13"/>
        <v>2.7569137789006479E-2</v>
      </c>
      <c r="I36" s="189">
        <f t="shared" si="13"/>
        <v>3.3356521873140886E-2</v>
      </c>
      <c r="J36" s="189">
        <f t="shared" si="13"/>
        <v>3.3356521873140886E-2</v>
      </c>
      <c r="K36" s="189">
        <f t="shared" si="13"/>
        <v>3.3356521873140886E-2</v>
      </c>
      <c r="L36" s="189">
        <f t="shared" si="13"/>
        <v>3.3356521873140886E-2</v>
      </c>
      <c r="M36" s="189">
        <f t="shared" si="13"/>
        <v>3.3356521873140886E-2</v>
      </c>
      <c r="N36" s="189">
        <f t="shared" si="13"/>
        <v>9.5089625835102585E-3</v>
      </c>
      <c r="O36" s="189">
        <f t="shared" si="13"/>
        <v>5.6050433525218421E-3</v>
      </c>
      <c r="P36" s="189">
        <f t="shared" si="13"/>
        <v>3.5956336659794374E-3</v>
      </c>
      <c r="Q36" s="189">
        <f t="shared" si="13"/>
        <v>3.2871440124270308E-3</v>
      </c>
      <c r="R36" s="189">
        <f t="shared" si="13"/>
        <v>3.371447951548332E-3</v>
      </c>
      <c r="X36" s="111" t="s">
        <v>119</v>
      </c>
    </row>
    <row r="37" spans="1:26" ht="19.2" x14ac:dyDescent="0.5">
      <c r="A37" s="199"/>
      <c r="B37" s="186"/>
      <c r="C37" s="186"/>
      <c r="D37" s="187"/>
      <c r="E37" s="188"/>
      <c r="F37" s="190"/>
      <c r="G37" s="190"/>
      <c r="H37" s="190"/>
      <c r="I37" s="190"/>
      <c r="J37" s="190"/>
      <c r="K37" s="190"/>
      <c r="L37" s="190"/>
      <c r="M37" s="190"/>
      <c r="N37" s="190"/>
      <c r="O37" s="190"/>
      <c r="P37" s="190"/>
      <c r="Q37" s="190"/>
      <c r="R37" s="190"/>
    </row>
    <row r="38" spans="1:26" s="169" customFormat="1" ht="19.2" x14ac:dyDescent="0.5">
      <c r="A38" s="200"/>
      <c r="B38" s="201" t="s">
        <v>143</v>
      </c>
      <c r="C38" s="201" t="s">
        <v>475</v>
      </c>
      <c r="D38" s="202"/>
      <c r="E38" s="203" t="s">
        <v>4</v>
      </c>
      <c r="F38" s="204">
        <f>F35+F36</f>
        <v>4.5379907671310359E-2</v>
      </c>
      <c r="G38" s="204">
        <f t="shared" ref="G38:R38" si="14">G35+G36</f>
        <v>9.284428803473091E-3</v>
      </c>
      <c r="H38" s="204">
        <f t="shared" si="14"/>
        <v>3.7506456224686235E-2</v>
      </c>
      <c r="I38" s="204">
        <f t="shared" si="14"/>
        <v>4.5379907671310359E-2</v>
      </c>
      <c r="J38" s="204">
        <f t="shared" si="14"/>
        <v>4.5379907671310359E-2</v>
      </c>
      <c r="K38" s="204">
        <f t="shared" si="14"/>
        <v>4.5379907671310359E-2</v>
      </c>
      <c r="L38" s="204">
        <f t="shared" si="14"/>
        <v>4.5379907671310359E-2</v>
      </c>
      <c r="M38" s="204">
        <f t="shared" si="14"/>
        <v>4.5379907671310359E-2</v>
      </c>
      <c r="N38" s="204">
        <f t="shared" si="14"/>
        <v>1.2936475983040145E-2</v>
      </c>
      <c r="O38" s="204">
        <f t="shared" si="14"/>
        <v>7.6253858480354389E-3</v>
      </c>
      <c r="P38" s="204">
        <f t="shared" si="14"/>
        <v>4.8916827840311591E-3</v>
      </c>
      <c r="Q38" s="204">
        <f t="shared" si="14"/>
        <v>4.4719977806305169E-3</v>
      </c>
      <c r="R38" s="204">
        <f t="shared" si="14"/>
        <v>4.5866891440826795E-3</v>
      </c>
      <c r="S38" s="167">
        <f>S20-F38</f>
        <v>2481.9914249420167</v>
      </c>
      <c r="T38" s="168">
        <f>S38-F33</f>
        <v>2481.9546200923287</v>
      </c>
      <c r="U38" s="168"/>
      <c r="V38" s="168">
        <f>$T$20-T38</f>
        <v>4.5379907671303954E-2</v>
      </c>
      <c r="X38" s="169" t="s">
        <v>119</v>
      </c>
      <c r="Y38" s="168">
        <f>T20-F38</f>
        <v>2481.9546200923287</v>
      </c>
    </row>
    <row r="39" spans="1:26" s="155" customFormat="1" ht="19.2" x14ac:dyDescent="0.5">
      <c r="A39" s="191"/>
      <c r="B39" s="191" t="s">
        <v>144</v>
      </c>
      <c r="C39" s="191"/>
      <c r="D39" s="192"/>
      <c r="E39" s="183"/>
      <c r="F39" s="193">
        <f t="shared" ref="F39:R39" si="15">+F20-F38</f>
        <v>2481.9914249420167</v>
      </c>
      <c r="G39" s="193">
        <f t="shared" si="15"/>
        <v>2481.9982455998829</v>
      </c>
      <c r="H39" s="193">
        <f t="shared" si="15"/>
        <v>2481.9929127216569</v>
      </c>
      <c r="I39" s="193">
        <f t="shared" si="15"/>
        <v>2481.9914249420167</v>
      </c>
      <c r="J39" s="193">
        <f t="shared" si="15"/>
        <v>2481.9914249420167</v>
      </c>
      <c r="K39" s="193">
        <f t="shared" si="15"/>
        <v>2481.9914249420167</v>
      </c>
      <c r="L39" s="193">
        <f t="shared" si="15"/>
        <v>2481.9914249420167</v>
      </c>
      <c r="M39" s="193">
        <f t="shared" si="15"/>
        <v>2481.9914249420167</v>
      </c>
      <c r="N39" s="193">
        <f t="shared" si="15"/>
        <v>2481.9975555033639</v>
      </c>
      <c r="O39" s="193">
        <f t="shared" si="15"/>
        <v>2481.9985590952219</v>
      </c>
      <c r="P39" s="193">
        <f t="shared" si="15"/>
        <v>2481.9990756600077</v>
      </c>
      <c r="Q39" s="193">
        <f t="shared" si="15"/>
        <v>2481.9991549643391</v>
      </c>
      <c r="R39" s="193">
        <f t="shared" si="15"/>
        <v>2481.9991332920804</v>
      </c>
      <c r="S39" s="157"/>
      <c r="T39" s="158"/>
      <c r="U39" s="159"/>
      <c r="V39" s="160"/>
      <c r="X39" s="161"/>
      <c r="Y39" s="162"/>
    </row>
    <row r="40" spans="1:26" s="155" customFormat="1" ht="19.2" x14ac:dyDescent="0.5">
      <c r="A40" s="191"/>
      <c r="B40" s="191" t="s">
        <v>145</v>
      </c>
      <c r="C40" s="191"/>
      <c r="D40" s="192"/>
      <c r="E40" s="183"/>
      <c r="F40" s="193">
        <f>+F39-F33</f>
        <v>2481.9546200923287</v>
      </c>
      <c r="G40" s="193">
        <f t="shared" ref="G40:R40" si="16">+G39-G33</f>
        <v>2481.9907155711967</v>
      </c>
      <c r="H40" s="193">
        <f t="shared" si="16"/>
        <v>2481.9624935437755</v>
      </c>
      <c r="I40" s="193">
        <f t="shared" si="16"/>
        <v>2481.9546200923287</v>
      </c>
      <c r="J40" s="193">
        <f t="shared" si="16"/>
        <v>2481.9546200923287</v>
      </c>
      <c r="K40" s="193">
        <f t="shared" si="16"/>
        <v>2481.9546200923287</v>
      </c>
      <c r="L40" s="193">
        <f t="shared" si="16"/>
        <v>2481.9546200923287</v>
      </c>
      <c r="M40" s="193">
        <f t="shared" si="16"/>
        <v>2481.9546200923287</v>
      </c>
      <c r="N40" s="193">
        <f t="shared" si="16"/>
        <v>2481.9870635240168</v>
      </c>
      <c r="O40" s="193">
        <f t="shared" si="16"/>
        <v>2481.9923746141521</v>
      </c>
      <c r="P40" s="193">
        <f t="shared" si="16"/>
        <v>2481.9951083172159</v>
      </c>
      <c r="Q40" s="193">
        <f t="shared" si="16"/>
        <v>2481.9955280022195</v>
      </c>
      <c r="R40" s="193">
        <f t="shared" si="16"/>
        <v>2481.9954133108558</v>
      </c>
      <c r="S40" s="157"/>
      <c r="T40" s="158"/>
      <c r="U40" s="159"/>
      <c r="V40" s="160"/>
      <c r="X40" s="161"/>
      <c r="Y40" s="162"/>
    </row>
    <row r="41" spans="1:26" ht="19.2" x14ac:dyDescent="0.5">
      <c r="A41" s="186"/>
      <c r="B41" s="186"/>
      <c r="C41" s="186"/>
      <c r="D41" s="187"/>
      <c r="E41" s="188"/>
      <c r="F41" s="190"/>
      <c r="G41" s="190"/>
      <c r="H41" s="190"/>
      <c r="I41" s="190"/>
      <c r="J41" s="190"/>
      <c r="K41" s="190"/>
      <c r="L41" s="190"/>
      <c r="M41" s="190"/>
      <c r="N41" s="190"/>
      <c r="O41" s="190"/>
      <c r="P41" s="190"/>
      <c r="Q41" s="190"/>
      <c r="R41" s="190"/>
    </row>
    <row r="42" spans="1:26" ht="19.2" x14ac:dyDescent="0.5">
      <c r="A42" s="156">
        <v>1.2</v>
      </c>
      <c r="B42" s="156" t="s">
        <v>146</v>
      </c>
      <c r="C42" s="186"/>
      <c r="D42" s="187"/>
      <c r="E42" s="188"/>
      <c r="F42" s="190"/>
      <c r="G42" s="190"/>
      <c r="H42" s="190"/>
      <c r="I42" s="190"/>
      <c r="J42" s="190"/>
      <c r="K42" s="190"/>
      <c r="L42" s="190"/>
      <c r="M42" s="190"/>
      <c r="N42" s="190"/>
      <c r="O42" s="190"/>
      <c r="P42" s="190"/>
      <c r="Q42" s="190"/>
      <c r="R42" s="190"/>
    </row>
    <row r="43" spans="1:26" ht="19.2" x14ac:dyDescent="0.5">
      <c r="A43" s="156"/>
      <c r="B43" s="186" t="s">
        <v>147</v>
      </c>
      <c r="C43" s="186"/>
      <c r="D43" s="187"/>
      <c r="E43" s="188"/>
      <c r="F43" s="205">
        <v>2479.3000000000002</v>
      </c>
      <c r="G43" s="190">
        <f>+F43</f>
        <v>2479.3000000000002</v>
      </c>
      <c r="H43" s="190">
        <f t="shared" ref="H43:R47" si="17">+G43</f>
        <v>2479.3000000000002</v>
      </c>
      <c r="I43" s="190">
        <f t="shared" si="17"/>
        <v>2479.3000000000002</v>
      </c>
      <c r="J43" s="190">
        <f t="shared" si="17"/>
        <v>2479.3000000000002</v>
      </c>
      <c r="K43" s="190">
        <f t="shared" si="17"/>
        <v>2479.3000000000002</v>
      </c>
      <c r="L43" s="190">
        <f t="shared" si="17"/>
        <v>2479.3000000000002</v>
      </c>
      <c r="M43" s="190">
        <f t="shared" si="17"/>
        <v>2479.3000000000002</v>
      </c>
      <c r="N43" s="190">
        <f t="shared" si="17"/>
        <v>2479.3000000000002</v>
      </c>
      <c r="O43" s="190">
        <f t="shared" si="17"/>
        <v>2479.3000000000002</v>
      </c>
      <c r="P43" s="190">
        <f t="shared" si="17"/>
        <v>2479.3000000000002</v>
      </c>
      <c r="Q43" s="190">
        <f t="shared" si="17"/>
        <v>2479.3000000000002</v>
      </c>
      <c r="R43" s="190">
        <f t="shared" si="17"/>
        <v>2479.3000000000002</v>
      </c>
    </row>
    <row r="44" spans="1:26" ht="19.2" x14ac:dyDescent="0.5">
      <c r="A44" s="186"/>
      <c r="B44" s="186" t="s">
        <v>148</v>
      </c>
      <c r="C44" s="186"/>
      <c r="D44" s="187" t="s">
        <v>476</v>
      </c>
      <c r="E44" s="188"/>
      <c r="F44" s="189">
        <v>0.6</v>
      </c>
      <c r="G44" s="189">
        <f>+F44</f>
        <v>0.6</v>
      </c>
      <c r="H44" s="189">
        <f t="shared" si="17"/>
        <v>0.6</v>
      </c>
      <c r="I44" s="189">
        <f t="shared" si="17"/>
        <v>0.6</v>
      </c>
      <c r="J44" s="189">
        <f t="shared" si="17"/>
        <v>0.6</v>
      </c>
      <c r="K44" s="189">
        <f t="shared" si="17"/>
        <v>0.6</v>
      </c>
      <c r="L44" s="189">
        <f t="shared" si="17"/>
        <v>0.6</v>
      </c>
      <c r="M44" s="189">
        <f t="shared" si="17"/>
        <v>0.6</v>
      </c>
      <c r="N44" s="189">
        <f t="shared" si="17"/>
        <v>0.6</v>
      </c>
      <c r="O44" s="189">
        <f t="shared" si="17"/>
        <v>0.6</v>
      </c>
      <c r="P44" s="189">
        <f t="shared" si="17"/>
        <v>0.6</v>
      </c>
      <c r="Q44" s="189">
        <f t="shared" si="17"/>
        <v>0.6</v>
      </c>
      <c r="R44" s="189">
        <f t="shared" si="17"/>
        <v>0.6</v>
      </c>
    </row>
    <row r="45" spans="1:26" s="115" customFormat="1" ht="19.2" x14ac:dyDescent="0.5">
      <c r="A45" s="206"/>
      <c r="B45" s="206" t="s">
        <v>149</v>
      </c>
      <c r="C45" s="206"/>
      <c r="D45" s="207"/>
      <c r="E45" s="208"/>
      <c r="F45" s="198">
        <v>2</v>
      </c>
      <c r="G45" s="198">
        <f>+F45</f>
        <v>2</v>
      </c>
      <c r="H45" s="198">
        <f t="shared" si="17"/>
        <v>2</v>
      </c>
      <c r="I45" s="198">
        <f t="shared" si="17"/>
        <v>2</v>
      </c>
      <c r="J45" s="198">
        <f t="shared" si="17"/>
        <v>2</v>
      </c>
      <c r="K45" s="198">
        <f t="shared" si="17"/>
        <v>2</v>
      </c>
      <c r="L45" s="198">
        <f t="shared" si="17"/>
        <v>2</v>
      </c>
      <c r="M45" s="198">
        <f t="shared" si="17"/>
        <v>2</v>
      </c>
      <c r="N45" s="198">
        <f t="shared" si="17"/>
        <v>2</v>
      </c>
      <c r="O45" s="198">
        <f t="shared" si="17"/>
        <v>2</v>
      </c>
      <c r="P45" s="198">
        <f t="shared" si="17"/>
        <v>2</v>
      </c>
      <c r="Q45" s="198">
        <f t="shared" si="17"/>
        <v>2</v>
      </c>
      <c r="R45" s="198">
        <f t="shared" si="17"/>
        <v>2</v>
      </c>
      <c r="S45" s="116"/>
    </row>
    <row r="46" spans="1:26" s="115" customFormat="1" ht="19.2" x14ac:dyDescent="0.5">
      <c r="A46" s="206"/>
      <c r="B46" s="206" t="s">
        <v>150</v>
      </c>
      <c r="C46" s="206"/>
      <c r="D46" s="207"/>
      <c r="E46" s="208" t="s">
        <v>4</v>
      </c>
      <c r="F46" s="198">
        <v>4.8</v>
      </c>
      <c r="G46" s="198">
        <f>+F46</f>
        <v>4.8</v>
      </c>
      <c r="H46" s="198">
        <f t="shared" si="17"/>
        <v>4.8</v>
      </c>
      <c r="I46" s="198">
        <f t="shared" si="17"/>
        <v>4.8</v>
      </c>
      <c r="J46" s="198">
        <f t="shared" si="17"/>
        <v>4.8</v>
      </c>
      <c r="K46" s="198">
        <f t="shared" si="17"/>
        <v>4.8</v>
      </c>
      <c r="L46" s="198">
        <f t="shared" si="17"/>
        <v>4.8</v>
      </c>
      <c r="M46" s="198">
        <f t="shared" si="17"/>
        <v>4.8</v>
      </c>
      <c r="N46" s="198">
        <f t="shared" si="17"/>
        <v>4.8</v>
      </c>
      <c r="O46" s="198">
        <f>+N46</f>
        <v>4.8</v>
      </c>
      <c r="P46" s="198">
        <f t="shared" si="17"/>
        <v>4.8</v>
      </c>
      <c r="Q46" s="198">
        <f>+P46</f>
        <v>4.8</v>
      </c>
      <c r="R46" s="198">
        <f t="shared" si="17"/>
        <v>4.8</v>
      </c>
      <c r="S46" s="116"/>
    </row>
    <row r="47" spans="1:26" s="115" customFormat="1" ht="19.2" x14ac:dyDescent="0.5">
      <c r="A47" s="206"/>
      <c r="B47" s="206" t="s">
        <v>151</v>
      </c>
      <c r="C47" s="206"/>
      <c r="D47" s="207"/>
      <c r="E47" s="208" t="s">
        <v>4</v>
      </c>
      <c r="F47" s="198">
        <v>2</v>
      </c>
      <c r="G47" s="198">
        <f>+F47</f>
        <v>2</v>
      </c>
      <c r="H47" s="198">
        <f t="shared" si="17"/>
        <v>2</v>
      </c>
      <c r="I47" s="198">
        <f t="shared" si="17"/>
        <v>2</v>
      </c>
      <c r="J47" s="198">
        <f t="shared" si="17"/>
        <v>2</v>
      </c>
      <c r="K47" s="198">
        <f t="shared" si="17"/>
        <v>2</v>
      </c>
      <c r="L47" s="198">
        <f t="shared" si="17"/>
        <v>2</v>
      </c>
      <c r="M47" s="198">
        <f t="shared" si="17"/>
        <v>2</v>
      </c>
      <c r="N47" s="198">
        <f t="shared" si="17"/>
        <v>2</v>
      </c>
      <c r="O47" s="198">
        <f>+N47</f>
        <v>2</v>
      </c>
      <c r="P47" s="198">
        <f t="shared" si="17"/>
        <v>2</v>
      </c>
      <c r="Q47" s="198">
        <f>+P47</f>
        <v>2</v>
      </c>
      <c r="R47" s="198">
        <f t="shared" si="17"/>
        <v>2</v>
      </c>
      <c r="S47" s="116">
        <f>F46*F47</f>
        <v>9.6</v>
      </c>
    </row>
    <row r="48" spans="1:26" ht="19.2" x14ac:dyDescent="0.5">
      <c r="A48" s="186"/>
      <c r="B48" s="186" t="s">
        <v>152</v>
      </c>
      <c r="C48" s="186"/>
      <c r="D48" s="187"/>
      <c r="E48" s="188" t="s">
        <v>153</v>
      </c>
      <c r="F48" s="189">
        <f>F47*F46</f>
        <v>9.6</v>
      </c>
      <c r="G48" s="189">
        <f>G47*G46</f>
        <v>9.6</v>
      </c>
      <c r="H48" s="189">
        <f t="shared" ref="H48:R48" si="18">H47*H46</f>
        <v>9.6</v>
      </c>
      <c r="I48" s="189">
        <f t="shared" si="18"/>
        <v>9.6</v>
      </c>
      <c r="J48" s="189">
        <f t="shared" si="18"/>
        <v>9.6</v>
      </c>
      <c r="K48" s="189">
        <f t="shared" si="18"/>
        <v>9.6</v>
      </c>
      <c r="L48" s="189">
        <f t="shared" si="18"/>
        <v>9.6</v>
      </c>
      <c r="M48" s="189">
        <f t="shared" si="18"/>
        <v>9.6</v>
      </c>
      <c r="N48" s="189">
        <f t="shared" si="18"/>
        <v>9.6</v>
      </c>
      <c r="O48" s="189">
        <f t="shared" si="18"/>
        <v>9.6</v>
      </c>
      <c r="P48" s="189">
        <f t="shared" si="18"/>
        <v>9.6</v>
      </c>
      <c r="Q48" s="189">
        <f t="shared" si="18"/>
        <v>9.6</v>
      </c>
      <c r="R48" s="189">
        <f t="shared" si="18"/>
        <v>9.6</v>
      </c>
    </row>
    <row r="49" spans="1:25" ht="19.2" x14ac:dyDescent="0.5">
      <c r="A49" s="186"/>
      <c r="B49" s="186" t="s">
        <v>154</v>
      </c>
      <c r="C49" s="186"/>
      <c r="D49" s="187" t="s">
        <v>155</v>
      </c>
      <c r="E49" s="188" t="s">
        <v>117</v>
      </c>
      <c r="F49" s="189">
        <f t="shared" ref="F49:R49" si="19">(F10/F45)/F48</f>
        <v>0.78125</v>
      </c>
      <c r="G49" s="189">
        <f t="shared" si="19"/>
        <v>0.35337499999999999</v>
      </c>
      <c r="H49" s="189">
        <f t="shared" si="19"/>
        <v>0.71025000000000005</v>
      </c>
      <c r="I49" s="189">
        <f t="shared" si="19"/>
        <v>0.78125</v>
      </c>
      <c r="J49" s="189">
        <f t="shared" si="19"/>
        <v>0.78125</v>
      </c>
      <c r="K49" s="189">
        <f t="shared" si="19"/>
        <v>0.78125</v>
      </c>
      <c r="L49" s="189">
        <f t="shared" si="19"/>
        <v>0.78125</v>
      </c>
      <c r="M49" s="189">
        <f t="shared" si="19"/>
        <v>0.78125</v>
      </c>
      <c r="N49" s="189">
        <f t="shared" si="19"/>
        <v>0.41712500000000008</v>
      </c>
      <c r="O49" s="189">
        <f t="shared" si="19"/>
        <v>0.32024999999999998</v>
      </c>
      <c r="P49" s="189">
        <f t="shared" si="19"/>
        <v>0.25650000000000001</v>
      </c>
      <c r="Q49" s="189">
        <f t="shared" si="19"/>
        <v>0.24525000000000002</v>
      </c>
      <c r="R49" s="189">
        <f t="shared" si="19"/>
        <v>0.24837499999999998</v>
      </c>
    </row>
    <row r="50" spans="1:25" ht="19.2" x14ac:dyDescent="0.5">
      <c r="A50" s="186"/>
      <c r="B50" s="186" t="s">
        <v>118</v>
      </c>
      <c r="C50" s="186"/>
      <c r="D50" s="187" t="s">
        <v>156</v>
      </c>
      <c r="E50" s="188" t="s">
        <v>4</v>
      </c>
      <c r="F50" s="189">
        <f>F49^2/(2*9.81)</f>
        <v>3.1108642329255861E-2</v>
      </c>
      <c r="G50" s="189">
        <f t="shared" ref="G50:R50" si="20">G49^2/(2*9.81)</f>
        <v>6.3646223560142705E-3</v>
      </c>
      <c r="H50" s="189">
        <f t="shared" si="20"/>
        <v>2.5711267201834864E-2</v>
      </c>
      <c r="I50" s="189">
        <f t="shared" si="20"/>
        <v>3.1108642329255861E-2</v>
      </c>
      <c r="J50" s="189">
        <f t="shared" si="20"/>
        <v>3.1108642329255861E-2</v>
      </c>
      <c r="K50" s="189">
        <f t="shared" si="20"/>
        <v>3.1108642329255861E-2</v>
      </c>
      <c r="L50" s="189">
        <f t="shared" si="20"/>
        <v>3.1108642329255861E-2</v>
      </c>
      <c r="M50" s="189">
        <f t="shared" si="20"/>
        <v>3.1108642329255861E-2</v>
      </c>
      <c r="N50" s="189">
        <f t="shared" si="20"/>
        <v>8.8681582887359858E-3</v>
      </c>
      <c r="O50" s="189">
        <f t="shared" si="20"/>
        <v>5.2273222477064217E-3</v>
      </c>
      <c r="P50" s="189">
        <f t="shared" si="20"/>
        <v>3.3533256880733942E-3</v>
      </c>
      <c r="Q50" s="189">
        <f t="shared" si="20"/>
        <v>3.0656250000000002E-3</v>
      </c>
      <c r="R50" s="189">
        <f t="shared" si="20"/>
        <v>3.1442477382772676E-3</v>
      </c>
    </row>
    <row r="51" spans="1:25" ht="19.2" x14ac:dyDescent="0.5">
      <c r="A51" s="186"/>
      <c r="B51" s="186" t="s">
        <v>157</v>
      </c>
      <c r="C51" s="186"/>
      <c r="D51" s="187"/>
      <c r="E51" s="188" t="s">
        <v>4</v>
      </c>
      <c r="F51" s="190"/>
      <c r="G51" s="190"/>
      <c r="H51" s="190"/>
      <c r="I51" s="190"/>
      <c r="J51" s="190"/>
      <c r="K51" s="190"/>
      <c r="L51" s="190"/>
      <c r="M51" s="190"/>
      <c r="N51" s="190"/>
      <c r="O51" s="190"/>
      <c r="P51" s="190"/>
      <c r="Q51" s="190"/>
      <c r="R51" s="190"/>
    </row>
    <row r="52" spans="1:25" ht="19.2" x14ac:dyDescent="0.5">
      <c r="A52" s="199"/>
      <c r="B52" s="186" t="s">
        <v>158</v>
      </c>
      <c r="C52" s="209" t="s">
        <v>477</v>
      </c>
      <c r="D52" s="187"/>
      <c r="E52" s="188" t="s">
        <v>4</v>
      </c>
      <c r="F52" s="189">
        <f>(1/F44^2)*F50</f>
        <v>8.6412895359044062E-2</v>
      </c>
      <c r="G52" s="189">
        <f t="shared" ref="G52:R52" si="21">(1/G44^2)*G50</f>
        <v>1.7679506544484084E-2</v>
      </c>
      <c r="H52" s="189">
        <f t="shared" si="21"/>
        <v>7.1420186671763503E-2</v>
      </c>
      <c r="I52" s="189">
        <f t="shared" si="21"/>
        <v>8.6412895359044062E-2</v>
      </c>
      <c r="J52" s="189">
        <f t="shared" si="21"/>
        <v>8.6412895359044062E-2</v>
      </c>
      <c r="K52" s="189">
        <f t="shared" si="21"/>
        <v>8.6412895359044062E-2</v>
      </c>
      <c r="L52" s="189">
        <f t="shared" si="21"/>
        <v>8.6412895359044062E-2</v>
      </c>
      <c r="M52" s="189">
        <f t="shared" si="21"/>
        <v>8.6412895359044062E-2</v>
      </c>
      <c r="N52" s="189">
        <f t="shared" si="21"/>
        <v>2.4633773024266625E-2</v>
      </c>
      <c r="O52" s="189">
        <f t="shared" si="21"/>
        <v>1.4520339576962282E-2</v>
      </c>
      <c r="P52" s="189">
        <f t="shared" si="21"/>
        <v>9.3147935779816504E-3</v>
      </c>
      <c r="Q52" s="189">
        <f t="shared" si="21"/>
        <v>8.5156250000000006E-3</v>
      </c>
      <c r="R52" s="189">
        <f t="shared" si="21"/>
        <v>8.7340214952146313E-3</v>
      </c>
      <c r="S52" s="122">
        <f>S38-F52</f>
        <v>2481.9050120466577</v>
      </c>
      <c r="T52" s="123">
        <f>S52-F50</f>
        <v>2481.8739034043283</v>
      </c>
      <c r="U52" s="124"/>
      <c r="V52" s="125">
        <f>$T$20-T52</f>
        <v>0.12609659567169729</v>
      </c>
      <c r="X52" s="111" t="s">
        <v>119</v>
      </c>
      <c r="Y52" s="121">
        <f>T38-F52</f>
        <v>2481.8682071969697</v>
      </c>
    </row>
    <row r="53" spans="1:25" ht="19.2" x14ac:dyDescent="0.5">
      <c r="A53" s="199"/>
      <c r="B53" s="186"/>
      <c r="C53" s="209"/>
      <c r="D53" s="187"/>
      <c r="E53" s="188"/>
      <c r="F53" s="189"/>
      <c r="G53" s="189"/>
      <c r="H53" s="189"/>
      <c r="I53" s="189"/>
      <c r="J53" s="189"/>
      <c r="K53" s="189"/>
      <c r="L53" s="189"/>
      <c r="M53" s="189"/>
      <c r="N53" s="189"/>
      <c r="O53" s="189"/>
      <c r="P53" s="189"/>
      <c r="Q53" s="189"/>
      <c r="R53" s="189"/>
      <c r="S53" s="122"/>
      <c r="T53" s="124"/>
      <c r="U53" s="124"/>
      <c r="V53" s="125"/>
      <c r="Y53" s="121"/>
    </row>
    <row r="54" spans="1:25" s="172" customFormat="1" ht="19.2" x14ac:dyDescent="0.5">
      <c r="A54" s="210"/>
      <c r="B54" s="210" t="s">
        <v>159</v>
      </c>
      <c r="C54" s="210"/>
      <c r="D54" s="211"/>
      <c r="E54" s="212"/>
      <c r="F54" s="213">
        <f>F38+F52</f>
        <v>0.13179280303035443</v>
      </c>
      <c r="G54" s="213">
        <f t="shared" ref="G54:R54" si="22">G38+G52</f>
        <v>2.6963935347957175E-2</v>
      </c>
      <c r="H54" s="213">
        <f t="shared" si="22"/>
        <v>0.10892664289644974</v>
      </c>
      <c r="I54" s="213">
        <f t="shared" si="22"/>
        <v>0.13179280303035443</v>
      </c>
      <c r="J54" s="213">
        <f t="shared" si="22"/>
        <v>0.13179280303035443</v>
      </c>
      <c r="K54" s="213">
        <f t="shared" si="22"/>
        <v>0.13179280303035443</v>
      </c>
      <c r="L54" s="213">
        <f t="shared" si="22"/>
        <v>0.13179280303035443</v>
      </c>
      <c r="M54" s="213">
        <f t="shared" si="22"/>
        <v>0.13179280303035443</v>
      </c>
      <c r="N54" s="213">
        <f t="shared" si="22"/>
        <v>3.7570249007306766E-2</v>
      </c>
      <c r="O54" s="213">
        <f t="shared" si="22"/>
        <v>2.2145725424997723E-2</v>
      </c>
      <c r="P54" s="213">
        <f t="shared" si="22"/>
        <v>1.4206476362012809E-2</v>
      </c>
      <c r="Q54" s="213">
        <f t="shared" si="22"/>
        <v>1.2987622780630518E-2</v>
      </c>
      <c r="R54" s="213">
        <f t="shared" si="22"/>
        <v>1.3320710639297311E-2</v>
      </c>
      <c r="S54" s="170"/>
      <c r="T54" s="171"/>
    </row>
    <row r="55" spans="1:25" s="155" customFormat="1" ht="19.2" x14ac:dyDescent="0.5">
      <c r="A55" s="191"/>
      <c r="B55" s="191" t="s">
        <v>144</v>
      </c>
      <c r="C55" s="191"/>
      <c r="D55" s="192"/>
      <c r="E55" s="183"/>
      <c r="F55" s="214">
        <f>+F39-F52</f>
        <v>2481.9050120466577</v>
      </c>
      <c r="G55" s="214">
        <f t="shared" ref="G55:R55" si="23">+G39-G52</f>
        <v>2481.9805660933384</v>
      </c>
      <c r="H55" s="214">
        <f t="shared" si="23"/>
        <v>2481.9214925349852</v>
      </c>
      <c r="I55" s="214">
        <f t="shared" si="23"/>
        <v>2481.9050120466577</v>
      </c>
      <c r="J55" s="214">
        <f t="shared" si="23"/>
        <v>2481.9050120466577</v>
      </c>
      <c r="K55" s="214">
        <f t="shared" si="23"/>
        <v>2481.9050120466577</v>
      </c>
      <c r="L55" s="214">
        <f t="shared" si="23"/>
        <v>2481.9050120466577</v>
      </c>
      <c r="M55" s="214">
        <f t="shared" si="23"/>
        <v>2481.9050120466577</v>
      </c>
      <c r="N55" s="214">
        <f t="shared" si="23"/>
        <v>2481.9729217303397</v>
      </c>
      <c r="O55" s="214">
        <f t="shared" si="23"/>
        <v>2481.9840387556451</v>
      </c>
      <c r="P55" s="214">
        <f t="shared" si="23"/>
        <v>2481.9897608664296</v>
      </c>
      <c r="Q55" s="214">
        <f t="shared" si="23"/>
        <v>2481.9906393393389</v>
      </c>
      <c r="R55" s="214">
        <f t="shared" si="23"/>
        <v>2481.9903992705854</v>
      </c>
      <c r="S55" s="163"/>
      <c r="T55" s="164"/>
    </row>
    <row r="56" spans="1:25" s="155" customFormat="1" ht="19.2" x14ac:dyDescent="0.5">
      <c r="A56" s="191"/>
      <c r="B56" s="191" t="s">
        <v>145</v>
      </c>
      <c r="C56" s="191"/>
      <c r="D56" s="192"/>
      <c r="E56" s="183"/>
      <c r="F56" s="214">
        <f>+F55-F50</f>
        <v>2481.8739034043283</v>
      </c>
      <c r="G56" s="214">
        <f t="shared" ref="G56:R56" si="24">+G55-G50</f>
        <v>2481.9742014709823</v>
      </c>
      <c r="H56" s="214">
        <f t="shared" si="24"/>
        <v>2481.8957812677831</v>
      </c>
      <c r="I56" s="214">
        <f t="shared" si="24"/>
        <v>2481.8739034043283</v>
      </c>
      <c r="J56" s="214">
        <f t="shared" si="24"/>
        <v>2481.8739034043283</v>
      </c>
      <c r="K56" s="214">
        <f t="shared" si="24"/>
        <v>2481.8739034043283</v>
      </c>
      <c r="L56" s="214">
        <f t="shared" si="24"/>
        <v>2481.8739034043283</v>
      </c>
      <c r="M56" s="214">
        <f t="shared" si="24"/>
        <v>2481.8739034043283</v>
      </c>
      <c r="N56" s="214">
        <f t="shared" si="24"/>
        <v>2481.9640535720509</v>
      </c>
      <c r="O56" s="214">
        <f t="shared" si="24"/>
        <v>2481.9788114333974</v>
      </c>
      <c r="P56" s="214">
        <f t="shared" si="24"/>
        <v>2481.9864075407413</v>
      </c>
      <c r="Q56" s="214">
        <f t="shared" si="24"/>
        <v>2481.9875737143389</v>
      </c>
      <c r="R56" s="214">
        <f t="shared" si="24"/>
        <v>2481.987255022847</v>
      </c>
      <c r="S56" s="163"/>
      <c r="T56" s="164"/>
    </row>
    <row r="57" spans="1:25" ht="19.2" x14ac:dyDescent="0.5">
      <c r="A57" s="186"/>
      <c r="B57" s="186"/>
      <c r="C57" s="186"/>
      <c r="D57" s="187"/>
      <c r="E57" s="188"/>
      <c r="F57" s="190"/>
      <c r="G57" s="190"/>
      <c r="H57" s="190"/>
      <c r="I57" s="190"/>
      <c r="J57" s="190"/>
      <c r="K57" s="190"/>
      <c r="L57" s="190"/>
      <c r="M57" s="190"/>
      <c r="N57" s="190"/>
      <c r="O57" s="190"/>
      <c r="P57" s="190"/>
      <c r="Q57" s="190"/>
      <c r="R57" s="190"/>
      <c r="T57" s="127"/>
    </row>
    <row r="58" spans="1:25" ht="19.2" x14ac:dyDescent="0.5">
      <c r="A58" s="156">
        <v>1.3</v>
      </c>
      <c r="B58" s="156" t="s">
        <v>160</v>
      </c>
      <c r="C58" s="186"/>
      <c r="D58" s="187"/>
      <c r="E58" s="188"/>
      <c r="F58" s="190"/>
      <c r="G58" s="190"/>
      <c r="H58" s="190"/>
      <c r="I58" s="190"/>
      <c r="J58" s="190"/>
      <c r="K58" s="190"/>
      <c r="L58" s="190"/>
      <c r="M58" s="190"/>
      <c r="N58" s="190"/>
      <c r="O58" s="190"/>
      <c r="P58" s="190"/>
      <c r="Q58" s="190"/>
      <c r="R58" s="190"/>
    </row>
    <row r="59" spans="1:25" s="115" customFormat="1" ht="19.2" x14ac:dyDescent="0.5">
      <c r="A59" s="206"/>
      <c r="B59" s="206" t="s">
        <v>161</v>
      </c>
      <c r="C59" s="206"/>
      <c r="D59" s="207" t="s">
        <v>162</v>
      </c>
      <c r="E59" s="208"/>
      <c r="F59" s="198">
        <v>0.2</v>
      </c>
      <c r="G59" s="198">
        <v>0.2</v>
      </c>
      <c r="H59" s="198">
        <v>0.2</v>
      </c>
      <c r="I59" s="198">
        <v>0.2</v>
      </c>
      <c r="J59" s="198">
        <v>0.2</v>
      </c>
      <c r="K59" s="198">
        <v>0.2</v>
      </c>
      <c r="L59" s="198">
        <v>0.2</v>
      </c>
      <c r="M59" s="198">
        <v>0.2</v>
      </c>
      <c r="N59" s="198">
        <v>0.2</v>
      </c>
      <c r="O59" s="198">
        <v>0.2</v>
      </c>
      <c r="P59" s="198">
        <v>0.2</v>
      </c>
      <c r="Q59" s="198">
        <v>0.2</v>
      </c>
      <c r="R59" s="198">
        <v>0.2</v>
      </c>
      <c r="S59" s="116"/>
    </row>
    <row r="60" spans="1:25" s="115" customFormat="1" ht="19.2" x14ac:dyDescent="0.5">
      <c r="A60" s="206"/>
      <c r="B60" s="206" t="s">
        <v>149</v>
      </c>
      <c r="C60" s="206"/>
      <c r="D60" s="207"/>
      <c r="E60" s="208"/>
      <c r="F60" s="198">
        <v>2</v>
      </c>
      <c r="G60" s="198">
        <f>+F60</f>
        <v>2</v>
      </c>
      <c r="H60" s="198">
        <f t="shared" ref="H60:R62" si="25">+G60</f>
        <v>2</v>
      </c>
      <c r="I60" s="198">
        <f t="shared" si="25"/>
        <v>2</v>
      </c>
      <c r="J60" s="198">
        <f t="shared" si="25"/>
        <v>2</v>
      </c>
      <c r="K60" s="198">
        <f t="shared" si="25"/>
        <v>2</v>
      </c>
      <c r="L60" s="198">
        <f t="shared" si="25"/>
        <v>2</v>
      </c>
      <c r="M60" s="198">
        <f t="shared" si="25"/>
        <v>2</v>
      </c>
      <c r="N60" s="198">
        <f>+M60</f>
        <v>2</v>
      </c>
      <c r="O60" s="198">
        <f t="shared" si="25"/>
        <v>2</v>
      </c>
      <c r="P60" s="198">
        <f t="shared" si="25"/>
        <v>2</v>
      </c>
      <c r="Q60" s="198">
        <f t="shared" si="25"/>
        <v>2</v>
      </c>
      <c r="R60" s="198">
        <f t="shared" si="25"/>
        <v>2</v>
      </c>
      <c r="S60" s="116"/>
    </row>
    <row r="61" spans="1:25" ht="19.2" x14ac:dyDescent="0.5">
      <c r="A61" s="186"/>
      <c r="B61" s="186" t="s">
        <v>150</v>
      </c>
      <c r="C61" s="186"/>
      <c r="D61" s="187"/>
      <c r="E61" s="188" t="s">
        <v>4</v>
      </c>
      <c r="F61" s="189">
        <v>4.8</v>
      </c>
      <c r="G61" s="189">
        <f>+F61</f>
        <v>4.8</v>
      </c>
      <c r="H61" s="189">
        <f t="shared" si="25"/>
        <v>4.8</v>
      </c>
      <c r="I61" s="189">
        <f t="shared" si="25"/>
        <v>4.8</v>
      </c>
      <c r="J61" s="189">
        <f t="shared" si="25"/>
        <v>4.8</v>
      </c>
      <c r="K61" s="189">
        <f t="shared" si="25"/>
        <v>4.8</v>
      </c>
      <c r="L61" s="189">
        <f t="shared" si="25"/>
        <v>4.8</v>
      </c>
      <c r="M61" s="189">
        <f t="shared" si="25"/>
        <v>4.8</v>
      </c>
      <c r="N61" s="189">
        <f t="shared" si="25"/>
        <v>4.8</v>
      </c>
      <c r="O61" s="189">
        <f>+N61</f>
        <v>4.8</v>
      </c>
      <c r="P61" s="189">
        <f t="shared" si="25"/>
        <v>4.8</v>
      </c>
      <c r="Q61" s="189">
        <f t="shared" si="25"/>
        <v>4.8</v>
      </c>
      <c r="R61" s="189">
        <f t="shared" si="25"/>
        <v>4.8</v>
      </c>
    </row>
    <row r="62" spans="1:25" ht="19.2" x14ac:dyDescent="0.5">
      <c r="A62" s="186"/>
      <c r="B62" s="186" t="s">
        <v>163</v>
      </c>
      <c r="C62" s="186"/>
      <c r="D62" s="187"/>
      <c r="E62" s="188" t="s">
        <v>4</v>
      </c>
      <c r="F62" s="189">
        <v>2</v>
      </c>
      <c r="G62" s="189">
        <f>+F62</f>
        <v>2</v>
      </c>
      <c r="H62" s="189">
        <f t="shared" si="25"/>
        <v>2</v>
      </c>
      <c r="I62" s="189">
        <f t="shared" si="25"/>
        <v>2</v>
      </c>
      <c r="J62" s="189">
        <f t="shared" si="25"/>
        <v>2</v>
      </c>
      <c r="K62" s="189">
        <f t="shared" si="25"/>
        <v>2</v>
      </c>
      <c r="L62" s="189">
        <f t="shared" si="25"/>
        <v>2</v>
      </c>
      <c r="M62" s="189">
        <f t="shared" si="25"/>
        <v>2</v>
      </c>
      <c r="N62" s="189">
        <f t="shared" si="25"/>
        <v>2</v>
      </c>
      <c r="O62" s="189">
        <f t="shared" si="25"/>
        <v>2</v>
      </c>
      <c r="P62" s="189">
        <f>+O62</f>
        <v>2</v>
      </c>
      <c r="Q62" s="189">
        <f t="shared" si="25"/>
        <v>2</v>
      </c>
      <c r="R62" s="189">
        <f t="shared" si="25"/>
        <v>2</v>
      </c>
    </row>
    <row r="63" spans="1:25" ht="19.2" x14ac:dyDescent="0.5">
      <c r="A63" s="186"/>
      <c r="B63" s="186" t="s">
        <v>164</v>
      </c>
      <c r="C63" s="186"/>
      <c r="D63" s="187"/>
      <c r="E63" s="188" t="s">
        <v>153</v>
      </c>
      <c r="F63" s="189">
        <f>F60*F61*F62</f>
        <v>19.2</v>
      </c>
      <c r="G63" s="189">
        <f t="shared" ref="G63:R63" si="26">G60*G61*G62</f>
        <v>19.2</v>
      </c>
      <c r="H63" s="189">
        <f t="shared" si="26"/>
        <v>19.2</v>
      </c>
      <c r="I63" s="189">
        <f t="shared" si="26"/>
        <v>19.2</v>
      </c>
      <c r="J63" s="189">
        <f t="shared" si="26"/>
        <v>19.2</v>
      </c>
      <c r="K63" s="189">
        <f t="shared" si="26"/>
        <v>19.2</v>
      </c>
      <c r="L63" s="189">
        <f t="shared" si="26"/>
        <v>19.2</v>
      </c>
      <c r="M63" s="189">
        <f t="shared" si="26"/>
        <v>19.2</v>
      </c>
      <c r="N63" s="189">
        <f t="shared" si="26"/>
        <v>19.2</v>
      </c>
      <c r="O63" s="189">
        <f t="shared" si="26"/>
        <v>19.2</v>
      </c>
      <c r="P63" s="189">
        <f t="shared" si="26"/>
        <v>19.2</v>
      </c>
      <c r="Q63" s="189">
        <f t="shared" si="26"/>
        <v>19.2</v>
      </c>
      <c r="R63" s="189">
        <f t="shared" si="26"/>
        <v>19.2</v>
      </c>
    </row>
    <row r="64" spans="1:25" ht="19.2" x14ac:dyDescent="0.5">
      <c r="A64" s="186"/>
      <c r="B64" s="186" t="s">
        <v>165</v>
      </c>
      <c r="C64" s="186"/>
      <c r="D64" s="187"/>
      <c r="E64" s="188" t="s">
        <v>103</v>
      </c>
      <c r="F64" s="189">
        <f t="shared" ref="F64:R64" si="27">F10</f>
        <v>15</v>
      </c>
      <c r="G64" s="189">
        <f t="shared" si="27"/>
        <v>6.7847999999999997</v>
      </c>
      <c r="H64" s="189">
        <f t="shared" si="27"/>
        <v>13.636800000000001</v>
      </c>
      <c r="I64" s="189">
        <f t="shared" si="27"/>
        <v>15</v>
      </c>
      <c r="J64" s="189">
        <f t="shared" si="27"/>
        <v>15</v>
      </c>
      <c r="K64" s="189">
        <f t="shared" si="27"/>
        <v>15</v>
      </c>
      <c r="L64" s="189">
        <f t="shared" si="27"/>
        <v>15</v>
      </c>
      <c r="M64" s="189">
        <f t="shared" si="27"/>
        <v>15</v>
      </c>
      <c r="N64" s="189">
        <f t="shared" si="27"/>
        <v>8.0088000000000008</v>
      </c>
      <c r="O64" s="189">
        <f t="shared" si="27"/>
        <v>6.1487999999999996</v>
      </c>
      <c r="P64" s="189">
        <f t="shared" si="27"/>
        <v>4.9248000000000003</v>
      </c>
      <c r="Q64" s="189">
        <f t="shared" si="27"/>
        <v>4.7088000000000001</v>
      </c>
      <c r="R64" s="189">
        <f t="shared" si="27"/>
        <v>4.7687999999999997</v>
      </c>
    </row>
    <row r="65" spans="1:25" ht="19.2" x14ac:dyDescent="0.5">
      <c r="A65" s="186"/>
      <c r="B65" s="186" t="s">
        <v>154</v>
      </c>
      <c r="C65" s="186"/>
      <c r="D65" s="187" t="s">
        <v>166</v>
      </c>
      <c r="E65" s="188" t="s">
        <v>117</v>
      </c>
      <c r="F65" s="189">
        <f>F64/F63</f>
        <v>0.78125</v>
      </c>
      <c r="G65" s="189">
        <f t="shared" ref="G65:R65" si="28">G64/G63</f>
        <v>0.35337499999999999</v>
      </c>
      <c r="H65" s="189">
        <f t="shared" si="28"/>
        <v>0.71025000000000005</v>
      </c>
      <c r="I65" s="189">
        <f t="shared" si="28"/>
        <v>0.78125</v>
      </c>
      <c r="J65" s="189">
        <f t="shared" si="28"/>
        <v>0.78125</v>
      </c>
      <c r="K65" s="189">
        <f t="shared" si="28"/>
        <v>0.78125</v>
      </c>
      <c r="L65" s="189">
        <f t="shared" si="28"/>
        <v>0.78125</v>
      </c>
      <c r="M65" s="189">
        <f t="shared" si="28"/>
        <v>0.78125</v>
      </c>
      <c r="N65" s="189">
        <f t="shared" si="28"/>
        <v>0.41712500000000008</v>
      </c>
      <c r="O65" s="189">
        <f t="shared" si="28"/>
        <v>0.32024999999999998</v>
      </c>
      <c r="P65" s="189">
        <f t="shared" si="28"/>
        <v>0.25650000000000001</v>
      </c>
      <c r="Q65" s="189">
        <f t="shared" si="28"/>
        <v>0.24525000000000002</v>
      </c>
      <c r="R65" s="189">
        <f t="shared" si="28"/>
        <v>0.24837499999999998</v>
      </c>
      <c r="T65" s="114"/>
    </row>
    <row r="66" spans="1:25" ht="19.2" x14ac:dyDescent="0.5">
      <c r="A66" s="186"/>
      <c r="B66" s="186" t="s">
        <v>118</v>
      </c>
      <c r="C66" s="186"/>
      <c r="D66" s="187" t="s">
        <v>167</v>
      </c>
      <c r="E66" s="188" t="s">
        <v>4</v>
      </c>
      <c r="F66" s="194">
        <f>F65^2/(2*9.81)</f>
        <v>3.1108642329255861E-2</v>
      </c>
      <c r="G66" s="194">
        <f t="shared" ref="G66:R66" si="29">G65^2/(2*9.81)</f>
        <v>6.3646223560142705E-3</v>
      </c>
      <c r="H66" s="194">
        <f t="shared" si="29"/>
        <v>2.5711267201834864E-2</v>
      </c>
      <c r="I66" s="194">
        <f t="shared" si="29"/>
        <v>3.1108642329255861E-2</v>
      </c>
      <c r="J66" s="194">
        <f t="shared" si="29"/>
        <v>3.1108642329255861E-2</v>
      </c>
      <c r="K66" s="194">
        <f t="shared" si="29"/>
        <v>3.1108642329255861E-2</v>
      </c>
      <c r="L66" s="194">
        <f t="shared" si="29"/>
        <v>3.1108642329255861E-2</v>
      </c>
      <c r="M66" s="194">
        <f t="shared" si="29"/>
        <v>3.1108642329255861E-2</v>
      </c>
      <c r="N66" s="194">
        <f t="shared" si="29"/>
        <v>8.8681582887359858E-3</v>
      </c>
      <c r="O66" s="194">
        <f t="shared" si="29"/>
        <v>5.2273222477064217E-3</v>
      </c>
      <c r="P66" s="194">
        <f t="shared" si="29"/>
        <v>3.3533256880733942E-3</v>
      </c>
      <c r="Q66" s="194">
        <f t="shared" si="29"/>
        <v>3.0656250000000002E-3</v>
      </c>
      <c r="R66" s="194">
        <f t="shared" si="29"/>
        <v>3.1442477382772676E-3</v>
      </c>
    </row>
    <row r="67" spans="1:25" ht="19.2" x14ac:dyDescent="0.5">
      <c r="A67" s="186"/>
      <c r="B67" s="186"/>
      <c r="C67" s="186"/>
      <c r="D67" s="187"/>
      <c r="E67" s="188"/>
      <c r="F67" s="189"/>
      <c r="G67" s="189"/>
      <c r="H67" s="189"/>
      <c r="I67" s="189"/>
      <c r="J67" s="189"/>
      <c r="K67" s="189"/>
      <c r="L67" s="189"/>
      <c r="M67" s="189"/>
      <c r="N67" s="189"/>
      <c r="O67" s="189"/>
      <c r="P67" s="189"/>
      <c r="Q67" s="189"/>
      <c r="R67" s="189"/>
    </row>
    <row r="68" spans="1:25" s="172" customFormat="1" ht="19.2" x14ac:dyDescent="0.5">
      <c r="A68" s="210"/>
      <c r="B68" s="210" t="s">
        <v>168</v>
      </c>
      <c r="C68" s="210" t="s">
        <v>478</v>
      </c>
      <c r="D68" s="211"/>
      <c r="E68" s="212" t="s">
        <v>4</v>
      </c>
      <c r="F68" s="215">
        <f>F59*F66</f>
        <v>6.2217284658511729E-3</v>
      </c>
      <c r="G68" s="215">
        <f t="shared" ref="G68:R68" si="30">G59*G66</f>
        <v>1.2729244712028542E-3</v>
      </c>
      <c r="H68" s="215">
        <f t="shared" si="30"/>
        <v>5.1422534403669732E-3</v>
      </c>
      <c r="I68" s="215">
        <f t="shared" si="30"/>
        <v>6.2217284658511729E-3</v>
      </c>
      <c r="J68" s="215">
        <f t="shared" si="30"/>
        <v>6.2217284658511729E-3</v>
      </c>
      <c r="K68" s="215">
        <f t="shared" si="30"/>
        <v>6.2217284658511729E-3</v>
      </c>
      <c r="L68" s="215">
        <f t="shared" si="30"/>
        <v>6.2217284658511729E-3</v>
      </c>
      <c r="M68" s="215">
        <f t="shared" si="30"/>
        <v>6.2217284658511729E-3</v>
      </c>
      <c r="N68" s="215">
        <f t="shared" si="30"/>
        <v>1.7736316577471973E-3</v>
      </c>
      <c r="O68" s="215">
        <f t="shared" si="30"/>
        <v>1.0454644495412845E-3</v>
      </c>
      <c r="P68" s="215">
        <f t="shared" si="30"/>
        <v>6.7066513761467885E-4</v>
      </c>
      <c r="Q68" s="215">
        <f t="shared" si="30"/>
        <v>6.1312500000000006E-4</v>
      </c>
      <c r="R68" s="215">
        <f t="shared" si="30"/>
        <v>6.2884954765545355E-4</v>
      </c>
      <c r="S68" s="173">
        <f>S52-F68</f>
        <v>2481.8987903181919</v>
      </c>
      <c r="T68" s="174">
        <f>S68-F66</f>
        <v>2481.8676816758625</v>
      </c>
      <c r="X68" s="175"/>
    </row>
    <row r="69" spans="1:25" ht="19.2" x14ac:dyDescent="0.5">
      <c r="A69" s="186"/>
      <c r="B69" s="186" t="s">
        <v>169</v>
      </c>
      <c r="C69" s="186"/>
      <c r="D69" s="187"/>
      <c r="E69" s="188"/>
      <c r="F69" s="190"/>
      <c r="G69" s="190"/>
      <c r="H69" s="190"/>
      <c r="I69" s="190"/>
      <c r="J69" s="190"/>
      <c r="K69" s="190"/>
      <c r="L69" s="190"/>
      <c r="M69" s="190"/>
      <c r="N69" s="190"/>
      <c r="O69" s="190"/>
      <c r="P69" s="190"/>
      <c r="Q69" s="190"/>
      <c r="R69" s="190"/>
      <c r="S69" s="122"/>
      <c r="T69" s="123"/>
    </row>
    <row r="70" spans="1:25" s="155" customFormat="1" ht="19.2" x14ac:dyDescent="0.5">
      <c r="A70" s="191"/>
      <c r="B70" s="191" t="s">
        <v>170</v>
      </c>
      <c r="C70" s="191"/>
      <c r="D70" s="192"/>
      <c r="E70" s="183"/>
      <c r="F70" s="193">
        <f>+F55-F68</f>
        <v>2481.8987903181919</v>
      </c>
      <c r="G70" s="193">
        <f t="shared" ref="G70:R70" si="31">+G55-G68</f>
        <v>2481.9792931688671</v>
      </c>
      <c r="H70" s="193">
        <f t="shared" si="31"/>
        <v>2481.916350281545</v>
      </c>
      <c r="I70" s="193">
        <f t="shared" si="31"/>
        <v>2481.8987903181919</v>
      </c>
      <c r="J70" s="193">
        <f t="shared" si="31"/>
        <v>2481.8987903181919</v>
      </c>
      <c r="K70" s="193">
        <f t="shared" si="31"/>
        <v>2481.8987903181919</v>
      </c>
      <c r="L70" s="193">
        <f t="shared" si="31"/>
        <v>2481.8987903181919</v>
      </c>
      <c r="M70" s="193">
        <f t="shared" si="31"/>
        <v>2481.8987903181919</v>
      </c>
      <c r="N70" s="193">
        <f t="shared" si="31"/>
        <v>2481.9711480986821</v>
      </c>
      <c r="O70" s="193">
        <f t="shared" si="31"/>
        <v>2481.9829932911957</v>
      </c>
      <c r="P70" s="193">
        <f t="shared" si="31"/>
        <v>2481.9890902012921</v>
      </c>
      <c r="Q70" s="193">
        <f t="shared" si="31"/>
        <v>2481.9900262143387</v>
      </c>
      <c r="R70" s="193">
        <f t="shared" si="31"/>
        <v>2481.9897704210375</v>
      </c>
      <c r="S70" s="157"/>
      <c r="T70" s="158"/>
      <c r="U70" s="159"/>
      <c r="V70" s="160"/>
      <c r="X70" s="161"/>
      <c r="Y70" s="162"/>
    </row>
    <row r="71" spans="1:25" s="155" customFormat="1" ht="19.2" x14ac:dyDescent="0.5">
      <c r="A71" s="191"/>
      <c r="B71" s="191" t="s">
        <v>145</v>
      </c>
      <c r="C71" s="191"/>
      <c r="D71" s="192"/>
      <c r="E71" s="183"/>
      <c r="F71" s="193">
        <f>+F70-F66</f>
        <v>2481.8676816758625</v>
      </c>
      <c r="G71" s="193">
        <f>+G70-G66</f>
        <v>2481.972928546511</v>
      </c>
      <c r="H71" s="193">
        <f t="shared" ref="H71:R71" si="32">+H70-H66</f>
        <v>2481.8906390143429</v>
      </c>
      <c r="I71" s="193">
        <f t="shared" si="32"/>
        <v>2481.8676816758625</v>
      </c>
      <c r="J71" s="193">
        <f t="shared" si="32"/>
        <v>2481.8676816758625</v>
      </c>
      <c r="K71" s="193">
        <f t="shared" si="32"/>
        <v>2481.8676816758625</v>
      </c>
      <c r="L71" s="193">
        <f t="shared" si="32"/>
        <v>2481.8676816758625</v>
      </c>
      <c r="M71" s="193">
        <f t="shared" si="32"/>
        <v>2481.8676816758625</v>
      </c>
      <c r="N71" s="193">
        <f t="shared" si="32"/>
        <v>2481.9622799403933</v>
      </c>
      <c r="O71" s="193">
        <f t="shared" si="32"/>
        <v>2481.977765968948</v>
      </c>
      <c r="P71" s="193">
        <f t="shared" si="32"/>
        <v>2481.9857368756038</v>
      </c>
      <c r="Q71" s="193">
        <f t="shared" si="32"/>
        <v>2481.9869605893387</v>
      </c>
      <c r="R71" s="193">
        <f t="shared" si="32"/>
        <v>2481.9866261732991</v>
      </c>
      <c r="S71" s="157"/>
      <c r="T71" s="158"/>
      <c r="U71" s="159"/>
      <c r="V71" s="160"/>
      <c r="X71" s="161"/>
      <c r="Y71" s="162"/>
    </row>
    <row r="72" spans="1:25" ht="19.2" x14ac:dyDescent="0.5">
      <c r="A72" s="186"/>
      <c r="B72" s="186"/>
      <c r="C72" s="186"/>
      <c r="D72" s="187"/>
      <c r="E72" s="188"/>
      <c r="F72" s="189"/>
      <c r="G72" s="189"/>
      <c r="H72" s="189"/>
      <c r="I72" s="189"/>
      <c r="J72" s="189"/>
      <c r="K72" s="189"/>
      <c r="L72" s="189"/>
      <c r="M72" s="189"/>
      <c r="N72" s="189"/>
      <c r="O72" s="189"/>
      <c r="P72" s="189"/>
      <c r="Q72" s="189"/>
      <c r="R72" s="189"/>
      <c r="T72" s="127"/>
    </row>
    <row r="73" spans="1:25" ht="19.2" x14ac:dyDescent="0.5">
      <c r="A73" s="156">
        <v>1.4</v>
      </c>
      <c r="B73" s="156" t="s">
        <v>171</v>
      </c>
      <c r="C73" s="186"/>
      <c r="D73" s="187"/>
      <c r="E73" s="188"/>
      <c r="F73" s="190"/>
      <c r="G73" s="190"/>
      <c r="H73" s="190"/>
      <c r="I73" s="190"/>
      <c r="J73" s="190"/>
      <c r="K73" s="190"/>
      <c r="L73" s="190"/>
      <c r="M73" s="190"/>
      <c r="N73" s="190"/>
      <c r="O73" s="190"/>
      <c r="P73" s="190"/>
      <c r="Q73" s="190"/>
      <c r="R73" s="190"/>
    </row>
    <row r="74" spans="1:25" ht="19.2" x14ac:dyDescent="0.5">
      <c r="A74" s="186"/>
      <c r="B74" s="186" t="s">
        <v>172</v>
      </c>
      <c r="C74" s="186"/>
      <c r="D74" s="187"/>
      <c r="E74" s="188"/>
      <c r="F74" s="190">
        <v>1.7999999999999999E-2</v>
      </c>
      <c r="G74" s="190">
        <f>+F74</f>
        <v>1.7999999999999999E-2</v>
      </c>
      <c r="H74" s="190">
        <f t="shared" ref="H74:R77" si="33">+G74</f>
        <v>1.7999999999999999E-2</v>
      </c>
      <c r="I74" s="190">
        <f t="shared" si="33"/>
        <v>1.7999999999999999E-2</v>
      </c>
      <c r="J74" s="190">
        <f t="shared" si="33"/>
        <v>1.7999999999999999E-2</v>
      </c>
      <c r="K74" s="190">
        <f t="shared" si="33"/>
        <v>1.7999999999999999E-2</v>
      </c>
      <c r="L74" s="190">
        <f t="shared" si="33"/>
        <v>1.7999999999999999E-2</v>
      </c>
      <c r="M74" s="190">
        <f t="shared" si="33"/>
        <v>1.7999999999999999E-2</v>
      </c>
      <c r="N74" s="190">
        <f t="shared" si="33"/>
        <v>1.7999999999999999E-2</v>
      </c>
      <c r="O74" s="190">
        <f t="shared" si="33"/>
        <v>1.7999999999999999E-2</v>
      </c>
      <c r="P74" s="190">
        <f t="shared" si="33"/>
        <v>1.7999999999999999E-2</v>
      </c>
      <c r="Q74" s="190">
        <f t="shared" si="33"/>
        <v>1.7999999999999999E-2</v>
      </c>
      <c r="R74" s="190">
        <f t="shared" si="33"/>
        <v>1.7999999999999999E-2</v>
      </c>
    </row>
    <row r="75" spans="1:25" ht="19.2" x14ac:dyDescent="0.5">
      <c r="A75" s="186"/>
      <c r="B75" s="186" t="s">
        <v>173</v>
      </c>
      <c r="C75" s="186"/>
      <c r="D75" s="187" t="s">
        <v>479</v>
      </c>
      <c r="E75" s="188" t="s">
        <v>4</v>
      </c>
      <c r="F75" s="189">
        <v>9.4</v>
      </c>
      <c r="G75" s="189">
        <f>+F75</f>
        <v>9.4</v>
      </c>
      <c r="H75" s="189">
        <f t="shared" si="33"/>
        <v>9.4</v>
      </c>
      <c r="I75" s="189">
        <f t="shared" si="33"/>
        <v>9.4</v>
      </c>
      <c r="J75" s="189">
        <f t="shared" si="33"/>
        <v>9.4</v>
      </c>
      <c r="K75" s="189">
        <f t="shared" si="33"/>
        <v>9.4</v>
      </c>
      <c r="L75" s="189">
        <f t="shared" si="33"/>
        <v>9.4</v>
      </c>
      <c r="M75" s="189">
        <f t="shared" si="33"/>
        <v>9.4</v>
      </c>
      <c r="N75" s="189">
        <f>+M75</f>
        <v>9.4</v>
      </c>
      <c r="O75" s="189">
        <f t="shared" si="33"/>
        <v>9.4</v>
      </c>
      <c r="P75" s="189">
        <f t="shared" si="33"/>
        <v>9.4</v>
      </c>
      <c r="Q75" s="189">
        <f t="shared" si="33"/>
        <v>9.4</v>
      </c>
      <c r="R75" s="189">
        <f t="shared" si="33"/>
        <v>9.4</v>
      </c>
    </row>
    <row r="76" spans="1:25" ht="19.2" x14ac:dyDescent="0.5">
      <c r="A76" s="186"/>
      <c r="B76" s="186" t="s">
        <v>174</v>
      </c>
      <c r="C76" s="186"/>
      <c r="D76" s="187"/>
      <c r="E76" s="188" t="s">
        <v>4</v>
      </c>
      <c r="F76" s="189">
        <v>10.8</v>
      </c>
      <c r="G76" s="189">
        <f>+F76</f>
        <v>10.8</v>
      </c>
      <c r="H76" s="189">
        <f t="shared" si="33"/>
        <v>10.8</v>
      </c>
      <c r="I76" s="189">
        <f t="shared" si="33"/>
        <v>10.8</v>
      </c>
      <c r="J76" s="189">
        <f t="shared" si="33"/>
        <v>10.8</v>
      </c>
      <c r="K76" s="189">
        <f t="shared" si="33"/>
        <v>10.8</v>
      </c>
      <c r="L76" s="189">
        <f t="shared" si="33"/>
        <v>10.8</v>
      </c>
      <c r="M76" s="189">
        <f t="shared" si="33"/>
        <v>10.8</v>
      </c>
      <c r="N76" s="189">
        <f>+M76</f>
        <v>10.8</v>
      </c>
      <c r="O76" s="189">
        <f t="shared" si="33"/>
        <v>10.8</v>
      </c>
      <c r="P76" s="189">
        <f t="shared" si="33"/>
        <v>10.8</v>
      </c>
      <c r="Q76" s="189">
        <f t="shared" si="33"/>
        <v>10.8</v>
      </c>
      <c r="R76" s="189">
        <f t="shared" si="33"/>
        <v>10.8</v>
      </c>
      <c r="S76" s="119">
        <f>F76-F79</f>
        <v>10.8</v>
      </c>
    </row>
    <row r="77" spans="1:25" ht="19.2" x14ac:dyDescent="0.5">
      <c r="A77" s="186"/>
      <c r="B77" s="186" t="s">
        <v>175</v>
      </c>
      <c r="C77" s="186"/>
      <c r="D77" s="187"/>
      <c r="E77" s="188" t="s">
        <v>4</v>
      </c>
      <c r="F77" s="189">
        <f>T68-F43</f>
        <v>2.5676816758623318</v>
      </c>
      <c r="G77" s="189">
        <f>T68-G43</f>
        <v>2.5676816758623318</v>
      </c>
      <c r="H77" s="189">
        <f>T68-H43</f>
        <v>2.5676816758623318</v>
      </c>
      <c r="I77" s="189">
        <f>+H77</f>
        <v>2.5676816758623318</v>
      </c>
      <c r="J77" s="189">
        <f t="shared" si="33"/>
        <v>2.5676816758623318</v>
      </c>
      <c r="K77" s="189">
        <f t="shared" si="33"/>
        <v>2.5676816758623318</v>
      </c>
      <c r="L77" s="189">
        <f t="shared" si="33"/>
        <v>2.5676816758623318</v>
      </c>
      <c r="M77" s="189">
        <f t="shared" si="33"/>
        <v>2.5676816758623318</v>
      </c>
      <c r="N77" s="189">
        <f t="shared" si="33"/>
        <v>2.5676816758623318</v>
      </c>
      <c r="O77" s="189">
        <f t="shared" si="33"/>
        <v>2.5676816758623318</v>
      </c>
      <c r="P77" s="189">
        <f>+O77</f>
        <v>2.5676816758623318</v>
      </c>
      <c r="Q77" s="189">
        <f t="shared" si="33"/>
        <v>2.5676816758623318</v>
      </c>
      <c r="R77" s="189">
        <f t="shared" si="33"/>
        <v>2.5676816758623318</v>
      </c>
      <c r="S77" s="112">
        <f>S76/2</f>
        <v>5.4</v>
      </c>
    </row>
    <row r="78" spans="1:25" ht="19.2" x14ac:dyDescent="0.5">
      <c r="A78" s="186"/>
      <c r="B78" s="186" t="s">
        <v>176</v>
      </c>
      <c r="C78" s="186"/>
      <c r="D78" s="187"/>
      <c r="E78" s="188"/>
      <c r="F78" s="189">
        <v>1</v>
      </c>
      <c r="G78" s="189">
        <f>+F78</f>
        <v>1</v>
      </c>
      <c r="H78" s="189">
        <f t="shared" ref="H78:R82" si="34">+G78</f>
        <v>1</v>
      </c>
      <c r="I78" s="189">
        <f t="shared" si="34"/>
        <v>1</v>
      </c>
      <c r="J78" s="189">
        <f t="shared" si="34"/>
        <v>1</v>
      </c>
      <c r="K78" s="189">
        <f t="shared" si="34"/>
        <v>1</v>
      </c>
      <c r="L78" s="189">
        <f t="shared" si="34"/>
        <v>1</v>
      </c>
      <c r="M78" s="189">
        <f t="shared" si="34"/>
        <v>1</v>
      </c>
      <c r="N78" s="189">
        <f t="shared" si="34"/>
        <v>1</v>
      </c>
      <c r="O78" s="189">
        <f t="shared" si="34"/>
        <v>1</v>
      </c>
      <c r="P78" s="189">
        <f>+O78</f>
        <v>1</v>
      </c>
      <c r="Q78" s="189">
        <f t="shared" si="34"/>
        <v>1</v>
      </c>
      <c r="R78" s="189">
        <f t="shared" si="34"/>
        <v>1</v>
      </c>
    </row>
    <row r="79" spans="1:25" ht="19.2" x14ac:dyDescent="0.5">
      <c r="A79" s="186"/>
      <c r="B79" s="186" t="s">
        <v>177</v>
      </c>
      <c r="C79" s="186"/>
      <c r="D79" s="187"/>
      <c r="E79" s="188" t="s">
        <v>4</v>
      </c>
      <c r="F79" s="189">
        <v>0</v>
      </c>
      <c r="G79" s="189">
        <f>+F79</f>
        <v>0</v>
      </c>
      <c r="H79" s="189">
        <f t="shared" si="34"/>
        <v>0</v>
      </c>
      <c r="I79" s="189">
        <f t="shared" si="34"/>
        <v>0</v>
      </c>
      <c r="J79" s="189">
        <f t="shared" si="34"/>
        <v>0</v>
      </c>
      <c r="K79" s="189">
        <f t="shared" si="34"/>
        <v>0</v>
      </c>
      <c r="L79" s="189">
        <f t="shared" si="34"/>
        <v>0</v>
      </c>
      <c r="M79" s="189">
        <f t="shared" si="34"/>
        <v>0</v>
      </c>
      <c r="N79" s="189">
        <f t="shared" si="34"/>
        <v>0</v>
      </c>
      <c r="O79" s="189">
        <f t="shared" si="34"/>
        <v>0</v>
      </c>
      <c r="P79" s="189">
        <f t="shared" si="34"/>
        <v>0</v>
      </c>
      <c r="Q79" s="189">
        <f t="shared" si="34"/>
        <v>0</v>
      </c>
      <c r="R79" s="189">
        <f t="shared" si="34"/>
        <v>0</v>
      </c>
    </row>
    <row r="80" spans="1:25" ht="19.2" x14ac:dyDescent="0.5">
      <c r="A80" s="186"/>
      <c r="B80" s="186" t="s">
        <v>178</v>
      </c>
      <c r="C80" s="186"/>
      <c r="D80" s="187"/>
      <c r="E80" s="188" t="s">
        <v>4</v>
      </c>
      <c r="F80" s="189">
        <f>F76-F79</f>
        <v>10.8</v>
      </c>
      <c r="G80" s="189">
        <f>G76-G79</f>
        <v>10.8</v>
      </c>
      <c r="H80" s="189">
        <f t="shared" si="34"/>
        <v>10.8</v>
      </c>
      <c r="I80" s="189">
        <f t="shared" si="34"/>
        <v>10.8</v>
      </c>
      <c r="J80" s="189">
        <f t="shared" si="34"/>
        <v>10.8</v>
      </c>
      <c r="K80" s="189">
        <f t="shared" si="34"/>
        <v>10.8</v>
      </c>
      <c r="L80" s="189">
        <f t="shared" si="34"/>
        <v>10.8</v>
      </c>
      <c r="M80" s="189">
        <f t="shared" si="34"/>
        <v>10.8</v>
      </c>
      <c r="N80" s="189">
        <f t="shared" si="34"/>
        <v>10.8</v>
      </c>
      <c r="O80" s="189">
        <f t="shared" si="34"/>
        <v>10.8</v>
      </c>
      <c r="P80" s="189">
        <f t="shared" si="34"/>
        <v>10.8</v>
      </c>
      <c r="Q80" s="189">
        <f t="shared" si="34"/>
        <v>10.8</v>
      </c>
      <c r="R80" s="189">
        <f t="shared" si="34"/>
        <v>10.8</v>
      </c>
    </row>
    <row r="81" spans="1:25" ht="19.2" x14ac:dyDescent="0.5">
      <c r="A81" s="186"/>
      <c r="B81" s="186" t="s">
        <v>179</v>
      </c>
      <c r="C81" s="186"/>
      <c r="D81" s="187"/>
      <c r="E81" s="188" t="s">
        <v>4</v>
      </c>
      <c r="F81" s="189">
        <v>10.8</v>
      </c>
      <c r="G81" s="189">
        <f>+F81</f>
        <v>10.8</v>
      </c>
      <c r="H81" s="189">
        <f t="shared" si="34"/>
        <v>10.8</v>
      </c>
      <c r="I81" s="189">
        <f t="shared" si="34"/>
        <v>10.8</v>
      </c>
      <c r="J81" s="189">
        <f t="shared" si="34"/>
        <v>10.8</v>
      </c>
      <c r="K81" s="189">
        <f t="shared" si="34"/>
        <v>10.8</v>
      </c>
      <c r="L81" s="189">
        <f t="shared" si="34"/>
        <v>10.8</v>
      </c>
      <c r="M81" s="189">
        <f t="shared" si="34"/>
        <v>10.8</v>
      </c>
      <c r="N81" s="189">
        <f t="shared" si="34"/>
        <v>10.8</v>
      </c>
      <c r="O81" s="189">
        <f t="shared" si="34"/>
        <v>10.8</v>
      </c>
      <c r="P81" s="189">
        <f>+O81</f>
        <v>10.8</v>
      </c>
      <c r="Q81" s="189">
        <f t="shared" si="34"/>
        <v>10.8</v>
      </c>
      <c r="R81" s="189">
        <f t="shared" si="34"/>
        <v>10.8</v>
      </c>
    </row>
    <row r="82" spans="1:25" ht="19.2" x14ac:dyDescent="0.5">
      <c r="A82" s="186"/>
      <c r="B82" s="186" t="s">
        <v>180</v>
      </c>
      <c r="C82" s="186"/>
      <c r="D82" s="187"/>
      <c r="E82" s="188" t="s">
        <v>4</v>
      </c>
      <c r="F82" s="189">
        <v>1.5</v>
      </c>
      <c r="G82" s="189">
        <f>+F82</f>
        <v>1.5</v>
      </c>
      <c r="H82" s="189">
        <f t="shared" si="34"/>
        <v>1.5</v>
      </c>
      <c r="I82" s="189">
        <f t="shared" si="34"/>
        <v>1.5</v>
      </c>
      <c r="J82" s="189">
        <f t="shared" si="34"/>
        <v>1.5</v>
      </c>
      <c r="K82" s="189">
        <f t="shared" si="34"/>
        <v>1.5</v>
      </c>
      <c r="L82" s="189">
        <f t="shared" si="34"/>
        <v>1.5</v>
      </c>
      <c r="M82" s="189">
        <f t="shared" si="34"/>
        <v>1.5</v>
      </c>
      <c r="N82" s="189">
        <f t="shared" si="34"/>
        <v>1.5</v>
      </c>
      <c r="O82" s="189">
        <f t="shared" si="34"/>
        <v>1.5</v>
      </c>
      <c r="P82" s="189">
        <f>+O82</f>
        <v>1.5</v>
      </c>
      <c r="Q82" s="189">
        <f t="shared" si="34"/>
        <v>1.5</v>
      </c>
      <c r="R82" s="189">
        <f t="shared" si="34"/>
        <v>1.5</v>
      </c>
    </row>
    <row r="83" spans="1:25" ht="19.2" x14ac:dyDescent="0.5">
      <c r="A83" s="186"/>
      <c r="B83" s="186" t="s">
        <v>181</v>
      </c>
      <c r="C83" s="186"/>
      <c r="D83" s="187"/>
      <c r="E83" s="188" t="s">
        <v>4</v>
      </c>
      <c r="F83" s="189">
        <f>SQRT(((F80-F81)/2)^2+F82^2)</f>
        <v>1.5</v>
      </c>
      <c r="G83" s="189">
        <f t="shared" ref="G83:R83" si="35">SQRT(((G80-G81)/2)^2+G82^2)</f>
        <v>1.5</v>
      </c>
      <c r="H83" s="189">
        <f t="shared" si="35"/>
        <v>1.5</v>
      </c>
      <c r="I83" s="189">
        <f t="shared" si="35"/>
        <v>1.5</v>
      </c>
      <c r="J83" s="189">
        <f t="shared" si="35"/>
        <v>1.5</v>
      </c>
      <c r="K83" s="189">
        <f t="shared" si="35"/>
        <v>1.5</v>
      </c>
      <c r="L83" s="189">
        <f t="shared" si="35"/>
        <v>1.5</v>
      </c>
      <c r="M83" s="189">
        <f t="shared" si="35"/>
        <v>1.5</v>
      </c>
      <c r="N83" s="189">
        <f t="shared" si="35"/>
        <v>1.5</v>
      </c>
      <c r="O83" s="189">
        <f t="shared" si="35"/>
        <v>1.5</v>
      </c>
      <c r="P83" s="189">
        <f t="shared" si="35"/>
        <v>1.5</v>
      </c>
      <c r="Q83" s="189">
        <f t="shared" si="35"/>
        <v>1.5</v>
      </c>
      <c r="R83" s="189">
        <f t="shared" si="35"/>
        <v>1.5</v>
      </c>
      <c r="T83" s="111">
        <f>2*SQRT($F$83*$F$83+$F$82*$F$82)+$F$81+$F$77+([13]Intake!$G$31-[13]Intake!$G$29-1)</f>
        <v>18.610322362981616</v>
      </c>
    </row>
    <row r="84" spans="1:25" ht="19.2" x14ac:dyDescent="0.5">
      <c r="A84" s="186"/>
      <c r="B84" s="186" t="s">
        <v>182</v>
      </c>
      <c r="C84" s="186"/>
      <c r="D84" s="187"/>
      <c r="E84" s="188" t="s">
        <v>153</v>
      </c>
      <c r="F84" s="216">
        <f>((0.5*((F80-F81)/2))*F82*2+F81*F82+((F80)*F77))*F78</f>
        <v>43.930962099313192</v>
      </c>
      <c r="G84" s="216">
        <f t="shared" ref="G84:R84" si="36">((0.5*((G80-G81)/2))*G82*2+G81*G82+((G80)*G77))*G78</f>
        <v>43.930962099313192</v>
      </c>
      <c r="H84" s="216">
        <f t="shared" si="36"/>
        <v>43.930962099313192</v>
      </c>
      <c r="I84" s="216">
        <f t="shared" si="36"/>
        <v>43.930962099313192</v>
      </c>
      <c r="J84" s="216">
        <f t="shared" si="36"/>
        <v>43.930962099313192</v>
      </c>
      <c r="K84" s="216">
        <f t="shared" si="36"/>
        <v>43.930962099313192</v>
      </c>
      <c r="L84" s="216">
        <f t="shared" si="36"/>
        <v>43.930962099313192</v>
      </c>
      <c r="M84" s="216">
        <f t="shared" si="36"/>
        <v>43.930962099313192</v>
      </c>
      <c r="N84" s="216">
        <f t="shared" si="36"/>
        <v>43.930962099313192</v>
      </c>
      <c r="O84" s="216">
        <f t="shared" si="36"/>
        <v>43.930962099313192</v>
      </c>
      <c r="P84" s="216">
        <f t="shared" si="36"/>
        <v>43.930962099313192</v>
      </c>
      <c r="Q84" s="216">
        <f t="shared" si="36"/>
        <v>43.930962099313192</v>
      </c>
      <c r="R84" s="216">
        <f t="shared" si="36"/>
        <v>43.930962099313192</v>
      </c>
    </row>
    <row r="85" spans="1:25" ht="19.2" x14ac:dyDescent="0.5">
      <c r="A85" s="186"/>
      <c r="B85" s="186" t="s">
        <v>183</v>
      </c>
      <c r="C85" s="186"/>
      <c r="D85" s="187"/>
      <c r="E85" s="188" t="s">
        <v>4</v>
      </c>
      <c r="F85" s="217">
        <f>(2*F83+F81+2*F77)*F78</f>
        <v>18.935363351724664</v>
      </c>
      <c r="G85" s="217">
        <f t="shared" ref="G85:R85" si="37">(2*G83+G81+2*G77)*G78</f>
        <v>18.935363351724664</v>
      </c>
      <c r="H85" s="217">
        <f t="shared" si="37"/>
        <v>18.935363351724664</v>
      </c>
      <c r="I85" s="217">
        <f t="shared" si="37"/>
        <v>18.935363351724664</v>
      </c>
      <c r="J85" s="217">
        <f t="shared" si="37"/>
        <v>18.935363351724664</v>
      </c>
      <c r="K85" s="217">
        <f t="shared" si="37"/>
        <v>18.935363351724664</v>
      </c>
      <c r="L85" s="217">
        <f t="shared" si="37"/>
        <v>18.935363351724664</v>
      </c>
      <c r="M85" s="217">
        <f t="shared" si="37"/>
        <v>18.935363351724664</v>
      </c>
      <c r="N85" s="217">
        <f t="shared" si="37"/>
        <v>18.935363351724664</v>
      </c>
      <c r="O85" s="217">
        <f t="shared" si="37"/>
        <v>18.935363351724664</v>
      </c>
      <c r="P85" s="217">
        <f t="shared" si="37"/>
        <v>18.935363351724664</v>
      </c>
      <c r="Q85" s="217">
        <f t="shared" si="37"/>
        <v>18.935363351724664</v>
      </c>
      <c r="R85" s="217">
        <f t="shared" si="37"/>
        <v>18.935363351724664</v>
      </c>
      <c r="T85" s="121"/>
      <c r="U85" s="121"/>
    </row>
    <row r="86" spans="1:25" ht="19.2" x14ac:dyDescent="0.5">
      <c r="A86" s="186"/>
      <c r="B86" s="186" t="s">
        <v>184</v>
      </c>
      <c r="C86" s="186"/>
      <c r="D86" s="187" t="s">
        <v>480</v>
      </c>
      <c r="E86" s="188" t="s">
        <v>4</v>
      </c>
      <c r="F86" s="189">
        <f>F84/F85</f>
        <v>2.3200485400409221</v>
      </c>
      <c r="G86" s="189">
        <f t="shared" ref="G86:R86" si="38">G84/G85</f>
        <v>2.3200485400409221</v>
      </c>
      <c r="H86" s="189">
        <f t="shared" si="38"/>
        <v>2.3200485400409221</v>
      </c>
      <c r="I86" s="189">
        <f t="shared" si="38"/>
        <v>2.3200485400409221</v>
      </c>
      <c r="J86" s="189">
        <f t="shared" si="38"/>
        <v>2.3200485400409221</v>
      </c>
      <c r="K86" s="189">
        <f t="shared" si="38"/>
        <v>2.3200485400409221</v>
      </c>
      <c r="L86" s="189">
        <f t="shared" si="38"/>
        <v>2.3200485400409221</v>
      </c>
      <c r="M86" s="189">
        <f t="shared" si="38"/>
        <v>2.3200485400409221</v>
      </c>
      <c r="N86" s="189">
        <f t="shared" si="38"/>
        <v>2.3200485400409221</v>
      </c>
      <c r="O86" s="189">
        <f t="shared" si="38"/>
        <v>2.3200485400409221</v>
      </c>
      <c r="P86" s="189">
        <f t="shared" si="38"/>
        <v>2.3200485400409221</v>
      </c>
      <c r="Q86" s="189">
        <f t="shared" si="38"/>
        <v>2.3200485400409221</v>
      </c>
      <c r="R86" s="189">
        <f t="shared" si="38"/>
        <v>2.3200485400409221</v>
      </c>
    </row>
    <row r="87" spans="1:25" ht="19.2" x14ac:dyDescent="0.5">
      <c r="A87" s="186"/>
      <c r="B87" s="186" t="s">
        <v>185</v>
      </c>
      <c r="C87" s="186"/>
      <c r="D87" s="187"/>
      <c r="E87" s="188"/>
      <c r="F87" s="189"/>
      <c r="G87" s="189"/>
      <c r="H87" s="189"/>
      <c r="I87" s="189"/>
      <c r="J87" s="189"/>
      <c r="K87" s="189"/>
      <c r="L87" s="189"/>
      <c r="M87" s="189"/>
      <c r="N87" s="189"/>
      <c r="O87" s="189"/>
      <c r="P87" s="189"/>
      <c r="Q87" s="189"/>
      <c r="R87" s="189"/>
    </row>
    <row r="88" spans="1:25" ht="19.2" x14ac:dyDescent="0.5">
      <c r="A88" s="186"/>
      <c r="B88" s="186" t="s">
        <v>186</v>
      </c>
      <c r="C88" s="186"/>
      <c r="D88" s="187"/>
      <c r="E88" s="188" t="s">
        <v>187</v>
      </c>
      <c r="F88" s="189">
        <f>1/25</f>
        <v>0.04</v>
      </c>
      <c r="G88" s="189">
        <f>+F88</f>
        <v>0.04</v>
      </c>
      <c r="H88" s="189">
        <f t="shared" ref="H88:R88" si="39">+G88</f>
        <v>0.04</v>
      </c>
      <c r="I88" s="189">
        <f t="shared" si="39"/>
        <v>0.04</v>
      </c>
      <c r="J88" s="189">
        <f t="shared" si="39"/>
        <v>0.04</v>
      </c>
      <c r="K88" s="189">
        <f t="shared" si="39"/>
        <v>0.04</v>
      </c>
      <c r="L88" s="189">
        <f t="shared" si="39"/>
        <v>0.04</v>
      </c>
      <c r="M88" s="189">
        <f t="shared" si="39"/>
        <v>0.04</v>
      </c>
      <c r="N88" s="189">
        <f>+M88</f>
        <v>0.04</v>
      </c>
      <c r="O88" s="189">
        <v>0.5</v>
      </c>
      <c r="P88" s="189">
        <f t="shared" si="39"/>
        <v>0.5</v>
      </c>
      <c r="Q88" s="189">
        <f t="shared" si="39"/>
        <v>0.5</v>
      </c>
      <c r="R88" s="189">
        <f t="shared" si="39"/>
        <v>0.5</v>
      </c>
    </row>
    <row r="89" spans="1:25" ht="19.2" x14ac:dyDescent="0.5">
      <c r="A89" s="186"/>
      <c r="B89" s="186" t="s">
        <v>188</v>
      </c>
      <c r="C89" s="186"/>
      <c r="D89" s="187" t="s">
        <v>481</v>
      </c>
      <c r="E89" s="188" t="s">
        <v>117</v>
      </c>
      <c r="F89" s="194">
        <f t="shared" ref="F89:R89" si="40">F10/F84</f>
        <v>0.34144483260098024</v>
      </c>
      <c r="G89" s="194">
        <f t="shared" si="40"/>
        <v>0.15444232668207539</v>
      </c>
      <c r="H89" s="194">
        <f t="shared" si="40"/>
        <v>0.31041432621420317</v>
      </c>
      <c r="I89" s="194">
        <f t="shared" si="40"/>
        <v>0.34144483260098024</v>
      </c>
      <c r="J89" s="194">
        <f t="shared" si="40"/>
        <v>0.34144483260098024</v>
      </c>
      <c r="K89" s="194">
        <f t="shared" si="40"/>
        <v>0.34144483260098024</v>
      </c>
      <c r="L89" s="194">
        <f t="shared" si="40"/>
        <v>0.34144483260098024</v>
      </c>
      <c r="M89" s="194">
        <f t="shared" si="40"/>
        <v>0.34144483260098024</v>
      </c>
      <c r="N89" s="194">
        <f t="shared" si="40"/>
        <v>0.18230422502231539</v>
      </c>
      <c r="O89" s="194">
        <f t="shared" si="40"/>
        <v>0.13996506577979381</v>
      </c>
      <c r="P89" s="194">
        <f t="shared" si="40"/>
        <v>0.11210316743955384</v>
      </c>
      <c r="Q89" s="194">
        <f t="shared" si="40"/>
        <v>0.10718636185009972</v>
      </c>
      <c r="R89" s="194">
        <f t="shared" si="40"/>
        <v>0.10855214118050363</v>
      </c>
    </row>
    <row r="90" spans="1:25" ht="19.2" x14ac:dyDescent="0.5">
      <c r="A90" s="186"/>
      <c r="B90" s="186" t="s">
        <v>189</v>
      </c>
      <c r="C90" s="186"/>
      <c r="D90" s="187" t="s">
        <v>482</v>
      </c>
      <c r="E90" s="188" t="s">
        <v>4</v>
      </c>
      <c r="F90" s="194">
        <f>F89^2/(2*9.81)</f>
        <v>5.9421291391392158E-3</v>
      </c>
      <c r="G90" s="194">
        <f t="shared" ref="G90:R90" si="41">G89^2/(2*9.81)</f>
        <v>1.2157202992340926E-3</v>
      </c>
      <c r="H90" s="194">
        <f t="shared" si="41"/>
        <v>4.9111648276767457E-3</v>
      </c>
      <c r="I90" s="194">
        <f t="shared" si="41"/>
        <v>5.9421291391392158E-3</v>
      </c>
      <c r="J90" s="194">
        <f t="shared" si="41"/>
        <v>5.9421291391392158E-3</v>
      </c>
      <c r="K90" s="194">
        <f t="shared" si="41"/>
        <v>5.9421291391392158E-3</v>
      </c>
      <c r="L90" s="194">
        <f t="shared" si="41"/>
        <v>5.9421291391392158E-3</v>
      </c>
      <c r="M90" s="194">
        <f t="shared" si="41"/>
        <v>5.9421291391392158E-3</v>
      </c>
      <c r="N90" s="194">
        <f t="shared" si="41"/>
        <v>1.6939261193163609E-3</v>
      </c>
      <c r="O90" s="194">
        <f t="shared" si="41"/>
        <v>9.9848214264740102E-4</v>
      </c>
      <c r="P90" s="194">
        <f t="shared" si="41"/>
        <v>6.4052600152806553E-4</v>
      </c>
      <c r="Q90" s="194">
        <f t="shared" si="41"/>
        <v>5.8557167006424628E-4</v>
      </c>
      <c r="R90" s="194">
        <f t="shared" si="41"/>
        <v>6.0058956956534108E-4</v>
      </c>
    </row>
    <row r="91" spans="1:25" ht="19.2" x14ac:dyDescent="0.5">
      <c r="A91" s="186"/>
      <c r="B91" s="186"/>
      <c r="C91" s="186"/>
      <c r="D91" s="187"/>
      <c r="E91" s="188"/>
      <c r="F91" s="190"/>
      <c r="G91" s="190"/>
      <c r="H91" s="190"/>
      <c r="I91" s="190"/>
      <c r="J91" s="190"/>
      <c r="K91" s="190"/>
      <c r="L91" s="190"/>
      <c r="M91" s="190"/>
      <c r="N91" s="190"/>
      <c r="O91" s="190"/>
      <c r="P91" s="190"/>
      <c r="Q91" s="190"/>
      <c r="R91" s="190"/>
    </row>
    <row r="92" spans="1:25" ht="20.399999999999999" x14ac:dyDescent="0.5">
      <c r="A92" s="186"/>
      <c r="B92" s="186" t="s">
        <v>190</v>
      </c>
      <c r="C92" s="186" t="s">
        <v>483</v>
      </c>
      <c r="D92" s="187" t="s">
        <v>484</v>
      </c>
      <c r="E92" s="188" t="s">
        <v>4</v>
      </c>
      <c r="F92" s="218">
        <f>(F74^2)*(F89^2)*F75/(F86^(4/3))</f>
        <v>1.1560710463362406E-4</v>
      </c>
      <c r="G92" s="218">
        <f t="shared" ref="G92:R92" si="42">(G74^2)*(G89^2)*G75/(G86^(4/3))</f>
        <v>2.365244856646386E-5</v>
      </c>
      <c r="H92" s="218">
        <f t="shared" si="42"/>
        <v>9.5549176534464716E-5</v>
      </c>
      <c r="I92" s="218">
        <f t="shared" si="42"/>
        <v>1.1560710463362406E-4</v>
      </c>
      <c r="J92" s="218">
        <f t="shared" si="42"/>
        <v>1.1560710463362406E-4</v>
      </c>
      <c r="K92" s="218">
        <f t="shared" si="42"/>
        <v>1.1560710463362406E-4</v>
      </c>
      <c r="L92" s="218">
        <f t="shared" si="42"/>
        <v>1.1560710463362406E-4</v>
      </c>
      <c r="M92" s="218">
        <f t="shared" si="42"/>
        <v>1.1560710463362406E-4</v>
      </c>
      <c r="N92" s="218">
        <f t="shared" si="42"/>
        <v>3.2956182797771278E-5</v>
      </c>
      <c r="O92" s="218">
        <f t="shared" si="42"/>
        <v>1.9425971202733708E-5</v>
      </c>
      <c r="P92" s="218">
        <f t="shared" si="42"/>
        <v>1.2461754826476017E-5</v>
      </c>
      <c r="Q92" s="218">
        <f t="shared" si="42"/>
        <v>1.1392590727405475E-5</v>
      </c>
      <c r="R92" s="218">
        <f t="shared" si="42"/>
        <v>1.168477149937231E-5</v>
      </c>
      <c r="T92" s="121"/>
    </row>
    <row r="93" spans="1:25" ht="19.2" x14ac:dyDescent="0.5">
      <c r="A93" s="186"/>
      <c r="B93" s="186" t="s">
        <v>191</v>
      </c>
      <c r="C93" s="186" t="s">
        <v>485</v>
      </c>
      <c r="D93" s="187" t="s">
        <v>486</v>
      </c>
      <c r="E93" s="188" t="s">
        <v>4</v>
      </c>
      <c r="F93" s="189">
        <v>0</v>
      </c>
      <c r="G93" s="189">
        <v>0</v>
      </c>
      <c r="H93" s="189">
        <v>0</v>
      </c>
      <c r="I93" s="189">
        <v>0</v>
      </c>
      <c r="J93" s="189">
        <v>0</v>
      </c>
      <c r="K93" s="189">
        <v>0</v>
      </c>
      <c r="L93" s="189">
        <v>0</v>
      </c>
      <c r="M93" s="189">
        <v>0</v>
      </c>
      <c r="N93" s="189">
        <v>0</v>
      </c>
      <c r="O93" s="189">
        <v>0</v>
      </c>
      <c r="P93" s="189">
        <v>0</v>
      </c>
      <c r="Q93" s="189">
        <v>0</v>
      </c>
      <c r="R93" s="189">
        <v>0</v>
      </c>
      <c r="S93" s="142"/>
      <c r="X93" s="118" t="e">
        <f>#REF!*F150</f>
        <v>#REF!</v>
      </c>
    </row>
    <row r="94" spans="1:25" ht="19.2" x14ac:dyDescent="0.5">
      <c r="A94" s="186"/>
      <c r="B94" s="186"/>
      <c r="C94" s="186"/>
      <c r="D94" s="187"/>
      <c r="E94" s="188"/>
      <c r="F94" s="189"/>
      <c r="G94" s="189"/>
      <c r="H94" s="189"/>
      <c r="I94" s="189"/>
      <c r="J94" s="189"/>
      <c r="K94" s="189"/>
      <c r="L94" s="189"/>
      <c r="M94" s="189"/>
      <c r="N94" s="189"/>
      <c r="O94" s="189"/>
      <c r="P94" s="189"/>
      <c r="Q94" s="189"/>
      <c r="R94" s="189"/>
    </row>
    <row r="95" spans="1:25" s="172" customFormat="1" ht="19.2" x14ac:dyDescent="0.5">
      <c r="A95" s="210"/>
      <c r="B95" s="210" t="s">
        <v>143</v>
      </c>
      <c r="C95" s="210" t="s">
        <v>487</v>
      </c>
      <c r="D95" s="211"/>
      <c r="E95" s="212" t="s">
        <v>4</v>
      </c>
      <c r="F95" s="219">
        <f>F92+F93</f>
        <v>1.1560710463362406E-4</v>
      </c>
      <c r="G95" s="219">
        <f t="shared" ref="G95:R95" si="43">G92+G93</f>
        <v>2.365244856646386E-5</v>
      </c>
      <c r="H95" s="219">
        <f t="shared" si="43"/>
        <v>9.5549176534464716E-5</v>
      </c>
      <c r="I95" s="219">
        <f t="shared" si="43"/>
        <v>1.1560710463362406E-4</v>
      </c>
      <c r="J95" s="219">
        <f t="shared" si="43"/>
        <v>1.1560710463362406E-4</v>
      </c>
      <c r="K95" s="219">
        <f t="shared" si="43"/>
        <v>1.1560710463362406E-4</v>
      </c>
      <c r="L95" s="219">
        <f t="shared" si="43"/>
        <v>1.1560710463362406E-4</v>
      </c>
      <c r="M95" s="219">
        <f t="shared" si="43"/>
        <v>1.1560710463362406E-4</v>
      </c>
      <c r="N95" s="219">
        <f t="shared" si="43"/>
        <v>3.2956182797771278E-5</v>
      </c>
      <c r="O95" s="219">
        <f t="shared" si="43"/>
        <v>1.9425971202733708E-5</v>
      </c>
      <c r="P95" s="219">
        <f t="shared" si="43"/>
        <v>1.2461754826476017E-5</v>
      </c>
      <c r="Q95" s="219">
        <f t="shared" si="43"/>
        <v>1.1392590727405475E-5</v>
      </c>
      <c r="R95" s="219">
        <f t="shared" si="43"/>
        <v>1.168477149937231E-5</v>
      </c>
      <c r="S95" s="173">
        <f>S68-F95</f>
        <v>2481.8986747110871</v>
      </c>
      <c r="T95" s="174">
        <f>S95-F90</f>
        <v>2481.8927325819482</v>
      </c>
      <c r="U95" s="176"/>
      <c r="V95" s="168" t="e">
        <f>$T$20-#REF!</f>
        <v>#REF!</v>
      </c>
      <c r="X95" s="177">
        <v>1013.8638154836196</v>
      </c>
      <c r="Y95" s="175"/>
    </row>
    <row r="96" spans="1:25" s="155" customFormat="1" ht="19.2" x14ac:dyDescent="0.5">
      <c r="A96" s="191"/>
      <c r="B96" s="191" t="s">
        <v>170</v>
      </c>
      <c r="C96" s="191"/>
      <c r="D96" s="192"/>
      <c r="E96" s="183"/>
      <c r="F96" s="193">
        <f>+F70-F95</f>
        <v>2481.8986747110871</v>
      </c>
      <c r="G96" s="193">
        <f t="shared" ref="G96:R96" si="44">+G70-G95</f>
        <v>2481.9792695164188</v>
      </c>
      <c r="H96" s="193">
        <f t="shared" si="44"/>
        <v>2481.9162547323685</v>
      </c>
      <c r="I96" s="193">
        <f t="shared" si="44"/>
        <v>2481.8986747110871</v>
      </c>
      <c r="J96" s="193">
        <f t="shared" si="44"/>
        <v>2481.8986747110871</v>
      </c>
      <c r="K96" s="193">
        <f t="shared" si="44"/>
        <v>2481.8986747110871</v>
      </c>
      <c r="L96" s="193">
        <f t="shared" si="44"/>
        <v>2481.8986747110871</v>
      </c>
      <c r="M96" s="193">
        <f t="shared" si="44"/>
        <v>2481.8986747110871</v>
      </c>
      <c r="N96" s="193">
        <f t="shared" si="44"/>
        <v>2481.9711151424995</v>
      </c>
      <c r="O96" s="193">
        <f t="shared" si="44"/>
        <v>2481.9829738652247</v>
      </c>
      <c r="P96" s="193">
        <f t="shared" si="44"/>
        <v>2481.9890777395372</v>
      </c>
      <c r="Q96" s="193">
        <f t="shared" si="44"/>
        <v>2481.990014821748</v>
      </c>
      <c r="R96" s="193">
        <f t="shared" si="44"/>
        <v>2481.9897587362661</v>
      </c>
      <c r="S96" s="157"/>
      <c r="T96" s="158"/>
      <c r="U96" s="159"/>
      <c r="V96" s="160"/>
      <c r="X96" s="161"/>
      <c r="Y96" s="162"/>
    </row>
    <row r="97" spans="1:25" s="155" customFormat="1" ht="19.2" x14ac:dyDescent="0.5">
      <c r="A97" s="191"/>
      <c r="B97" s="191" t="s">
        <v>145</v>
      </c>
      <c r="C97" s="191"/>
      <c r="D97" s="192"/>
      <c r="E97" s="183"/>
      <c r="F97" s="193">
        <f>+F96-F90</f>
        <v>2481.8927325819482</v>
      </c>
      <c r="G97" s="193">
        <f t="shared" ref="G97:R97" si="45">+G96-G90</f>
        <v>2481.9780537961196</v>
      </c>
      <c r="H97" s="193">
        <f t="shared" si="45"/>
        <v>2481.9113435675408</v>
      </c>
      <c r="I97" s="193">
        <f t="shared" si="45"/>
        <v>2481.8927325819482</v>
      </c>
      <c r="J97" s="193">
        <f t="shared" si="45"/>
        <v>2481.8927325819482</v>
      </c>
      <c r="K97" s="193">
        <f t="shared" si="45"/>
        <v>2481.8927325819482</v>
      </c>
      <c r="L97" s="193">
        <f t="shared" si="45"/>
        <v>2481.8927325819482</v>
      </c>
      <c r="M97" s="193">
        <f t="shared" si="45"/>
        <v>2481.8927325819482</v>
      </c>
      <c r="N97" s="193">
        <f t="shared" si="45"/>
        <v>2481.9694212163799</v>
      </c>
      <c r="O97" s="193">
        <f t="shared" si="45"/>
        <v>2481.981975383082</v>
      </c>
      <c r="P97" s="193">
        <f t="shared" si="45"/>
        <v>2481.9884372135357</v>
      </c>
      <c r="Q97" s="193">
        <f t="shared" si="45"/>
        <v>2481.989429250078</v>
      </c>
      <c r="R97" s="193">
        <f t="shared" si="45"/>
        <v>2481.9891581466964</v>
      </c>
      <c r="S97" s="157"/>
      <c r="T97" s="158"/>
      <c r="U97" s="159"/>
      <c r="V97" s="160"/>
      <c r="X97" s="161"/>
      <c r="Y97" s="162"/>
    </row>
    <row r="98" spans="1:25" ht="19.2" x14ac:dyDescent="0.5">
      <c r="A98" s="186"/>
      <c r="B98" s="186"/>
      <c r="C98" s="186"/>
      <c r="D98" s="187"/>
      <c r="E98" s="188"/>
      <c r="F98" s="189"/>
      <c r="G98" s="189"/>
      <c r="H98" s="189"/>
      <c r="I98" s="189"/>
      <c r="J98" s="189"/>
      <c r="K98" s="189"/>
      <c r="L98" s="189"/>
      <c r="M98" s="189"/>
      <c r="N98" s="189"/>
      <c r="O98" s="189"/>
      <c r="P98" s="189"/>
      <c r="Q98" s="189"/>
      <c r="R98" s="189"/>
      <c r="S98" s="122"/>
      <c r="T98" s="123"/>
      <c r="U98" s="124"/>
      <c r="V98" s="125"/>
      <c r="X98" s="120"/>
      <c r="Y98" s="121"/>
    </row>
    <row r="99" spans="1:25" ht="19.2" x14ac:dyDescent="0.5">
      <c r="A99" s="186"/>
      <c r="B99" s="156" t="s">
        <v>192</v>
      </c>
      <c r="C99" s="186"/>
      <c r="D99" s="187"/>
      <c r="E99" s="188"/>
      <c r="F99" s="189"/>
      <c r="G99" s="189"/>
      <c r="H99" s="189"/>
      <c r="I99" s="189"/>
      <c r="J99" s="189"/>
      <c r="K99" s="189"/>
      <c r="L99" s="189"/>
      <c r="M99" s="189"/>
      <c r="N99" s="189"/>
      <c r="O99" s="189"/>
      <c r="P99" s="189"/>
      <c r="Q99" s="189"/>
      <c r="R99" s="189"/>
      <c r="S99" s="122"/>
      <c r="T99" s="123"/>
      <c r="U99" s="124"/>
      <c r="V99" s="125"/>
      <c r="X99" s="120"/>
      <c r="Y99" s="121"/>
    </row>
    <row r="100" spans="1:25" ht="19.2" x14ac:dyDescent="0.5">
      <c r="A100" s="220"/>
      <c r="B100" s="186" t="s">
        <v>193</v>
      </c>
      <c r="C100" s="187"/>
      <c r="D100" s="188"/>
      <c r="E100" s="188" t="s">
        <v>2</v>
      </c>
      <c r="F100" s="189">
        <v>2476.31</v>
      </c>
      <c r="G100" s="189">
        <f>F100</f>
        <v>2476.31</v>
      </c>
      <c r="H100" s="189">
        <f t="shared" ref="H100:R102" si="46">G100</f>
        <v>2476.31</v>
      </c>
      <c r="I100" s="189">
        <f t="shared" si="46"/>
        <v>2476.31</v>
      </c>
      <c r="J100" s="189">
        <f t="shared" si="46"/>
        <v>2476.31</v>
      </c>
      <c r="K100" s="189">
        <f t="shared" si="46"/>
        <v>2476.31</v>
      </c>
      <c r="L100" s="189">
        <f t="shared" si="46"/>
        <v>2476.31</v>
      </c>
      <c r="M100" s="189">
        <f t="shared" si="46"/>
        <v>2476.31</v>
      </c>
      <c r="N100" s="189">
        <f t="shared" si="46"/>
        <v>2476.31</v>
      </c>
      <c r="O100" s="189">
        <f t="shared" si="46"/>
        <v>2476.31</v>
      </c>
      <c r="P100" s="189">
        <f t="shared" si="46"/>
        <v>2476.31</v>
      </c>
      <c r="Q100" s="189">
        <f t="shared" si="46"/>
        <v>2476.31</v>
      </c>
      <c r="R100" s="189">
        <f t="shared" si="46"/>
        <v>2476.31</v>
      </c>
      <c r="S100" s="122"/>
      <c r="T100" s="123"/>
      <c r="U100" s="124"/>
      <c r="V100" s="125"/>
      <c r="X100" s="120"/>
      <c r="Y100" s="121"/>
    </row>
    <row r="101" spans="1:25" ht="19.2" x14ac:dyDescent="0.5">
      <c r="A101" s="220"/>
      <c r="B101" s="186" t="s">
        <v>194</v>
      </c>
      <c r="C101" s="187"/>
      <c r="D101" s="221" t="s">
        <v>488</v>
      </c>
      <c r="E101" s="188" t="s">
        <v>4</v>
      </c>
      <c r="F101" s="189">
        <v>7.7</v>
      </c>
      <c r="G101" s="189">
        <f>F101</f>
        <v>7.7</v>
      </c>
      <c r="H101" s="189">
        <f t="shared" si="46"/>
        <v>7.7</v>
      </c>
      <c r="I101" s="189">
        <f t="shared" si="46"/>
        <v>7.7</v>
      </c>
      <c r="J101" s="189">
        <f t="shared" si="46"/>
        <v>7.7</v>
      </c>
      <c r="K101" s="189">
        <f t="shared" si="46"/>
        <v>7.7</v>
      </c>
      <c r="L101" s="189">
        <f t="shared" si="46"/>
        <v>7.7</v>
      </c>
      <c r="M101" s="189">
        <f t="shared" si="46"/>
        <v>7.7</v>
      </c>
      <c r="N101" s="189">
        <f t="shared" si="46"/>
        <v>7.7</v>
      </c>
      <c r="O101" s="189">
        <f t="shared" si="46"/>
        <v>7.7</v>
      </c>
      <c r="P101" s="189">
        <f t="shared" si="46"/>
        <v>7.7</v>
      </c>
      <c r="Q101" s="189">
        <f t="shared" si="46"/>
        <v>7.7</v>
      </c>
      <c r="R101" s="189">
        <f t="shared" si="46"/>
        <v>7.7</v>
      </c>
      <c r="S101" s="122"/>
      <c r="T101" s="123"/>
      <c r="U101" s="124"/>
      <c r="V101" s="125"/>
      <c r="X101" s="120"/>
      <c r="Y101" s="121"/>
    </row>
    <row r="102" spans="1:25" ht="19.2" x14ac:dyDescent="0.5">
      <c r="A102" s="220"/>
      <c r="B102" s="186" t="s">
        <v>175</v>
      </c>
      <c r="C102" s="187"/>
      <c r="D102" s="188"/>
      <c r="E102" s="188" t="s">
        <v>4</v>
      </c>
      <c r="F102" s="189">
        <v>5.0599999999999996</v>
      </c>
      <c r="G102" s="189">
        <f>F102</f>
        <v>5.0599999999999996</v>
      </c>
      <c r="H102" s="189">
        <f t="shared" si="46"/>
        <v>5.0599999999999996</v>
      </c>
      <c r="I102" s="189">
        <f t="shared" si="46"/>
        <v>5.0599999999999996</v>
      </c>
      <c r="J102" s="189">
        <f t="shared" si="46"/>
        <v>5.0599999999999996</v>
      </c>
      <c r="K102" s="189">
        <f t="shared" si="46"/>
        <v>5.0599999999999996</v>
      </c>
      <c r="L102" s="189">
        <f t="shared" si="46"/>
        <v>5.0599999999999996</v>
      </c>
      <c r="M102" s="189">
        <f t="shared" si="46"/>
        <v>5.0599999999999996</v>
      </c>
      <c r="N102" s="189">
        <f t="shared" si="46"/>
        <v>5.0599999999999996</v>
      </c>
      <c r="O102" s="189">
        <f t="shared" si="46"/>
        <v>5.0599999999999996</v>
      </c>
      <c r="P102" s="189">
        <f t="shared" si="46"/>
        <v>5.0599999999999996</v>
      </c>
      <c r="Q102" s="189">
        <f t="shared" si="46"/>
        <v>5.0599999999999996</v>
      </c>
      <c r="R102" s="189">
        <f t="shared" si="46"/>
        <v>5.0599999999999996</v>
      </c>
      <c r="S102" s="122"/>
      <c r="T102" s="123"/>
      <c r="U102" s="124"/>
      <c r="V102" s="125"/>
      <c r="X102" s="120"/>
      <c r="Y102" s="121"/>
    </row>
    <row r="103" spans="1:25" ht="19.2" x14ac:dyDescent="0.5">
      <c r="A103" s="220"/>
      <c r="B103" s="186" t="s">
        <v>195</v>
      </c>
      <c r="C103" s="187"/>
      <c r="D103" s="221" t="s">
        <v>489</v>
      </c>
      <c r="E103" s="188" t="s">
        <v>117</v>
      </c>
      <c r="F103" s="189">
        <f t="shared" ref="F103:R103" si="47">+F11/(F101*F102)</f>
        <v>0.35290796160361387</v>
      </c>
      <c r="G103" s="189">
        <f t="shared" si="47"/>
        <v>0.1596273291925466</v>
      </c>
      <c r="H103" s="189">
        <f t="shared" si="47"/>
        <v>0.32083568605307744</v>
      </c>
      <c r="I103" s="189">
        <f t="shared" si="47"/>
        <v>0.35290796160361387</v>
      </c>
      <c r="J103" s="189">
        <f t="shared" si="47"/>
        <v>0.35290796160361387</v>
      </c>
      <c r="K103" s="189">
        <f t="shared" si="47"/>
        <v>0.35290796160361387</v>
      </c>
      <c r="L103" s="189">
        <f t="shared" si="47"/>
        <v>0.35290796160361387</v>
      </c>
      <c r="M103" s="189">
        <f t="shared" si="47"/>
        <v>0.35290796160361387</v>
      </c>
      <c r="N103" s="189">
        <f t="shared" si="47"/>
        <v>0.18842461885940151</v>
      </c>
      <c r="O103" s="189">
        <f t="shared" si="47"/>
        <v>0.14466403162055338</v>
      </c>
      <c r="P103" s="189">
        <f t="shared" si="47"/>
        <v>0.11586674195369849</v>
      </c>
      <c r="Q103" s="189">
        <f t="shared" si="47"/>
        <v>0.11078486730660647</v>
      </c>
      <c r="R103" s="189">
        <f t="shared" si="47"/>
        <v>0.11219649915302091</v>
      </c>
      <c r="S103" s="122"/>
      <c r="T103" s="123"/>
      <c r="U103" s="124"/>
      <c r="V103" s="125"/>
      <c r="X103" s="120"/>
      <c r="Y103" s="121"/>
    </row>
    <row r="104" spans="1:25" ht="19.2" x14ac:dyDescent="0.5">
      <c r="A104" s="187"/>
      <c r="B104" s="186" t="s">
        <v>196</v>
      </c>
      <c r="C104" s="187"/>
      <c r="D104" s="188" t="s">
        <v>490</v>
      </c>
      <c r="E104" s="188"/>
      <c r="F104" s="189">
        <v>0.3</v>
      </c>
      <c r="G104" s="189">
        <f>+F104</f>
        <v>0.3</v>
      </c>
      <c r="H104" s="189">
        <f t="shared" ref="H104:R104" si="48">+G104</f>
        <v>0.3</v>
      </c>
      <c r="I104" s="189">
        <f t="shared" si="48"/>
        <v>0.3</v>
      </c>
      <c r="J104" s="189">
        <f t="shared" si="48"/>
        <v>0.3</v>
      </c>
      <c r="K104" s="189">
        <f t="shared" si="48"/>
        <v>0.3</v>
      </c>
      <c r="L104" s="189">
        <f t="shared" si="48"/>
        <v>0.3</v>
      </c>
      <c r="M104" s="189">
        <f t="shared" si="48"/>
        <v>0.3</v>
      </c>
      <c r="N104" s="189">
        <f t="shared" si="48"/>
        <v>0.3</v>
      </c>
      <c r="O104" s="189">
        <f t="shared" si="48"/>
        <v>0.3</v>
      </c>
      <c r="P104" s="189">
        <f t="shared" si="48"/>
        <v>0.3</v>
      </c>
      <c r="Q104" s="189">
        <f t="shared" si="48"/>
        <v>0.3</v>
      </c>
      <c r="R104" s="189">
        <f t="shared" si="48"/>
        <v>0.3</v>
      </c>
      <c r="S104" s="122"/>
      <c r="T104" s="123"/>
      <c r="U104" s="124"/>
      <c r="V104" s="125"/>
      <c r="X104" s="120"/>
      <c r="Y104" s="121"/>
    </row>
    <row r="105" spans="1:25" ht="19.2" x14ac:dyDescent="0.5">
      <c r="A105" s="187"/>
      <c r="B105" s="186" t="s">
        <v>197</v>
      </c>
      <c r="C105" s="187"/>
      <c r="D105" s="221" t="s">
        <v>491</v>
      </c>
      <c r="E105" s="188" t="s">
        <v>117</v>
      </c>
      <c r="F105" s="189">
        <f>+F148</f>
        <v>1.5277777777777779</v>
      </c>
      <c r="G105" s="189">
        <f t="shared" ref="G105:R105" si="49">+G148</f>
        <v>0.69104444444444446</v>
      </c>
      <c r="H105" s="189">
        <f t="shared" si="49"/>
        <v>1.3889333333333336</v>
      </c>
      <c r="I105" s="189">
        <f t="shared" si="49"/>
        <v>1.5277777777777779</v>
      </c>
      <c r="J105" s="189">
        <f t="shared" si="49"/>
        <v>1.5277777777777779</v>
      </c>
      <c r="K105" s="189">
        <f t="shared" si="49"/>
        <v>1.5277777777777779</v>
      </c>
      <c r="L105" s="189">
        <f t="shared" si="49"/>
        <v>1.5277777777777779</v>
      </c>
      <c r="M105" s="189">
        <f t="shared" si="49"/>
        <v>1.5277777777777779</v>
      </c>
      <c r="N105" s="189">
        <f t="shared" si="49"/>
        <v>0.81571111111111128</v>
      </c>
      <c r="O105" s="189">
        <f t="shared" si="49"/>
        <v>0.62626666666666664</v>
      </c>
      <c r="P105" s="189">
        <f t="shared" si="49"/>
        <v>0.50160000000000005</v>
      </c>
      <c r="Q105" s="189">
        <f t="shared" si="49"/>
        <v>0.47960000000000008</v>
      </c>
      <c r="R105" s="189">
        <f t="shared" si="49"/>
        <v>0.48571111111111115</v>
      </c>
      <c r="S105" s="122"/>
      <c r="T105" s="123"/>
      <c r="U105" s="124"/>
      <c r="V105" s="125"/>
      <c r="X105" s="120"/>
      <c r="Y105" s="121"/>
    </row>
    <row r="106" spans="1:25" ht="19.2" x14ac:dyDescent="0.5">
      <c r="A106" s="187"/>
      <c r="B106" s="186" t="s">
        <v>198</v>
      </c>
      <c r="C106" s="187"/>
      <c r="D106" s="187" t="s">
        <v>482</v>
      </c>
      <c r="E106" s="188" t="s">
        <v>4</v>
      </c>
      <c r="F106" s="189">
        <f>+(F105^2-F103^2)/(2*9.81)</f>
        <v>0.11261778332866398</v>
      </c>
      <c r="G106" s="189">
        <f t="shared" ref="G106:R106" si="50">+(G105^2-G103^2)/(2*9.81)</f>
        <v>2.3040853209601694E-2</v>
      </c>
      <c r="H106" s="189">
        <f t="shared" si="50"/>
        <v>9.3078504943898882E-2</v>
      </c>
      <c r="I106" s="189">
        <f t="shared" si="50"/>
        <v>0.11261778332866398</v>
      </c>
      <c r="J106" s="189">
        <f t="shared" si="50"/>
        <v>0.11261778332866398</v>
      </c>
      <c r="K106" s="189">
        <f t="shared" si="50"/>
        <v>0.11261778332866398</v>
      </c>
      <c r="L106" s="189">
        <f t="shared" si="50"/>
        <v>0.11261778332866398</v>
      </c>
      <c r="M106" s="189">
        <f t="shared" si="50"/>
        <v>0.11261778332866398</v>
      </c>
      <c r="N106" s="189">
        <f t="shared" si="50"/>
        <v>3.2104015280214726E-2</v>
      </c>
      <c r="O106" s="189">
        <f t="shared" si="50"/>
        <v>1.8923662371715864E-2</v>
      </c>
      <c r="P106" s="189">
        <f t="shared" si="50"/>
        <v>1.2139523858768351E-2</v>
      </c>
      <c r="Q106" s="189">
        <f t="shared" si="50"/>
        <v>1.1098005768392337E-2</v>
      </c>
      <c r="R106" s="189">
        <f t="shared" si="50"/>
        <v>1.1382631449265868E-2</v>
      </c>
      <c r="S106" s="122"/>
      <c r="T106" s="123"/>
      <c r="U106" s="124"/>
      <c r="V106" s="125"/>
      <c r="X106" s="120"/>
      <c r="Y106" s="121"/>
    </row>
    <row r="107" spans="1:25" s="172" customFormat="1" ht="19.2" x14ac:dyDescent="0.5">
      <c r="A107" s="211"/>
      <c r="B107" s="210" t="s">
        <v>199</v>
      </c>
      <c r="C107" s="211" t="s">
        <v>492</v>
      </c>
      <c r="D107" s="222" t="s">
        <v>493</v>
      </c>
      <c r="E107" s="212" t="s">
        <v>4</v>
      </c>
      <c r="F107" s="213">
        <f>+F104*F106</f>
        <v>3.3785334998599197E-2</v>
      </c>
      <c r="G107" s="213">
        <f t="shared" ref="G107:R107" si="51">+G104*G106</f>
        <v>6.9122559628805079E-3</v>
      </c>
      <c r="H107" s="213">
        <f t="shared" si="51"/>
        <v>2.7923551483169665E-2</v>
      </c>
      <c r="I107" s="213">
        <f t="shared" si="51"/>
        <v>3.3785334998599197E-2</v>
      </c>
      <c r="J107" s="213">
        <f t="shared" si="51"/>
        <v>3.3785334998599197E-2</v>
      </c>
      <c r="K107" s="213">
        <f t="shared" si="51"/>
        <v>3.3785334998599197E-2</v>
      </c>
      <c r="L107" s="213">
        <f t="shared" si="51"/>
        <v>3.3785334998599197E-2</v>
      </c>
      <c r="M107" s="213">
        <f t="shared" si="51"/>
        <v>3.3785334998599197E-2</v>
      </c>
      <c r="N107" s="213">
        <f t="shared" si="51"/>
        <v>9.6312045840644175E-3</v>
      </c>
      <c r="O107" s="213">
        <f t="shared" si="51"/>
        <v>5.6770987115147588E-3</v>
      </c>
      <c r="P107" s="213">
        <f t="shared" si="51"/>
        <v>3.6418571576305051E-3</v>
      </c>
      <c r="Q107" s="213">
        <f t="shared" si="51"/>
        <v>3.3294017305177011E-3</v>
      </c>
      <c r="R107" s="213">
        <f t="shared" si="51"/>
        <v>3.4147894347797605E-3</v>
      </c>
      <c r="S107" s="173"/>
      <c r="T107" s="174"/>
      <c r="U107" s="176"/>
      <c r="V107" s="168"/>
      <c r="X107" s="177"/>
      <c r="Y107" s="175"/>
    </row>
    <row r="108" spans="1:25" s="155" customFormat="1" ht="19.2" x14ac:dyDescent="0.5">
      <c r="A108" s="191"/>
      <c r="B108" s="191" t="s">
        <v>200</v>
      </c>
      <c r="C108" s="191"/>
      <c r="D108" s="192"/>
      <c r="E108" s="183" t="s">
        <v>2</v>
      </c>
      <c r="F108" s="193">
        <f>+F96-F107</f>
        <v>2481.8648893760883</v>
      </c>
      <c r="G108" s="193">
        <f t="shared" ref="G108:R108" si="52">+G96-G107</f>
        <v>2481.9723572604557</v>
      </c>
      <c r="H108" s="193">
        <f t="shared" si="52"/>
        <v>2481.8883311808854</v>
      </c>
      <c r="I108" s="193">
        <f t="shared" si="52"/>
        <v>2481.8648893760883</v>
      </c>
      <c r="J108" s="193">
        <f t="shared" si="52"/>
        <v>2481.8648893760883</v>
      </c>
      <c r="K108" s="193">
        <f t="shared" si="52"/>
        <v>2481.8648893760883</v>
      </c>
      <c r="L108" s="193">
        <f t="shared" si="52"/>
        <v>2481.8648893760883</v>
      </c>
      <c r="M108" s="193">
        <f t="shared" si="52"/>
        <v>2481.8648893760883</v>
      </c>
      <c r="N108" s="193">
        <f t="shared" si="52"/>
        <v>2481.9614839379155</v>
      </c>
      <c r="O108" s="193">
        <f t="shared" si="52"/>
        <v>2481.9772967665131</v>
      </c>
      <c r="P108" s="193">
        <f t="shared" si="52"/>
        <v>2481.9854358823795</v>
      </c>
      <c r="Q108" s="193">
        <f t="shared" si="52"/>
        <v>2481.9866854200177</v>
      </c>
      <c r="R108" s="193">
        <f t="shared" si="52"/>
        <v>2481.9863439468313</v>
      </c>
      <c r="S108" s="157"/>
      <c r="T108" s="158"/>
      <c r="U108" s="159"/>
      <c r="V108" s="160"/>
      <c r="X108" s="161"/>
      <c r="Y108" s="162"/>
    </row>
    <row r="109" spans="1:25" s="155" customFormat="1" ht="19.2" x14ac:dyDescent="0.5">
      <c r="A109" s="191"/>
      <c r="B109" s="191" t="s">
        <v>201</v>
      </c>
      <c r="C109" s="191"/>
      <c r="D109" s="192"/>
      <c r="E109" s="183" t="s">
        <v>2</v>
      </c>
      <c r="F109" s="193">
        <f>+F108-F106</f>
        <v>2481.7522715927598</v>
      </c>
      <c r="G109" s="193">
        <f t="shared" ref="G109:R109" si="53">+G108-G106</f>
        <v>2481.949316407246</v>
      </c>
      <c r="H109" s="193">
        <f t="shared" si="53"/>
        <v>2481.7952526759414</v>
      </c>
      <c r="I109" s="193">
        <f t="shared" si="53"/>
        <v>2481.7522715927598</v>
      </c>
      <c r="J109" s="193">
        <f t="shared" si="53"/>
        <v>2481.7522715927598</v>
      </c>
      <c r="K109" s="193">
        <f t="shared" si="53"/>
        <v>2481.7522715927598</v>
      </c>
      <c r="L109" s="193">
        <f t="shared" si="53"/>
        <v>2481.7522715927598</v>
      </c>
      <c r="M109" s="193">
        <f t="shared" si="53"/>
        <v>2481.7522715927598</v>
      </c>
      <c r="N109" s="193">
        <f t="shared" si="53"/>
        <v>2481.9293799226352</v>
      </c>
      <c r="O109" s="193">
        <f t="shared" si="53"/>
        <v>2481.9583731041412</v>
      </c>
      <c r="P109" s="193">
        <f t="shared" si="53"/>
        <v>2481.9732963585207</v>
      </c>
      <c r="Q109" s="193">
        <f t="shared" si="53"/>
        <v>2481.9755874142493</v>
      </c>
      <c r="R109" s="193">
        <f t="shared" si="53"/>
        <v>2481.9749613153822</v>
      </c>
      <c r="S109" s="157"/>
      <c r="T109" s="158"/>
      <c r="U109" s="159"/>
      <c r="V109" s="160"/>
      <c r="X109" s="161"/>
      <c r="Y109" s="162"/>
    </row>
    <row r="110" spans="1:25" ht="19.2" x14ac:dyDescent="0.5">
      <c r="A110" s="186"/>
      <c r="B110" s="186"/>
      <c r="C110" s="186"/>
      <c r="D110" s="187"/>
      <c r="E110" s="188"/>
      <c r="F110" s="189"/>
      <c r="G110" s="189"/>
      <c r="H110" s="189"/>
      <c r="I110" s="189"/>
      <c r="J110" s="189"/>
      <c r="K110" s="189"/>
      <c r="L110" s="189"/>
      <c r="M110" s="189"/>
      <c r="N110" s="189"/>
      <c r="O110" s="189"/>
      <c r="P110" s="189"/>
      <c r="Q110" s="189"/>
      <c r="R110" s="189"/>
      <c r="S110" s="122"/>
      <c r="T110" s="123"/>
      <c r="U110" s="124"/>
      <c r="V110" s="125"/>
      <c r="X110" s="120"/>
      <c r="Y110" s="121"/>
    </row>
    <row r="111" spans="1:25" ht="19.2" x14ac:dyDescent="0.5">
      <c r="A111" s="156"/>
      <c r="B111" s="156" t="s">
        <v>452</v>
      </c>
      <c r="C111" s="186"/>
      <c r="D111" s="187"/>
      <c r="E111" s="188"/>
      <c r="F111" s="190"/>
      <c r="G111" s="190"/>
      <c r="H111" s="190"/>
      <c r="I111" s="190"/>
      <c r="J111" s="190"/>
      <c r="K111" s="190"/>
      <c r="L111" s="190"/>
      <c r="M111" s="190"/>
      <c r="N111" s="190"/>
      <c r="O111" s="190"/>
      <c r="P111" s="190"/>
      <c r="Q111" s="190"/>
      <c r="R111" s="190"/>
    </row>
    <row r="112" spans="1:25" ht="19.2" x14ac:dyDescent="0.5">
      <c r="A112" s="156"/>
      <c r="B112" s="156" t="s">
        <v>450</v>
      </c>
      <c r="C112" s="186"/>
      <c r="D112" s="187"/>
      <c r="E112" s="188" t="s">
        <v>4</v>
      </c>
      <c r="F112" s="190">
        <v>2</v>
      </c>
      <c r="G112" s="190">
        <f>F112</f>
        <v>2</v>
      </c>
      <c r="H112" s="190">
        <f t="shared" ref="H112:R112" si="54">G112</f>
        <v>2</v>
      </c>
      <c r="I112" s="190">
        <f t="shared" si="54"/>
        <v>2</v>
      </c>
      <c r="J112" s="190">
        <f t="shared" si="54"/>
        <v>2</v>
      </c>
      <c r="K112" s="190">
        <f t="shared" si="54"/>
        <v>2</v>
      </c>
      <c r="L112" s="190">
        <f t="shared" si="54"/>
        <v>2</v>
      </c>
      <c r="M112" s="190">
        <f t="shared" si="54"/>
        <v>2</v>
      </c>
      <c r="N112" s="190">
        <f t="shared" si="54"/>
        <v>2</v>
      </c>
      <c r="O112" s="190">
        <f t="shared" si="54"/>
        <v>2</v>
      </c>
      <c r="P112" s="190">
        <f t="shared" si="54"/>
        <v>2</v>
      </c>
      <c r="Q112" s="190">
        <f t="shared" si="54"/>
        <v>2</v>
      </c>
      <c r="R112" s="190">
        <f t="shared" si="54"/>
        <v>2</v>
      </c>
    </row>
    <row r="113" spans="1:26" ht="19.2" x14ac:dyDescent="0.5">
      <c r="A113" s="156"/>
      <c r="B113" s="156" t="s">
        <v>451</v>
      </c>
      <c r="C113" s="186"/>
      <c r="D113" s="187"/>
      <c r="E113" s="188"/>
      <c r="F113" s="190">
        <v>2</v>
      </c>
      <c r="G113" s="190">
        <v>2</v>
      </c>
      <c r="H113" s="190">
        <v>2</v>
      </c>
      <c r="I113" s="190">
        <v>2</v>
      </c>
      <c r="J113" s="190">
        <v>2</v>
      </c>
      <c r="K113" s="190">
        <v>2</v>
      </c>
      <c r="L113" s="190">
        <v>2</v>
      </c>
      <c r="M113" s="190">
        <v>2</v>
      </c>
      <c r="N113" s="190">
        <v>2</v>
      </c>
      <c r="O113" s="190">
        <v>2</v>
      </c>
      <c r="P113" s="190">
        <v>2</v>
      </c>
      <c r="Q113" s="190">
        <v>2</v>
      </c>
      <c r="R113" s="190">
        <v>2</v>
      </c>
    </row>
    <row r="114" spans="1:26" ht="19.2" x14ac:dyDescent="0.5">
      <c r="A114" s="156"/>
      <c r="B114" s="156" t="s">
        <v>163</v>
      </c>
      <c r="C114" s="186"/>
      <c r="D114" s="187"/>
      <c r="E114" s="188" t="s">
        <v>4</v>
      </c>
      <c r="F114" s="190">
        <v>2.2000000000000002</v>
      </c>
      <c r="G114" s="190">
        <f>F114</f>
        <v>2.2000000000000002</v>
      </c>
      <c r="H114" s="190">
        <f t="shared" ref="H114:R114" si="55">G114</f>
        <v>2.2000000000000002</v>
      </c>
      <c r="I114" s="190">
        <f t="shared" si="55"/>
        <v>2.2000000000000002</v>
      </c>
      <c r="J114" s="190">
        <f t="shared" si="55"/>
        <v>2.2000000000000002</v>
      </c>
      <c r="K114" s="190">
        <f t="shared" si="55"/>
        <v>2.2000000000000002</v>
      </c>
      <c r="L114" s="190">
        <f t="shared" si="55"/>
        <v>2.2000000000000002</v>
      </c>
      <c r="M114" s="190">
        <f t="shared" si="55"/>
        <v>2.2000000000000002</v>
      </c>
      <c r="N114" s="190">
        <f t="shared" si="55"/>
        <v>2.2000000000000002</v>
      </c>
      <c r="O114" s="190">
        <f t="shared" si="55"/>
        <v>2.2000000000000002</v>
      </c>
      <c r="P114" s="190">
        <f t="shared" si="55"/>
        <v>2.2000000000000002</v>
      </c>
      <c r="Q114" s="190">
        <f t="shared" si="55"/>
        <v>2.2000000000000002</v>
      </c>
      <c r="R114" s="190">
        <f t="shared" si="55"/>
        <v>2.2000000000000002</v>
      </c>
    </row>
    <row r="115" spans="1:26" ht="19.2" x14ac:dyDescent="0.5">
      <c r="A115" s="186"/>
      <c r="B115" s="186" t="s">
        <v>123</v>
      </c>
      <c r="C115" s="186" t="str">
        <f>C25</f>
        <v>Rectangular</v>
      </c>
      <c r="D115" s="187"/>
      <c r="E115" s="188"/>
      <c r="F115" s="190"/>
      <c r="G115" s="190"/>
      <c r="H115" s="190"/>
      <c r="I115" s="190"/>
      <c r="J115" s="190"/>
      <c r="K115" s="190"/>
      <c r="L115" s="190"/>
      <c r="M115" s="190"/>
      <c r="N115" s="190"/>
      <c r="O115" s="190"/>
      <c r="P115" s="190"/>
      <c r="Q115" s="190"/>
      <c r="R115" s="190"/>
    </row>
    <row r="116" spans="1:26" ht="19.2" x14ac:dyDescent="0.5">
      <c r="A116" s="186"/>
      <c r="B116" s="186" t="s">
        <v>124</v>
      </c>
      <c r="C116" s="186"/>
      <c r="D116" s="187" t="s">
        <v>125</v>
      </c>
      <c r="E116" s="188" t="s">
        <v>110</v>
      </c>
      <c r="F116" s="189">
        <v>16</v>
      </c>
      <c r="G116" s="189">
        <f>+F116</f>
        <v>16</v>
      </c>
      <c r="H116" s="189">
        <f t="shared" ref="H116:H120" si="56">+G116</f>
        <v>16</v>
      </c>
      <c r="I116" s="189">
        <f t="shared" ref="I116:I120" si="57">+H116</f>
        <v>16</v>
      </c>
      <c r="J116" s="189">
        <f t="shared" ref="J116:J120" si="58">+I116</f>
        <v>16</v>
      </c>
      <c r="K116" s="189">
        <f t="shared" ref="K116:K120" si="59">+J116</f>
        <v>16</v>
      </c>
      <c r="L116" s="189">
        <f t="shared" ref="L116:L120" si="60">+K116</f>
        <v>16</v>
      </c>
      <c r="M116" s="189">
        <f t="shared" ref="M116:M117" si="61">+L116</f>
        <v>16</v>
      </c>
      <c r="N116" s="189">
        <f t="shared" ref="N116:N120" si="62">+M116</f>
        <v>16</v>
      </c>
      <c r="O116" s="189">
        <f t="shared" ref="O116:O118" si="63">+N116</f>
        <v>16</v>
      </c>
      <c r="P116" s="189">
        <f t="shared" ref="P116:P120" si="64">+O116</f>
        <v>16</v>
      </c>
      <c r="Q116" s="189">
        <f t="shared" ref="Q116:Q120" si="65">+P116</f>
        <v>16</v>
      </c>
      <c r="R116" s="189">
        <f>+Q116</f>
        <v>16</v>
      </c>
    </row>
    <row r="117" spans="1:26" ht="19.2" x14ac:dyDescent="0.5">
      <c r="A117" s="186"/>
      <c r="B117" s="186" t="s">
        <v>126</v>
      </c>
      <c r="C117" s="186"/>
      <c r="D117" s="187" t="s">
        <v>127</v>
      </c>
      <c r="E117" s="188" t="s">
        <v>110</v>
      </c>
      <c r="F117" s="189">
        <v>30</v>
      </c>
      <c r="G117" s="189">
        <f>+F117</f>
        <v>30</v>
      </c>
      <c r="H117" s="189">
        <f t="shared" si="56"/>
        <v>30</v>
      </c>
      <c r="I117" s="189">
        <f t="shared" si="57"/>
        <v>30</v>
      </c>
      <c r="J117" s="189">
        <f t="shared" si="58"/>
        <v>30</v>
      </c>
      <c r="K117" s="189">
        <f t="shared" si="59"/>
        <v>30</v>
      </c>
      <c r="L117" s="189">
        <f t="shared" si="60"/>
        <v>30</v>
      </c>
      <c r="M117" s="189">
        <f t="shared" si="61"/>
        <v>30</v>
      </c>
      <c r="N117" s="189">
        <f t="shared" si="62"/>
        <v>30</v>
      </c>
      <c r="O117" s="189">
        <f t="shared" si="63"/>
        <v>30</v>
      </c>
      <c r="P117" s="189">
        <f t="shared" si="64"/>
        <v>30</v>
      </c>
      <c r="Q117" s="189">
        <f t="shared" si="65"/>
        <v>30</v>
      </c>
      <c r="R117" s="189">
        <f t="shared" ref="R117:R120" si="66">+Q117</f>
        <v>30</v>
      </c>
    </row>
    <row r="118" spans="1:26" ht="19.2" x14ac:dyDescent="0.5">
      <c r="A118" s="186"/>
      <c r="B118" s="186" t="s">
        <v>128</v>
      </c>
      <c r="C118" s="186"/>
      <c r="D118" s="187"/>
      <c r="E118" s="188"/>
      <c r="F118" s="189">
        <f>CEILING(F112*1000/((F117+F116)+1),1)</f>
        <v>43</v>
      </c>
      <c r="G118" s="189">
        <f>+F118</f>
        <v>43</v>
      </c>
      <c r="H118" s="189">
        <f t="shared" si="56"/>
        <v>43</v>
      </c>
      <c r="I118" s="189">
        <f t="shared" si="57"/>
        <v>43</v>
      </c>
      <c r="J118" s="189">
        <f t="shared" si="58"/>
        <v>43</v>
      </c>
      <c r="K118" s="189">
        <f t="shared" si="59"/>
        <v>43</v>
      </c>
      <c r="L118" s="189">
        <f t="shared" si="60"/>
        <v>43</v>
      </c>
      <c r="M118" s="189">
        <f>+L118</f>
        <v>43</v>
      </c>
      <c r="N118" s="189">
        <f t="shared" si="62"/>
        <v>43</v>
      </c>
      <c r="O118" s="189">
        <f t="shared" si="63"/>
        <v>43</v>
      </c>
      <c r="P118" s="189">
        <f t="shared" si="64"/>
        <v>43</v>
      </c>
      <c r="Q118" s="189">
        <f t="shared" si="65"/>
        <v>43</v>
      </c>
      <c r="R118" s="189">
        <f t="shared" si="66"/>
        <v>43</v>
      </c>
    </row>
    <row r="119" spans="1:26" ht="19.2" x14ac:dyDescent="0.5">
      <c r="A119" s="186"/>
      <c r="B119" s="186" t="s">
        <v>453</v>
      </c>
      <c r="C119" s="186"/>
      <c r="D119" s="187"/>
      <c r="E119" s="188" t="s">
        <v>4</v>
      </c>
      <c r="F119" s="189">
        <f>F112-F118*F117/1000</f>
        <v>0.71</v>
      </c>
      <c r="G119" s="189">
        <f t="shared" ref="G119:R119" si="67">G112-G118*G117/1000</f>
        <v>0.71</v>
      </c>
      <c r="H119" s="189">
        <f t="shared" si="67"/>
        <v>0.71</v>
      </c>
      <c r="I119" s="189">
        <f t="shared" si="67"/>
        <v>0.71</v>
      </c>
      <c r="J119" s="189">
        <f t="shared" si="67"/>
        <v>0.71</v>
      </c>
      <c r="K119" s="189">
        <f t="shared" si="67"/>
        <v>0.71</v>
      </c>
      <c r="L119" s="189">
        <f t="shared" si="67"/>
        <v>0.71</v>
      </c>
      <c r="M119" s="189">
        <f t="shared" si="67"/>
        <v>0.71</v>
      </c>
      <c r="N119" s="189">
        <f t="shared" si="67"/>
        <v>0.71</v>
      </c>
      <c r="O119" s="189">
        <f t="shared" si="67"/>
        <v>0.71</v>
      </c>
      <c r="P119" s="189">
        <f t="shared" si="67"/>
        <v>0.71</v>
      </c>
      <c r="Q119" s="189">
        <f t="shared" si="67"/>
        <v>0.71</v>
      </c>
      <c r="R119" s="189">
        <f t="shared" si="67"/>
        <v>0.71</v>
      </c>
    </row>
    <row r="120" spans="1:26" ht="19.2" x14ac:dyDescent="0.5">
      <c r="A120" s="186"/>
      <c r="B120" s="186" t="s">
        <v>129</v>
      </c>
      <c r="C120" s="186"/>
      <c r="D120" s="187" t="s">
        <v>470</v>
      </c>
      <c r="E120" s="188"/>
      <c r="F120" s="189">
        <f>VLOOKUP(C115,Y120:Z125,2,FALSE)</f>
        <v>2.42</v>
      </c>
      <c r="G120" s="189">
        <f>+F120</f>
        <v>2.42</v>
      </c>
      <c r="H120" s="189">
        <f t="shared" si="56"/>
        <v>2.42</v>
      </c>
      <c r="I120" s="189">
        <f t="shared" si="57"/>
        <v>2.42</v>
      </c>
      <c r="J120" s="189">
        <f t="shared" si="58"/>
        <v>2.42</v>
      </c>
      <c r="K120" s="189">
        <f t="shared" si="59"/>
        <v>2.42</v>
      </c>
      <c r="L120" s="189">
        <f t="shared" si="60"/>
        <v>2.42</v>
      </c>
      <c r="M120" s="189">
        <f t="shared" ref="M120" si="68">+L120</f>
        <v>2.42</v>
      </c>
      <c r="N120" s="189">
        <f t="shared" si="62"/>
        <v>2.42</v>
      </c>
      <c r="O120" s="189">
        <f>+N120</f>
        <v>2.42</v>
      </c>
      <c r="P120" s="189">
        <f t="shared" si="64"/>
        <v>2.42</v>
      </c>
      <c r="Q120" s="189">
        <f t="shared" si="65"/>
        <v>2.42</v>
      </c>
      <c r="R120" s="189">
        <f t="shared" si="66"/>
        <v>2.42</v>
      </c>
      <c r="Y120" s="131" t="s">
        <v>130</v>
      </c>
      <c r="Z120" s="132">
        <v>2.42</v>
      </c>
    </row>
    <row r="121" spans="1:26" ht="19.2" x14ac:dyDescent="0.5">
      <c r="A121" s="186"/>
      <c r="B121" s="186" t="s">
        <v>131</v>
      </c>
      <c r="C121" s="186"/>
      <c r="D121" s="197" t="s">
        <v>132</v>
      </c>
      <c r="E121" s="188"/>
      <c r="F121" s="189">
        <v>75</v>
      </c>
      <c r="G121" s="189">
        <v>75</v>
      </c>
      <c r="H121" s="189">
        <v>75</v>
      </c>
      <c r="I121" s="189">
        <v>75</v>
      </c>
      <c r="J121" s="189">
        <v>75</v>
      </c>
      <c r="K121" s="189">
        <v>75</v>
      </c>
      <c r="L121" s="189">
        <v>75</v>
      </c>
      <c r="M121" s="189">
        <v>75</v>
      </c>
      <c r="N121" s="189">
        <v>75</v>
      </c>
      <c r="O121" s="189">
        <v>75</v>
      </c>
      <c r="P121" s="189">
        <v>75</v>
      </c>
      <c r="Q121" s="189">
        <v>75</v>
      </c>
      <c r="R121" s="189">
        <v>75</v>
      </c>
      <c r="Y121" s="131" t="s">
        <v>133</v>
      </c>
      <c r="Z121" s="132">
        <v>1.8</v>
      </c>
    </row>
    <row r="122" spans="1:26" ht="19.2" x14ac:dyDescent="0.5">
      <c r="A122" s="186"/>
      <c r="B122" s="186" t="s">
        <v>134</v>
      </c>
      <c r="C122" s="186"/>
      <c r="D122" s="197" t="s">
        <v>135</v>
      </c>
      <c r="E122" s="188"/>
      <c r="F122" s="198">
        <v>0</v>
      </c>
      <c r="G122" s="198">
        <v>0</v>
      </c>
      <c r="H122" s="198">
        <v>0</v>
      </c>
      <c r="I122" s="198">
        <v>0</v>
      </c>
      <c r="J122" s="198">
        <v>0</v>
      </c>
      <c r="K122" s="198">
        <v>0</v>
      </c>
      <c r="L122" s="198">
        <v>0</v>
      </c>
      <c r="M122" s="198">
        <v>0</v>
      </c>
      <c r="N122" s="198">
        <v>0</v>
      </c>
      <c r="O122" s="198">
        <v>0</v>
      </c>
      <c r="P122" s="198">
        <v>0</v>
      </c>
      <c r="Q122" s="198">
        <v>0</v>
      </c>
      <c r="R122" s="198">
        <v>0</v>
      </c>
      <c r="Y122" s="131" t="s">
        <v>136</v>
      </c>
      <c r="Z122" s="132">
        <v>1.8</v>
      </c>
    </row>
    <row r="123" spans="1:26" ht="19.2" x14ac:dyDescent="0.5">
      <c r="A123" s="186"/>
      <c r="B123" s="186" t="s">
        <v>137</v>
      </c>
      <c r="C123" s="186"/>
      <c r="D123" s="187" t="s">
        <v>468</v>
      </c>
      <c r="E123" s="188" t="s">
        <v>117</v>
      </c>
      <c r="F123" s="189">
        <f>F146/(F119*F114)</f>
        <v>4.4014084507042259</v>
      </c>
      <c r="G123" s="189">
        <f t="shared" ref="G123:R123" si="69">G146/(G119*G114)</f>
        <v>1.9908450704225353</v>
      </c>
      <c r="H123" s="189">
        <f t="shared" si="69"/>
        <v>4.0014084507042265</v>
      </c>
      <c r="I123" s="189">
        <f t="shared" si="69"/>
        <v>4.4014084507042259</v>
      </c>
      <c r="J123" s="189">
        <f t="shared" si="69"/>
        <v>4.4014084507042259</v>
      </c>
      <c r="K123" s="189">
        <f t="shared" si="69"/>
        <v>4.4014084507042259</v>
      </c>
      <c r="L123" s="189">
        <f t="shared" si="69"/>
        <v>4.4014084507042259</v>
      </c>
      <c r="M123" s="189">
        <f t="shared" si="69"/>
        <v>4.4014084507042259</v>
      </c>
      <c r="N123" s="189">
        <f t="shared" si="69"/>
        <v>2.35</v>
      </c>
      <c r="O123" s="189">
        <f t="shared" si="69"/>
        <v>1.8042253521126761</v>
      </c>
      <c r="P123" s="189">
        <f t="shared" si="69"/>
        <v>1.4450704225352113</v>
      </c>
      <c r="Q123" s="189">
        <f t="shared" si="69"/>
        <v>1.3816901408450706</v>
      </c>
      <c r="R123" s="189">
        <f t="shared" si="69"/>
        <v>1.3992957746478873</v>
      </c>
      <c r="Y123" s="131" t="s">
        <v>138</v>
      </c>
      <c r="Z123" s="132">
        <v>1.7</v>
      </c>
    </row>
    <row r="124" spans="1:26" ht="19.2" x14ac:dyDescent="0.5">
      <c r="A124" s="186"/>
      <c r="B124" s="186" t="s">
        <v>118</v>
      </c>
      <c r="C124" s="186"/>
      <c r="D124" s="187" t="s">
        <v>469</v>
      </c>
      <c r="E124" s="188" t="s">
        <v>4</v>
      </c>
      <c r="F124" s="189">
        <f>F123^2/(2*9.81)</f>
        <v>0.98738003822276121</v>
      </c>
      <c r="G124" s="189">
        <f t="shared" ref="G124:R124" si="70">G123^2/(2*9.81)</f>
        <v>0.20201142173423595</v>
      </c>
      <c r="H124" s="189">
        <f t="shared" si="70"/>
        <v>0.81606878641015279</v>
      </c>
      <c r="I124" s="189">
        <f t="shared" si="70"/>
        <v>0.98738003822276121</v>
      </c>
      <c r="J124" s="189">
        <f t="shared" si="70"/>
        <v>0.98738003822276121</v>
      </c>
      <c r="K124" s="189">
        <f t="shared" si="70"/>
        <v>0.98738003822276121</v>
      </c>
      <c r="L124" s="189">
        <f t="shared" si="70"/>
        <v>0.98738003822276121</v>
      </c>
      <c r="M124" s="189">
        <f t="shared" si="70"/>
        <v>0.98738003822276121</v>
      </c>
      <c r="N124" s="189">
        <f t="shared" si="70"/>
        <v>0.28147298674821614</v>
      </c>
      <c r="O124" s="189">
        <f t="shared" si="70"/>
        <v>0.16591381861397095</v>
      </c>
      <c r="P124" s="189">
        <f t="shared" si="70"/>
        <v>0.10643366595749715</v>
      </c>
      <c r="Q124" s="189">
        <f t="shared" si="70"/>
        <v>9.7302122594723289E-2</v>
      </c>
      <c r="R124" s="189">
        <f t="shared" si="70"/>
        <v>9.9797587408125943E-2</v>
      </c>
      <c r="Y124" s="131" t="s">
        <v>139</v>
      </c>
      <c r="Z124" s="132">
        <v>1</v>
      </c>
    </row>
    <row r="125" spans="1:26" ht="19.2" x14ac:dyDescent="0.5">
      <c r="A125" s="186"/>
      <c r="B125" s="186"/>
      <c r="C125" s="186"/>
      <c r="D125" s="187"/>
      <c r="E125" s="188"/>
      <c r="F125" s="189"/>
      <c r="G125" s="189"/>
      <c r="H125" s="189"/>
      <c r="I125" s="189"/>
      <c r="J125" s="189"/>
      <c r="K125" s="189"/>
      <c r="L125" s="189"/>
      <c r="M125" s="189"/>
      <c r="N125" s="189"/>
      <c r="O125" s="189"/>
      <c r="P125" s="189"/>
      <c r="Q125" s="189"/>
      <c r="R125" s="189"/>
      <c r="Y125" s="131" t="s">
        <v>140</v>
      </c>
      <c r="Z125" s="132">
        <v>0.8</v>
      </c>
    </row>
    <row r="126" spans="1:26" ht="20.399999999999999" x14ac:dyDescent="0.5">
      <c r="A126" s="199"/>
      <c r="B126" s="186" t="s">
        <v>141</v>
      </c>
      <c r="C126" s="186" t="s">
        <v>471</v>
      </c>
      <c r="D126" s="187" t="s">
        <v>472</v>
      </c>
      <c r="E126" s="188" t="s">
        <v>4</v>
      </c>
      <c r="F126" s="189">
        <f>F120*((F116/F117)^(4/3))*F124*SIN(RADIANS(F121))</f>
        <v>0.99825568206824522</v>
      </c>
      <c r="G126" s="189">
        <f t="shared" ref="G126:R126" si="71">G120*((G116/G117)^(4/3))*G124*SIN(RADIANS(G121))</f>
        <v>0.20423650649436126</v>
      </c>
      <c r="H126" s="189">
        <f t="shared" si="71"/>
        <v>0.82505749706951381</v>
      </c>
      <c r="I126" s="189">
        <f t="shared" si="71"/>
        <v>0.99825568206824522</v>
      </c>
      <c r="J126" s="189">
        <f t="shared" si="71"/>
        <v>0.99825568206824522</v>
      </c>
      <c r="K126" s="189">
        <f t="shared" si="71"/>
        <v>0.99825568206824522</v>
      </c>
      <c r="L126" s="189">
        <f t="shared" si="71"/>
        <v>0.99825568206824522</v>
      </c>
      <c r="M126" s="189">
        <f t="shared" si="71"/>
        <v>0.99825568206824522</v>
      </c>
      <c r="N126" s="189">
        <f t="shared" si="71"/>
        <v>0.28457331269921299</v>
      </c>
      <c r="O126" s="189">
        <f t="shared" si="71"/>
        <v>0.16774130097176468</v>
      </c>
      <c r="P126" s="189">
        <f t="shared" si="71"/>
        <v>0.10760599535379167</v>
      </c>
      <c r="Q126" s="189">
        <f t="shared" si="71"/>
        <v>9.8373871252569967E-2</v>
      </c>
      <c r="R126" s="189">
        <f t="shared" si="71"/>
        <v>0.10089682273320193</v>
      </c>
      <c r="X126" s="111" t="s">
        <v>119</v>
      </c>
    </row>
    <row r="127" spans="1:26" ht="20.399999999999999" x14ac:dyDescent="0.5">
      <c r="A127" s="199"/>
      <c r="B127" s="186" t="s">
        <v>142</v>
      </c>
      <c r="C127" s="186" t="s">
        <v>473</v>
      </c>
      <c r="D127" s="187" t="s">
        <v>474</v>
      </c>
      <c r="E127" s="188" t="s">
        <v>4</v>
      </c>
      <c r="F127" s="189">
        <f>F124*SIN(RADIANS(F122))</f>
        <v>0</v>
      </c>
      <c r="G127" s="189">
        <f t="shared" ref="G127:R127" si="72">G124*SIN(RADIANS(G122))</f>
        <v>0</v>
      </c>
      <c r="H127" s="189">
        <f t="shared" si="72"/>
        <v>0</v>
      </c>
      <c r="I127" s="189">
        <f t="shared" si="72"/>
        <v>0</v>
      </c>
      <c r="J127" s="189">
        <f t="shared" si="72"/>
        <v>0</v>
      </c>
      <c r="K127" s="189">
        <f t="shared" si="72"/>
        <v>0</v>
      </c>
      <c r="L127" s="189">
        <f t="shared" si="72"/>
        <v>0</v>
      </c>
      <c r="M127" s="189">
        <f t="shared" si="72"/>
        <v>0</v>
      </c>
      <c r="N127" s="189">
        <f t="shared" si="72"/>
        <v>0</v>
      </c>
      <c r="O127" s="189">
        <f t="shared" si="72"/>
        <v>0</v>
      </c>
      <c r="P127" s="189">
        <f t="shared" si="72"/>
        <v>0</v>
      </c>
      <c r="Q127" s="189">
        <f t="shared" si="72"/>
        <v>0</v>
      </c>
      <c r="R127" s="189">
        <f t="shared" si="72"/>
        <v>0</v>
      </c>
      <c r="X127" s="111" t="s">
        <v>119</v>
      </c>
    </row>
    <row r="128" spans="1:26" ht="19.2" x14ac:dyDescent="0.5">
      <c r="A128" s="199"/>
      <c r="B128" s="186"/>
      <c r="C128" s="186"/>
      <c r="D128" s="187"/>
      <c r="E128" s="188"/>
      <c r="F128" s="190"/>
      <c r="G128" s="190"/>
      <c r="H128" s="190"/>
      <c r="I128" s="190"/>
      <c r="J128" s="190"/>
      <c r="K128" s="190"/>
      <c r="L128" s="190"/>
      <c r="M128" s="190"/>
      <c r="N128" s="190"/>
      <c r="O128" s="190"/>
      <c r="P128" s="190"/>
      <c r="Q128" s="190"/>
      <c r="R128" s="190"/>
    </row>
    <row r="129" spans="1:25" s="169" customFormat="1" ht="19.2" x14ac:dyDescent="0.5">
      <c r="A129" s="200"/>
      <c r="B129" s="201" t="s">
        <v>143</v>
      </c>
      <c r="C129" s="201" t="s">
        <v>475</v>
      </c>
      <c r="D129" s="202"/>
      <c r="E129" s="203" t="s">
        <v>4</v>
      </c>
      <c r="F129" s="223">
        <f>F126+F127</f>
        <v>0.99825568206824522</v>
      </c>
      <c r="G129" s="223">
        <f t="shared" ref="G129:R129" si="73">G126+G127</f>
        <v>0.20423650649436126</v>
      </c>
      <c r="H129" s="223">
        <f t="shared" si="73"/>
        <v>0.82505749706951381</v>
      </c>
      <c r="I129" s="223">
        <f t="shared" si="73"/>
        <v>0.99825568206824522</v>
      </c>
      <c r="J129" s="223">
        <f t="shared" si="73"/>
        <v>0.99825568206824522</v>
      </c>
      <c r="K129" s="223">
        <f t="shared" si="73"/>
        <v>0.99825568206824522</v>
      </c>
      <c r="L129" s="223">
        <f t="shared" si="73"/>
        <v>0.99825568206824522</v>
      </c>
      <c r="M129" s="223">
        <f t="shared" si="73"/>
        <v>0.99825568206824522</v>
      </c>
      <c r="N129" s="223">
        <f t="shared" si="73"/>
        <v>0.28457331269921299</v>
      </c>
      <c r="O129" s="223">
        <f t="shared" si="73"/>
        <v>0.16774130097176468</v>
      </c>
      <c r="P129" s="223">
        <f t="shared" si="73"/>
        <v>0.10760599535379167</v>
      </c>
      <c r="Q129" s="223">
        <f t="shared" si="73"/>
        <v>9.8373871252569967E-2</v>
      </c>
      <c r="R129" s="223">
        <f t="shared" si="73"/>
        <v>0.10089682273320193</v>
      </c>
      <c r="S129" s="167">
        <f>S107-F129</f>
        <v>-0.99825568206824522</v>
      </c>
      <c r="T129" s="168">
        <f>S129-F124</f>
        <v>-1.9856357202910064</v>
      </c>
      <c r="U129" s="168"/>
      <c r="V129" s="168">
        <f>$T$20-T129</f>
        <v>2483.9856357202912</v>
      </c>
      <c r="X129" s="169" t="s">
        <v>119</v>
      </c>
      <c r="Y129" s="168">
        <f>T107-F129</f>
        <v>-0.99825568206824522</v>
      </c>
    </row>
    <row r="130" spans="1:25" s="155" customFormat="1" ht="19.2" x14ac:dyDescent="0.5">
      <c r="A130" s="191"/>
      <c r="B130" s="191" t="s">
        <v>144</v>
      </c>
      <c r="C130" s="191"/>
      <c r="D130" s="192"/>
      <c r="E130" s="183"/>
      <c r="F130" s="193">
        <f>F108-F129</f>
        <v>2480.86663369402</v>
      </c>
      <c r="G130" s="193">
        <f t="shared" ref="G130:R130" si="74">G108-G129</f>
        <v>2481.7681207539613</v>
      </c>
      <c r="H130" s="193">
        <f t="shared" si="74"/>
        <v>2481.0632736838161</v>
      </c>
      <c r="I130" s="193">
        <f t="shared" si="74"/>
        <v>2480.86663369402</v>
      </c>
      <c r="J130" s="193">
        <f t="shared" si="74"/>
        <v>2480.86663369402</v>
      </c>
      <c r="K130" s="193">
        <f t="shared" si="74"/>
        <v>2480.86663369402</v>
      </c>
      <c r="L130" s="193">
        <f t="shared" si="74"/>
        <v>2480.86663369402</v>
      </c>
      <c r="M130" s="193">
        <f t="shared" si="74"/>
        <v>2480.86663369402</v>
      </c>
      <c r="N130" s="193">
        <f t="shared" si="74"/>
        <v>2481.6769106252164</v>
      </c>
      <c r="O130" s="193">
        <f t="shared" si="74"/>
        <v>2481.8095554655415</v>
      </c>
      <c r="P130" s="193">
        <f t="shared" si="74"/>
        <v>2481.8778298870257</v>
      </c>
      <c r="Q130" s="193">
        <f t="shared" si="74"/>
        <v>2481.8883115487652</v>
      </c>
      <c r="R130" s="193">
        <f t="shared" si="74"/>
        <v>2481.8854471240979</v>
      </c>
      <c r="S130" s="157"/>
      <c r="T130" s="158"/>
      <c r="U130" s="159"/>
      <c r="V130" s="160"/>
      <c r="X130" s="161"/>
      <c r="Y130" s="162"/>
    </row>
    <row r="131" spans="1:25" s="155" customFormat="1" ht="19.2" x14ac:dyDescent="0.5">
      <c r="A131" s="191"/>
      <c r="B131" s="191" t="s">
        <v>145</v>
      </c>
      <c r="C131" s="191"/>
      <c r="D131" s="192"/>
      <c r="E131" s="183"/>
      <c r="F131" s="193">
        <f>+F130-F124</f>
        <v>2479.8792536557971</v>
      </c>
      <c r="G131" s="193">
        <f t="shared" ref="G131:R131" si="75">+G130-G124</f>
        <v>2481.5661093322269</v>
      </c>
      <c r="H131" s="193">
        <f t="shared" si="75"/>
        <v>2480.2472048974059</v>
      </c>
      <c r="I131" s="193">
        <f t="shared" si="75"/>
        <v>2479.8792536557971</v>
      </c>
      <c r="J131" s="193">
        <f t="shared" si="75"/>
        <v>2479.8792536557971</v>
      </c>
      <c r="K131" s="193">
        <f t="shared" si="75"/>
        <v>2479.8792536557971</v>
      </c>
      <c r="L131" s="193">
        <f t="shared" si="75"/>
        <v>2479.8792536557971</v>
      </c>
      <c r="M131" s="193">
        <f t="shared" si="75"/>
        <v>2479.8792536557971</v>
      </c>
      <c r="N131" s="193">
        <f t="shared" si="75"/>
        <v>2481.3954376384681</v>
      </c>
      <c r="O131" s="193">
        <f t="shared" si="75"/>
        <v>2481.6436416469273</v>
      </c>
      <c r="P131" s="193">
        <f t="shared" si="75"/>
        <v>2481.7713962210682</v>
      </c>
      <c r="Q131" s="193">
        <f t="shared" si="75"/>
        <v>2481.7910094261706</v>
      </c>
      <c r="R131" s="193">
        <f t="shared" si="75"/>
        <v>2481.78564953669</v>
      </c>
      <c r="S131" s="157"/>
      <c r="T131" s="158"/>
      <c r="U131" s="159"/>
      <c r="V131" s="160"/>
      <c r="X131" s="161"/>
      <c r="Y131" s="162"/>
    </row>
    <row r="132" spans="1:25" ht="19.2" x14ac:dyDescent="0.5">
      <c r="A132" s="186"/>
      <c r="B132" s="186"/>
      <c r="C132" s="186"/>
      <c r="D132" s="187"/>
      <c r="E132" s="188"/>
      <c r="F132" s="189"/>
      <c r="G132" s="189"/>
      <c r="H132" s="189"/>
      <c r="I132" s="189"/>
      <c r="J132" s="189"/>
      <c r="K132" s="189"/>
      <c r="L132" s="189"/>
      <c r="M132" s="189"/>
      <c r="N132" s="189"/>
      <c r="O132" s="189"/>
      <c r="P132" s="189"/>
      <c r="Q132" s="189"/>
      <c r="R132" s="189"/>
      <c r="S132" s="122"/>
      <c r="T132" s="123"/>
      <c r="U132" s="124"/>
      <c r="V132" s="125"/>
      <c r="X132" s="120"/>
      <c r="Y132" s="121"/>
    </row>
    <row r="133" spans="1:25" ht="19.2" x14ac:dyDescent="0.5">
      <c r="A133" s="156">
        <v>1.5</v>
      </c>
      <c r="B133" s="156" t="s">
        <v>202</v>
      </c>
      <c r="C133" s="186"/>
      <c r="D133" s="187"/>
      <c r="E133" s="188"/>
      <c r="F133" s="190"/>
      <c r="G133" s="189"/>
      <c r="H133" s="190"/>
      <c r="I133" s="190"/>
      <c r="J133" s="190"/>
      <c r="K133" s="190"/>
      <c r="L133" s="190"/>
      <c r="M133" s="190"/>
      <c r="N133" s="190"/>
      <c r="O133" s="190"/>
      <c r="P133" s="190"/>
      <c r="Q133" s="190"/>
      <c r="R133" s="190"/>
      <c r="Y133" s="121">
        <f>T95-'[13]HL one bay operation'!M84</f>
        <v>1986.6783682532737</v>
      </c>
    </row>
    <row r="134" spans="1:25" ht="19.2" x14ac:dyDescent="0.5">
      <c r="A134" s="186"/>
      <c r="B134" s="186" t="s">
        <v>203</v>
      </c>
      <c r="C134" s="186"/>
      <c r="D134" s="187"/>
      <c r="E134" s="188" t="s">
        <v>204</v>
      </c>
      <c r="F134" s="190">
        <v>1.4999999999999999E-2</v>
      </c>
      <c r="G134" s="190">
        <f>+F134</f>
        <v>1.4999999999999999E-2</v>
      </c>
      <c r="H134" s="190">
        <f t="shared" ref="H134:R135" si="76">+G134</f>
        <v>1.4999999999999999E-2</v>
      </c>
      <c r="I134" s="190">
        <f t="shared" si="76"/>
        <v>1.4999999999999999E-2</v>
      </c>
      <c r="J134" s="190">
        <f t="shared" si="76"/>
        <v>1.4999999999999999E-2</v>
      </c>
      <c r="K134" s="190">
        <f t="shared" si="76"/>
        <v>1.4999999999999999E-2</v>
      </c>
      <c r="L134" s="190">
        <f t="shared" si="76"/>
        <v>1.4999999999999999E-2</v>
      </c>
      <c r="M134" s="190">
        <f t="shared" si="76"/>
        <v>1.4999999999999999E-2</v>
      </c>
      <c r="N134" s="190">
        <f t="shared" si="76"/>
        <v>1.4999999999999999E-2</v>
      </c>
      <c r="O134" s="190">
        <f t="shared" si="76"/>
        <v>1.4999999999999999E-2</v>
      </c>
      <c r="P134" s="190">
        <f t="shared" si="76"/>
        <v>1.4999999999999999E-2</v>
      </c>
      <c r="Q134" s="190">
        <f t="shared" si="76"/>
        <v>1.4999999999999999E-2</v>
      </c>
      <c r="R134" s="190">
        <f t="shared" si="76"/>
        <v>1.4999999999999999E-2</v>
      </c>
    </row>
    <row r="135" spans="1:25" ht="19.2" x14ac:dyDescent="0.5">
      <c r="A135" s="186"/>
      <c r="B135" s="186" t="s">
        <v>205</v>
      </c>
      <c r="C135" s="186"/>
      <c r="D135" s="187"/>
      <c r="E135" s="188"/>
      <c r="F135" s="189">
        <v>2</v>
      </c>
      <c r="G135" s="189">
        <f>+F135</f>
        <v>2</v>
      </c>
      <c r="H135" s="189">
        <f t="shared" si="76"/>
        <v>2</v>
      </c>
      <c r="I135" s="189">
        <f t="shared" si="76"/>
        <v>2</v>
      </c>
      <c r="J135" s="189">
        <f t="shared" si="76"/>
        <v>2</v>
      </c>
      <c r="K135" s="189">
        <f t="shared" si="76"/>
        <v>2</v>
      </c>
      <c r="L135" s="189">
        <f t="shared" si="76"/>
        <v>2</v>
      </c>
      <c r="M135" s="189">
        <f t="shared" si="76"/>
        <v>2</v>
      </c>
      <c r="N135" s="189">
        <f t="shared" si="76"/>
        <v>2</v>
      </c>
      <c r="O135" s="189">
        <f t="shared" si="76"/>
        <v>2</v>
      </c>
      <c r="P135" s="189">
        <f t="shared" si="76"/>
        <v>2</v>
      </c>
      <c r="Q135" s="189">
        <f t="shared" si="76"/>
        <v>2</v>
      </c>
      <c r="R135" s="189">
        <f t="shared" si="76"/>
        <v>2</v>
      </c>
    </row>
    <row r="136" spans="1:25" ht="19.2" x14ac:dyDescent="0.5">
      <c r="A136" s="186"/>
      <c r="B136" s="186" t="s">
        <v>206</v>
      </c>
      <c r="C136" s="186"/>
      <c r="D136" s="188" t="s">
        <v>207</v>
      </c>
      <c r="E136" s="188" t="s">
        <v>103</v>
      </c>
      <c r="F136" s="189">
        <f t="shared" ref="F136:R136" si="77">F11/F135</f>
        <v>6.8750000000000009</v>
      </c>
      <c r="G136" s="189">
        <f t="shared" si="77"/>
        <v>3.1097000000000001</v>
      </c>
      <c r="H136" s="189">
        <f t="shared" si="77"/>
        <v>6.2502000000000013</v>
      </c>
      <c r="I136" s="189">
        <f t="shared" si="77"/>
        <v>6.8750000000000009</v>
      </c>
      <c r="J136" s="189">
        <f t="shared" si="77"/>
        <v>6.8750000000000009</v>
      </c>
      <c r="K136" s="189">
        <f t="shared" si="77"/>
        <v>6.8750000000000009</v>
      </c>
      <c r="L136" s="189">
        <f t="shared" si="77"/>
        <v>6.8750000000000009</v>
      </c>
      <c r="M136" s="189">
        <f t="shared" si="77"/>
        <v>6.8750000000000009</v>
      </c>
      <c r="N136" s="189">
        <f t="shared" si="77"/>
        <v>3.6707000000000005</v>
      </c>
      <c r="O136" s="189">
        <f t="shared" si="77"/>
        <v>2.8182</v>
      </c>
      <c r="P136" s="189">
        <f t="shared" si="77"/>
        <v>2.2572000000000001</v>
      </c>
      <c r="Q136" s="189">
        <f t="shared" si="77"/>
        <v>2.1582000000000003</v>
      </c>
      <c r="R136" s="189">
        <f t="shared" si="77"/>
        <v>2.1857000000000002</v>
      </c>
    </row>
    <row r="137" spans="1:25" ht="19.2" x14ac:dyDescent="0.5">
      <c r="A137" s="186"/>
      <c r="B137" s="186" t="s">
        <v>150</v>
      </c>
      <c r="C137" s="186"/>
      <c r="D137" s="187"/>
      <c r="E137" s="188" t="s">
        <v>4</v>
      </c>
      <c r="F137" s="189">
        <v>2</v>
      </c>
      <c r="G137" s="189">
        <f>+F137</f>
        <v>2</v>
      </c>
      <c r="H137" s="189">
        <f t="shared" ref="H137:R139" si="78">+G137</f>
        <v>2</v>
      </c>
      <c r="I137" s="189">
        <f t="shared" si="78"/>
        <v>2</v>
      </c>
      <c r="J137" s="189">
        <f t="shared" si="78"/>
        <v>2</v>
      </c>
      <c r="K137" s="189">
        <f t="shared" si="78"/>
        <v>2</v>
      </c>
      <c r="L137" s="189">
        <f t="shared" si="78"/>
        <v>2</v>
      </c>
      <c r="M137" s="189">
        <f t="shared" si="78"/>
        <v>2</v>
      </c>
      <c r="N137" s="189">
        <f t="shared" si="78"/>
        <v>2</v>
      </c>
      <c r="O137" s="189">
        <f t="shared" si="78"/>
        <v>2</v>
      </c>
      <c r="P137" s="189">
        <f t="shared" si="78"/>
        <v>2</v>
      </c>
      <c r="Q137" s="189">
        <f t="shared" si="78"/>
        <v>2</v>
      </c>
      <c r="R137" s="189">
        <f t="shared" si="78"/>
        <v>2</v>
      </c>
    </row>
    <row r="138" spans="1:25" ht="19.2" x14ac:dyDescent="0.5">
      <c r="A138" s="186"/>
      <c r="B138" s="186" t="s">
        <v>175</v>
      </c>
      <c r="C138" s="186"/>
      <c r="D138" s="187"/>
      <c r="E138" s="188" t="s">
        <v>4</v>
      </c>
      <c r="F138" s="224">
        <v>2.25</v>
      </c>
      <c r="G138" s="224">
        <f>+F138</f>
        <v>2.25</v>
      </c>
      <c r="H138" s="224">
        <f>+G138</f>
        <v>2.25</v>
      </c>
      <c r="I138" s="224">
        <f t="shared" si="78"/>
        <v>2.25</v>
      </c>
      <c r="J138" s="224">
        <f t="shared" si="78"/>
        <v>2.25</v>
      </c>
      <c r="K138" s="224">
        <f t="shared" si="78"/>
        <v>2.25</v>
      </c>
      <c r="L138" s="224">
        <f t="shared" si="78"/>
        <v>2.25</v>
      </c>
      <c r="M138" s="224">
        <f t="shared" si="78"/>
        <v>2.25</v>
      </c>
      <c r="N138" s="224">
        <f t="shared" si="78"/>
        <v>2.25</v>
      </c>
      <c r="O138" s="224">
        <f t="shared" si="78"/>
        <v>2.25</v>
      </c>
      <c r="P138" s="224">
        <f t="shared" si="78"/>
        <v>2.25</v>
      </c>
      <c r="Q138" s="224">
        <f t="shared" si="78"/>
        <v>2.25</v>
      </c>
      <c r="R138" s="224">
        <f t="shared" si="78"/>
        <v>2.25</v>
      </c>
    </row>
    <row r="139" spans="1:25" ht="19.2" x14ac:dyDescent="0.5">
      <c r="A139" s="186"/>
      <c r="B139" s="186" t="s">
        <v>173</v>
      </c>
      <c r="C139" s="186"/>
      <c r="D139" s="187" t="s">
        <v>208</v>
      </c>
      <c r="E139" s="188" t="s">
        <v>4</v>
      </c>
      <c r="F139" s="189">
        <v>21.58</v>
      </c>
      <c r="G139" s="189">
        <f>+F139</f>
        <v>21.58</v>
      </c>
      <c r="H139" s="189">
        <f>+G139</f>
        <v>21.58</v>
      </c>
      <c r="I139" s="189">
        <f t="shared" si="78"/>
        <v>21.58</v>
      </c>
      <c r="J139" s="189">
        <f t="shared" si="78"/>
        <v>21.58</v>
      </c>
      <c r="K139" s="189">
        <f t="shared" si="78"/>
        <v>21.58</v>
      </c>
      <c r="L139" s="189">
        <f t="shared" si="78"/>
        <v>21.58</v>
      </c>
      <c r="M139" s="189">
        <f t="shared" si="78"/>
        <v>21.58</v>
      </c>
      <c r="N139" s="189">
        <f t="shared" si="78"/>
        <v>21.58</v>
      </c>
      <c r="O139" s="189">
        <f t="shared" si="78"/>
        <v>21.58</v>
      </c>
      <c r="P139" s="189">
        <f t="shared" si="78"/>
        <v>21.58</v>
      </c>
      <c r="Q139" s="189">
        <f t="shared" si="78"/>
        <v>21.58</v>
      </c>
      <c r="R139" s="189">
        <f t="shared" si="78"/>
        <v>21.58</v>
      </c>
    </row>
    <row r="140" spans="1:25" ht="19.2" x14ac:dyDescent="0.5">
      <c r="A140" s="186"/>
      <c r="B140" s="186" t="s">
        <v>209</v>
      </c>
      <c r="C140" s="186"/>
      <c r="D140" s="187"/>
      <c r="E140" s="188" t="s">
        <v>153</v>
      </c>
      <c r="F140" s="189">
        <f>F137*F138</f>
        <v>4.5</v>
      </c>
      <c r="G140" s="189">
        <f t="shared" ref="G140:R140" si="79">G137*G138</f>
        <v>4.5</v>
      </c>
      <c r="H140" s="189">
        <f t="shared" si="79"/>
        <v>4.5</v>
      </c>
      <c r="I140" s="189">
        <f t="shared" si="79"/>
        <v>4.5</v>
      </c>
      <c r="J140" s="189">
        <f t="shared" si="79"/>
        <v>4.5</v>
      </c>
      <c r="K140" s="189">
        <f t="shared" si="79"/>
        <v>4.5</v>
      </c>
      <c r="L140" s="189">
        <f t="shared" si="79"/>
        <v>4.5</v>
      </c>
      <c r="M140" s="189">
        <f t="shared" si="79"/>
        <v>4.5</v>
      </c>
      <c r="N140" s="189">
        <f t="shared" si="79"/>
        <v>4.5</v>
      </c>
      <c r="O140" s="189">
        <f t="shared" si="79"/>
        <v>4.5</v>
      </c>
      <c r="P140" s="189">
        <f t="shared" si="79"/>
        <v>4.5</v>
      </c>
      <c r="Q140" s="189">
        <f t="shared" si="79"/>
        <v>4.5</v>
      </c>
      <c r="R140" s="189">
        <f t="shared" si="79"/>
        <v>4.5</v>
      </c>
    </row>
    <row r="141" spans="1:25" ht="19.2" x14ac:dyDescent="0.5">
      <c r="A141" s="186"/>
      <c r="B141" s="186" t="s">
        <v>183</v>
      </c>
      <c r="C141" s="186"/>
      <c r="D141" s="187"/>
      <c r="E141" s="188" t="s">
        <v>4</v>
      </c>
      <c r="F141" s="189">
        <f>2*F138+F137</f>
        <v>6.5</v>
      </c>
      <c r="G141" s="189">
        <f t="shared" ref="G141:R141" si="80">2*G138+G137</f>
        <v>6.5</v>
      </c>
      <c r="H141" s="189">
        <f t="shared" si="80"/>
        <v>6.5</v>
      </c>
      <c r="I141" s="189">
        <f t="shared" si="80"/>
        <v>6.5</v>
      </c>
      <c r="J141" s="189">
        <f t="shared" si="80"/>
        <v>6.5</v>
      </c>
      <c r="K141" s="189">
        <f t="shared" si="80"/>
        <v>6.5</v>
      </c>
      <c r="L141" s="189">
        <f t="shared" si="80"/>
        <v>6.5</v>
      </c>
      <c r="M141" s="189">
        <f t="shared" si="80"/>
        <v>6.5</v>
      </c>
      <c r="N141" s="189">
        <f t="shared" si="80"/>
        <v>6.5</v>
      </c>
      <c r="O141" s="189">
        <f t="shared" si="80"/>
        <v>6.5</v>
      </c>
      <c r="P141" s="189">
        <f t="shared" si="80"/>
        <v>6.5</v>
      </c>
      <c r="Q141" s="189">
        <f t="shared" si="80"/>
        <v>6.5</v>
      </c>
      <c r="R141" s="189">
        <f t="shared" si="80"/>
        <v>6.5</v>
      </c>
    </row>
    <row r="142" spans="1:25" ht="19.2" x14ac:dyDescent="0.5">
      <c r="A142" s="186"/>
      <c r="B142" s="186" t="s">
        <v>184</v>
      </c>
      <c r="C142" s="186"/>
      <c r="D142" s="187" t="s">
        <v>210</v>
      </c>
      <c r="E142" s="188" t="s">
        <v>4</v>
      </c>
      <c r="F142" s="189">
        <f>F140/F141</f>
        <v>0.69230769230769229</v>
      </c>
      <c r="G142" s="189">
        <f t="shared" ref="G142:R142" si="81">G140/G141</f>
        <v>0.69230769230769229</v>
      </c>
      <c r="H142" s="189">
        <f t="shared" si="81"/>
        <v>0.69230769230769229</v>
      </c>
      <c r="I142" s="189">
        <f t="shared" si="81"/>
        <v>0.69230769230769229</v>
      </c>
      <c r="J142" s="189">
        <f t="shared" si="81"/>
        <v>0.69230769230769229</v>
      </c>
      <c r="K142" s="189">
        <f t="shared" si="81"/>
        <v>0.69230769230769229</v>
      </c>
      <c r="L142" s="189">
        <f t="shared" si="81"/>
        <v>0.69230769230769229</v>
      </c>
      <c r="M142" s="189">
        <f t="shared" si="81"/>
        <v>0.69230769230769229</v>
      </c>
      <c r="N142" s="189">
        <f t="shared" si="81"/>
        <v>0.69230769230769229</v>
      </c>
      <c r="O142" s="189">
        <f t="shared" si="81"/>
        <v>0.69230769230769229</v>
      </c>
      <c r="P142" s="189">
        <f t="shared" si="81"/>
        <v>0.69230769230769229</v>
      </c>
      <c r="Q142" s="189">
        <f t="shared" si="81"/>
        <v>0.69230769230769229</v>
      </c>
      <c r="R142" s="189">
        <f t="shared" si="81"/>
        <v>0.69230769230769229</v>
      </c>
      <c r="X142" s="114">
        <f>$F$140/$F$141</f>
        <v>0.69230769230769229</v>
      </c>
    </row>
    <row r="143" spans="1:25" ht="19.2" x14ac:dyDescent="0.5">
      <c r="A143" s="186"/>
      <c r="B143" s="186"/>
      <c r="C143" s="186"/>
      <c r="D143" s="187"/>
      <c r="E143" s="188"/>
      <c r="F143" s="189"/>
      <c r="G143" s="189"/>
      <c r="H143" s="186"/>
      <c r="I143" s="186"/>
      <c r="J143" s="186"/>
      <c r="K143" s="186"/>
      <c r="L143" s="189"/>
      <c r="M143" s="189"/>
      <c r="N143" s="189"/>
      <c r="O143" s="189"/>
      <c r="P143" s="189"/>
      <c r="Q143" s="189"/>
      <c r="R143" s="189"/>
      <c r="X143" s="114"/>
    </row>
    <row r="144" spans="1:25" ht="19.2" x14ac:dyDescent="0.5">
      <c r="A144" s="186"/>
      <c r="B144" s="186" t="s">
        <v>211</v>
      </c>
      <c r="C144" s="186"/>
      <c r="D144" s="187"/>
      <c r="E144" s="188"/>
      <c r="F144" s="189">
        <f t="shared" ref="F144:R144" si="82">+F9*1.1</f>
        <v>13.750000000000002</v>
      </c>
      <c r="G144" s="189">
        <f t="shared" si="82"/>
        <v>6.2194000000000003</v>
      </c>
      <c r="H144" s="189">
        <f t="shared" si="82"/>
        <v>12.500400000000003</v>
      </c>
      <c r="I144" s="189">
        <f t="shared" si="82"/>
        <v>13.750000000000002</v>
      </c>
      <c r="J144" s="189">
        <f t="shared" si="82"/>
        <v>13.750000000000002</v>
      </c>
      <c r="K144" s="189">
        <f t="shared" si="82"/>
        <v>13.750000000000002</v>
      </c>
      <c r="L144" s="189">
        <f t="shared" si="82"/>
        <v>13.750000000000002</v>
      </c>
      <c r="M144" s="189">
        <f t="shared" si="82"/>
        <v>13.750000000000002</v>
      </c>
      <c r="N144" s="189">
        <f t="shared" si="82"/>
        <v>7.341400000000001</v>
      </c>
      <c r="O144" s="189">
        <f t="shared" si="82"/>
        <v>5.6364000000000001</v>
      </c>
      <c r="P144" s="189">
        <f t="shared" si="82"/>
        <v>4.5144000000000002</v>
      </c>
      <c r="Q144" s="189">
        <f t="shared" si="82"/>
        <v>4.3164000000000007</v>
      </c>
      <c r="R144" s="189">
        <f t="shared" si="82"/>
        <v>4.3714000000000004</v>
      </c>
      <c r="X144" s="114"/>
    </row>
    <row r="145" spans="1:26" ht="19.2" x14ac:dyDescent="0.5">
      <c r="A145" s="186"/>
      <c r="B145" s="186" t="s">
        <v>212</v>
      </c>
      <c r="C145" s="186"/>
      <c r="D145" s="187"/>
      <c r="E145" s="188"/>
      <c r="F145" s="189">
        <v>2</v>
      </c>
      <c r="G145" s="189">
        <f>+F145</f>
        <v>2</v>
      </c>
      <c r="H145" s="189">
        <f t="shared" ref="H145:R145" si="83">+G145</f>
        <v>2</v>
      </c>
      <c r="I145" s="189">
        <f t="shared" si="83"/>
        <v>2</v>
      </c>
      <c r="J145" s="189">
        <f t="shared" si="83"/>
        <v>2</v>
      </c>
      <c r="K145" s="189">
        <f t="shared" si="83"/>
        <v>2</v>
      </c>
      <c r="L145" s="189">
        <f t="shared" si="83"/>
        <v>2</v>
      </c>
      <c r="M145" s="189">
        <f t="shared" si="83"/>
        <v>2</v>
      </c>
      <c r="N145" s="189">
        <f t="shared" si="83"/>
        <v>2</v>
      </c>
      <c r="O145" s="189">
        <f t="shared" si="83"/>
        <v>2</v>
      </c>
      <c r="P145" s="189">
        <f t="shared" si="83"/>
        <v>2</v>
      </c>
      <c r="Q145" s="189">
        <f t="shared" si="83"/>
        <v>2</v>
      </c>
      <c r="R145" s="189">
        <f t="shared" si="83"/>
        <v>2</v>
      </c>
      <c r="X145" s="114"/>
    </row>
    <row r="146" spans="1:26" ht="19.2" x14ac:dyDescent="0.5">
      <c r="A146" s="186"/>
      <c r="B146" s="186" t="s">
        <v>206</v>
      </c>
      <c r="C146" s="186"/>
      <c r="D146" s="187"/>
      <c r="E146" s="188"/>
      <c r="F146" s="189">
        <f>F144/F145</f>
        <v>6.8750000000000009</v>
      </c>
      <c r="G146" s="189">
        <f t="shared" ref="G146:R146" si="84">G144/G145</f>
        <v>3.1097000000000001</v>
      </c>
      <c r="H146" s="189">
        <f t="shared" si="84"/>
        <v>6.2502000000000013</v>
      </c>
      <c r="I146" s="189">
        <f t="shared" si="84"/>
        <v>6.8750000000000009</v>
      </c>
      <c r="J146" s="189">
        <f t="shared" si="84"/>
        <v>6.8750000000000009</v>
      </c>
      <c r="K146" s="189">
        <f t="shared" si="84"/>
        <v>6.8750000000000009</v>
      </c>
      <c r="L146" s="189">
        <f t="shared" si="84"/>
        <v>6.8750000000000009</v>
      </c>
      <c r="M146" s="189">
        <f t="shared" si="84"/>
        <v>6.8750000000000009</v>
      </c>
      <c r="N146" s="189">
        <f t="shared" si="84"/>
        <v>3.6707000000000005</v>
      </c>
      <c r="O146" s="189">
        <f t="shared" si="84"/>
        <v>2.8182</v>
      </c>
      <c r="P146" s="189">
        <f t="shared" si="84"/>
        <v>2.2572000000000001</v>
      </c>
      <c r="Q146" s="189">
        <f t="shared" si="84"/>
        <v>2.1582000000000003</v>
      </c>
      <c r="R146" s="189">
        <f t="shared" si="84"/>
        <v>2.1857000000000002</v>
      </c>
      <c r="X146" s="114"/>
    </row>
    <row r="147" spans="1:26" ht="19.2" x14ac:dyDescent="0.5">
      <c r="A147" s="186"/>
      <c r="B147" s="186"/>
      <c r="C147" s="186"/>
      <c r="D147" s="187"/>
      <c r="E147" s="188"/>
      <c r="F147" s="194"/>
      <c r="G147" s="194"/>
      <c r="H147" s="194"/>
      <c r="I147" s="194"/>
      <c r="J147" s="194"/>
      <c r="K147" s="194"/>
      <c r="L147" s="194"/>
      <c r="M147" s="194"/>
      <c r="N147" s="194"/>
      <c r="O147" s="194"/>
      <c r="P147" s="194"/>
      <c r="Q147" s="194"/>
      <c r="R147" s="194"/>
      <c r="Z147" s="121"/>
    </row>
    <row r="148" spans="1:26" ht="14.25" customHeight="1" x14ac:dyDescent="0.5">
      <c r="A148" s="186"/>
      <c r="B148" s="186" t="s">
        <v>154</v>
      </c>
      <c r="C148" s="186"/>
      <c r="D148" s="187" t="s">
        <v>213</v>
      </c>
      <c r="E148" s="188" t="s">
        <v>117</v>
      </c>
      <c r="F148" s="190">
        <f>F146/F149</f>
        <v>1.5277777777777779</v>
      </c>
      <c r="G148" s="190">
        <f t="shared" ref="G148:R148" si="85">G146/G149</f>
        <v>0.69104444444444446</v>
      </c>
      <c r="H148" s="190">
        <f t="shared" si="85"/>
        <v>1.3889333333333336</v>
      </c>
      <c r="I148" s="190">
        <f t="shared" si="85"/>
        <v>1.5277777777777779</v>
      </c>
      <c r="J148" s="190">
        <f t="shared" si="85"/>
        <v>1.5277777777777779</v>
      </c>
      <c r="K148" s="190">
        <f t="shared" si="85"/>
        <v>1.5277777777777779</v>
      </c>
      <c r="L148" s="190">
        <f t="shared" si="85"/>
        <v>1.5277777777777779</v>
      </c>
      <c r="M148" s="190">
        <f t="shared" si="85"/>
        <v>1.5277777777777779</v>
      </c>
      <c r="N148" s="190">
        <f t="shared" si="85"/>
        <v>0.81571111111111128</v>
      </c>
      <c r="O148" s="190">
        <f t="shared" si="85"/>
        <v>0.62626666666666664</v>
      </c>
      <c r="P148" s="190">
        <f t="shared" si="85"/>
        <v>0.50160000000000005</v>
      </c>
      <c r="Q148" s="190">
        <f t="shared" si="85"/>
        <v>0.47960000000000008</v>
      </c>
      <c r="R148" s="190">
        <f t="shared" si="85"/>
        <v>0.48571111111111115</v>
      </c>
      <c r="X148" s="114">
        <f>'[13]Approach Culvert '!$G$44</f>
        <v>0.32870833333333327</v>
      </c>
    </row>
    <row r="149" spans="1:26" ht="19.2" x14ac:dyDescent="0.5">
      <c r="A149" s="186"/>
      <c r="B149" s="186" t="s">
        <v>214</v>
      </c>
      <c r="C149" s="186"/>
      <c r="D149" s="187"/>
      <c r="E149" s="188" t="s">
        <v>153</v>
      </c>
      <c r="F149" s="189">
        <f>F137*F138</f>
        <v>4.5</v>
      </c>
      <c r="G149" s="189">
        <f t="shared" ref="G149:R149" si="86">G137*G138</f>
        <v>4.5</v>
      </c>
      <c r="H149" s="189">
        <f t="shared" si="86"/>
        <v>4.5</v>
      </c>
      <c r="I149" s="189">
        <f t="shared" si="86"/>
        <v>4.5</v>
      </c>
      <c r="J149" s="189">
        <f t="shared" si="86"/>
        <v>4.5</v>
      </c>
      <c r="K149" s="189">
        <f t="shared" si="86"/>
        <v>4.5</v>
      </c>
      <c r="L149" s="189">
        <f t="shared" si="86"/>
        <v>4.5</v>
      </c>
      <c r="M149" s="189">
        <f t="shared" si="86"/>
        <v>4.5</v>
      </c>
      <c r="N149" s="189">
        <f t="shared" si="86"/>
        <v>4.5</v>
      </c>
      <c r="O149" s="189">
        <f t="shared" si="86"/>
        <v>4.5</v>
      </c>
      <c r="P149" s="189">
        <f t="shared" si="86"/>
        <v>4.5</v>
      </c>
      <c r="Q149" s="189">
        <f t="shared" si="86"/>
        <v>4.5</v>
      </c>
      <c r="R149" s="189">
        <f t="shared" si="86"/>
        <v>4.5</v>
      </c>
      <c r="X149" s="114">
        <f>$F$11/$F$148</f>
        <v>9</v>
      </c>
    </row>
    <row r="150" spans="1:26" ht="19.2" x14ac:dyDescent="0.5">
      <c r="A150" s="186"/>
      <c r="B150" s="186" t="s">
        <v>118</v>
      </c>
      <c r="C150" s="186"/>
      <c r="D150" s="187" t="s">
        <v>215</v>
      </c>
      <c r="E150" s="188" t="s">
        <v>4</v>
      </c>
      <c r="F150" s="218">
        <f>F148^2/(2*9.81)</f>
        <v>0.11896559318407773</v>
      </c>
      <c r="G150" s="218">
        <f t="shared" ref="G150:R150" si="87">G148^2/(2*9.81)</f>
        <v>2.4339573098752849E-2</v>
      </c>
      <c r="H150" s="218">
        <f t="shared" si="87"/>
        <v>9.8324964548646532E-2</v>
      </c>
      <c r="I150" s="218">
        <f t="shared" si="87"/>
        <v>0.11896559318407773</v>
      </c>
      <c r="J150" s="218">
        <f t="shared" si="87"/>
        <v>0.11896559318407773</v>
      </c>
      <c r="K150" s="218">
        <f t="shared" si="87"/>
        <v>0.11896559318407773</v>
      </c>
      <c r="L150" s="218">
        <f t="shared" si="87"/>
        <v>0.11896559318407773</v>
      </c>
      <c r="M150" s="218">
        <f t="shared" si="87"/>
        <v>0.11896559318407773</v>
      </c>
      <c r="N150" s="218">
        <f t="shared" si="87"/>
        <v>3.3913589031097029E-2</v>
      </c>
      <c r="O150" s="218">
        <f t="shared" si="87"/>
        <v>1.9990312832710383E-2</v>
      </c>
      <c r="P150" s="218">
        <f t="shared" si="87"/>
        <v>1.2823779816513762E-2</v>
      </c>
      <c r="Q150" s="218">
        <f t="shared" si="87"/>
        <v>1.1723555555555558E-2</v>
      </c>
      <c r="R150" s="218">
        <f t="shared" si="87"/>
        <v>1.2024224437145268E-2</v>
      </c>
    </row>
    <row r="151" spans="1:26" s="172" customFormat="1" ht="20.399999999999999" x14ac:dyDescent="0.5">
      <c r="A151" s="210"/>
      <c r="B151" s="210" t="s">
        <v>216</v>
      </c>
      <c r="C151" s="210" t="s">
        <v>494</v>
      </c>
      <c r="D151" s="211"/>
      <c r="E151" s="212" t="s">
        <v>4</v>
      </c>
      <c r="F151" s="215">
        <f t="shared" ref="F151:R151" si="88">(F148*F134/F142^(2/3))^2*F139</f>
        <v>1.8504987372203983E-2</v>
      </c>
      <c r="G151" s="215">
        <f t="shared" si="88"/>
        <v>3.7859979577485009E-3</v>
      </c>
      <c r="H151" s="215">
        <f t="shared" si="88"/>
        <v>1.5294356785409016E-2</v>
      </c>
      <c r="I151" s="215">
        <f t="shared" si="88"/>
        <v>1.8504987372203983E-2</v>
      </c>
      <c r="J151" s="215">
        <f t="shared" si="88"/>
        <v>1.8504987372203983E-2</v>
      </c>
      <c r="K151" s="215">
        <f t="shared" si="88"/>
        <v>1.8504987372203983E-2</v>
      </c>
      <c r="L151" s="215">
        <f t="shared" si="88"/>
        <v>1.8504987372203983E-2</v>
      </c>
      <c r="M151" s="215">
        <f t="shared" si="88"/>
        <v>1.8504987372203983E-2</v>
      </c>
      <c r="N151" s="215">
        <f t="shared" si="88"/>
        <v>5.2752272314190371E-3</v>
      </c>
      <c r="O151" s="215">
        <f t="shared" si="88"/>
        <v>3.1094745685277909E-3</v>
      </c>
      <c r="P151" s="215">
        <f t="shared" si="88"/>
        <v>1.9947270233110726E-3</v>
      </c>
      <c r="Q151" s="215">
        <f t="shared" si="88"/>
        <v>1.8235881628161637E-3</v>
      </c>
      <c r="R151" s="215">
        <f t="shared" si="88"/>
        <v>1.8703569277011764E-3</v>
      </c>
      <c r="S151" s="173">
        <f>S95-F151</f>
        <v>2481.880169723715</v>
      </c>
      <c r="T151" s="174">
        <f>S151-F150</f>
        <v>2481.761204130531</v>
      </c>
      <c r="U151" s="176"/>
      <c r="V151" s="168">
        <f>$T$20-T151</f>
        <v>0.2387958694689587</v>
      </c>
      <c r="X151" s="178">
        <f>(($F$134^2)*($F$136^2)*$F$139)/($F$140^2*$F$142^(4/3))</f>
        <v>1.850498737220398E-2</v>
      </c>
      <c r="Y151" s="179" t="s">
        <v>217</v>
      </c>
    </row>
    <row r="152" spans="1:26" s="155" customFormat="1" ht="19.2" x14ac:dyDescent="0.5">
      <c r="A152" s="191"/>
      <c r="B152" s="191" t="s">
        <v>170</v>
      </c>
      <c r="C152" s="191"/>
      <c r="D152" s="192" t="s">
        <v>2</v>
      </c>
      <c r="E152" s="183"/>
      <c r="F152" s="193">
        <f t="shared" ref="F152:R152" si="89">+F130-F151</f>
        <v>2480.8481287066479</v>
      </c>
      <c r="G152" s="193">
        <f t="shared" si="89"/>
        <v>2481.7643347560033</v>
      </c>
      <c r="H152" s="193">
        <f t="shared" si="89"/>
        <v>2481.0479793270306</v>
      </c>
      <c r="I152" s="193">
        <f t="shared" si="89"/>
        <v>2480.8481287066479</v>
      </c>
      <c r="J152" s="193">
        <f t="shared" si="89"/>
        <v>2480.8481287066479</v>
      </c>
      <c r="K152" s="193">
        <f t="shared" si="89"/>
        <v>2480.8481287066479</v>
      </c>
      <c r="L152" s="193">
        <f t="shared" si="89"/>
        <v>2480.8481287066479</v>
      </c>
      <c r="M152" s="193">
        <f t="shared" si="89"/>
        <v>2480.8481287066479</v>
      </c>
      <c r="N152" s="193">
        <f t="shared" si="89"/>
        <v>2481.671635397985</v>
      </c>
      <c r="O152" s="193">
        <f t="shared" si="89"/>
        <v>2481.8064459909729</v>
      </c>
      <c r="P152" s="193">
        <f t="shared" si="89"/>
        <v>2481.8758351600022</v>
      </c>
      <c r="Q152" s="193">
        <f t="shared" si="89"/>
        <v>2481.8864879606022</v>
      </c>
      <c r="R152" s="193">
        <f t="shared" si="89"/>
        <v>2481.8835767671703</v>
      </c>
      <c r="S152" s="157"/>
      <c r="T152" s="158"/>
      <c r="U152" s="159"/>
      <c r="V152" s="160"/>
      <c r="X152" s="161"/>
      <c r="Y152" s="162"/>
    </row>
    <row r="153" spans="1:26" s="155" customFormat="1" ht="19.2" x14ac:dyDescent="0.5">
      <c r="A153" s="191"/>
      <c r="B153" s="191" t="s">
        <v>145</v>
      </c>
      <c r="C153" s="191"/>
      <c r="D153" s="192" t="s">
        <v>2</v>
      </c>
      <c r="E153" s="183"/>
      <c r="F153" s="193">
        <f t="shared" ref="F153:R153" si="90">+F152-F150</f>
        <v>2480.729163113464</v>
      </c>
      <c r="G153" s="193">
        <f t="shared" si="90"/>
        <v>2481.7399951829047</v>
      </c>
      <c r="H153" s="193">
        <f t="shared" si="90"/>
        <v>2480.9496543624819</v>
      </c>
      <c r="I153" s="193">
        <f t="shared" si="90"/>
        <v>2480.729163113464</v>
      </c>
      <c r="J153" s="193">
        <f t="shared" si="90"/>
        <v>2480.729163113464</v>
      </c>
      <c r="K153" s="193">
        <f t="shared" si="90"/>
        <v>2480.729163113464</v>
      </c>
      <c r="L153" s="193">
        <f t="shared" si="90"/>
        <v>2480.729163113464</v>
      </c>
      <c r="M153" s="193">
        <f t="shared" si="90"/>
        <v>2480.729163113464</v>
      </c>
      <c r="N153" s="193">
        <f t="shared" si="90"/>
        <v>2481.6377218089538</v>
      </c>
      <c r="O153" s="193">
        <f t="shared" si="90"/>
        <v>2481.7864556781401</v>
      </c>
      <c r="P153" s="193">
        <f t="shared" si="90"/>
        <v>2481.8630113801855</v>
      </c>
      <c r="Q153" s="193">
        <f t="shared" si="90"/>
        <v>2481.8747644050468</v>
      </c>
      <c r="R153" s="193">
        <f t="shared" si="90"/>
        <v>2481.8715525427333</v>
      </c>
      <c r="S153" s="157"/>
      <c r="T153" s="158"/>
      <c r="U153" s="159"/>
      <c r="V153" s="160"/>
      <c r="X153" s="161"/>
      <c r="Y153" s="162"/>
    </row>
    <row r="154" spans="1:26" ht="19.2" hidden="1" x14ac:dyDescent="0.5">
      <c r="A154" s="186"/>
      <c r="B154" s="186"/>
      <c r="C154" s="186"/>
      <c r="D154" s="187"/>
      <c r="E154" s="188"/>
      <c r="F154" s="218"/>
      <c r="G154" s="218"/>
      <c r="H154" s="218"/>
      <c r="I154" s="218"/>
      <c r="J154" s="218"/>
      <c r="K154" s="218"/>
      <c r="L154" s="218"/>
      <c r="M154" s="218"/>
      <c r="N154" s="218"/>
      <c r="O154" s="218"/>
      <c r="P154" s="218"/>
      <c r="Q154" s="218"/>
      <c r="R154" s="218"/>
      <c r="S154" s="122"/>
      <c r="T154" s="123"/>
      <c r="U154" s="124"/>
      <c r="V154" s="125"/>
      <c r="X154" s="114"/>
      <c r="Y154" s="133"/>
    </row>
    <row r="155" spans="1:26" ht="19.2" hidden="1" x14ac:dyDescent="0.5">
      <c r="A155" s="186"/>
      <c r="B155" s="186"/>
      <c r="C155" s="186"/>
      <c r="D155" s="187"/>
      <c r="E155" s="188"/>
      <c r="F155" s="218"/>
      <c r="G155" s="218"/>
      <c r="H155" s="218"/>
      <c r="I155" s="218"/>
      <c r="J155" s="218"/>
      <c r="K155" s="218"/>
      <c r="L155" s="218"/>
      <c r="M155" s="218"/>
      <c r="N155" s="218"/>
      <c r="O155" s="218"/>
      <c r="P155" s="218"/>
      <c r="Q155" s="218"/>
      <c r="R155" s="218"/>
      <c r="S155" s="122"/>
      <c r="T155" s="123"/>
      <c r="U155" s="124"/>
      <c r="V155" s="125"/>
      <c r="X155" s="114"/>
      <c r="Y155" s="133"/>
    </row>
    <row r="156" spans="1:26" ht="21.75" hidden="1" customHeight="1" x14ac:dyDescent="0.5">
      <c r="A156" s="186"/>
      <c r="B156" s="186"/>
      <c r="C156" s="186"/>
      <c r="D156" s="187"/>
      <c r="E156" s="188"/>
      <c r="F156" s="218"/>
      <c r="G156" s="218"/>
      <c r="H156" s="218"/>
      <c r="I156" s="218"/>
      <c r="J156" s="218"/>
      <c r="K156" s="218"/>
      <c r="L156" s="218"/>
      <c r="M156" s="218"/>
      <c r="N156" s="218"/>
      <c r="O156" s="218"/>
      <c r="P156" s="218"/>
      <c r="Q156" s="218"/>
      <c r="R156" s="218"/>
      <c r="S156" s="122"/>
      <c r="T156" s="123"/>
      <c r="U156" s="124"/>
      <c r="V156" s="125"/>
      <c r="X156" s="114"/>
      <c r="Y156" s="133"/>
    </row>
    <row r="157" spans="1:26" ht="19.2" hidden="1" x14ac:dyDescent="0.5">
      <c r="A157" s="199"/>
      <c r="B157" s="186" t="s">
        <v>226</v>
      </c>
      <c r="C157" s="186"/>
      <c r="D157" s="187"/>
      <c r="E157" s="188" t="s">
        <v>2</v>
      </c>
      <c r="F157" s="190">
        <f t="shared" ref="F157:R157" si="91">F152</f>
        <v>2480.8481287066479</v>
      </c>
      <c r="G157" s="190">
        <f t="shared" si="91"/>
        <v>2481.7643347560033</v>
      </c>
      <c r="H157" s="190">
        <f t="shared" si="91"/>
        <v>2481.0479793270306</v>
      </c>
      <c r="I157" s="190">
        <f t="shared" si="91"/>
        <v>2480.8481287066479</v>
      </c>
      <c r="J157" s="190">
        <f t="shared" si="91"/>
        <v>2480.8481287066479</v>
      </c>
      <c r="K157" s="190">
        <f t="shared" si="91"/>
        <v>2480.8481287066479</v>
      </c>
      <c r="L157" s="190">
        <f t="shared" si="91"/>
        <v>2480.8481287066479</v>
      </c>
      <c r="M157" s="190">
        <f t="shared" si="91"/>
        <v>2480.8481287066479</v>
      </c>
      <c r="N157" s="190">
        <f t="shared" si="91"/>
        <v>2481.671635397985</v>
      </c>
      <c r="O157" s="190">
        <f t="shared" si="91"/>
        <v>2481.8064459909729</v>
      </c>
      <c r="P157" s="190">
        <f t="shared" si="91"/>
        <v>2481.8758351600022</v>
      </c>
      <c r="Q157" s="190">
        <f t="shared" si="91"/>
        <v>2481.8864879606022</v>
      </c>
      <c r="R157" s="190">
        <f t="shared" si="91"/>
        <v>2481.8835767671703</v>
      </c>
      <c r="S157" s="122"/>
      <c r="T157" s="123"/>
      <c r="U157" s="124"/>
      <c r="V157" s="125"/>
      <c r="X157" s="114"/>
      <c r="Y157" s="133"/>
    </row>
    <row r="158" spans="1:26" ht="19.2" hidden="1" x14ac:dyDescent="0.5">
      <c r="A158" s="199"/>
      <c r="B158" s="186" t="s">
        <v>145</v>
      </c>
      <c r="C158" s="186"/>
      <c r="D158" s="187"/>
      <c r="E158" s="188" t="s">
        <v>2</v>
      </c>
      <c r="F158" s="190">
        <f t="shared" ref="F158:R158" si="92">F153</f>
        <v>2480.729163113464</v>
      </c>
      <c r="G158" s="190">
        <f t="shared" si="92"/>
        <v>2481.7399951829047</v>
      </c>
      <c r="H158" s="190">
        <f t="shared" si="92"/>
        <v>2480.9496543624819</v>
      </c>
      <c r="I158" s="190">
        <f t="shared" si="92"/>
        <v>2480.729163113464</v>
      </c>
      <c r="J158" s="190">
        <f t="shared" si="92"/>
        <v>2480.729163113464</v>
      </c>
      <c r="K158" s="190">
        <f t="shared" si="92"/>
        <v>2480.729163113464</v>
      </c>
      <c r="L158" s="190">
        <f t="shared" si="92"/>
        <v>2480.729163113464</v>
      </c>
      <c r="M158" s="190">
        <f t="shared" si="92"/>
        <v>2480.729163113464</v>
      </c>
      <c r="N158" s="190">
        <f t="shared" si="92"/>
        <v>2481.6377218089538</v>
      </c>
      <c r="O158" s="190">
        <f t="shared" si="92"/>
        <v>2481.7864556781401</v>
      </c>
      <c r="P158" s="190">
        <f t="shared" si="92"/>
        <v>2481.8630113801855</v>
      </c>
      <c r="Q158" s="190">
        <f t="shared" si="92"/>
        <v>2481.8747644050468</v>
      </c>
      <c r="R158" s="190">
        <f t="shared" si="92"/>
        <v>2481.8715525427333</v>
      </c>
      <c r="S158" s="122"/>
      <c r="T158" s="123"/>
      <c r="U158" s="124"/>
      <c r="V158" s="125"/>
      <c r="X158" s="114"/>
      <c r="Y158" s="133"/>
    </row>
    <row r="159" spans="1:26" ht="19.2" x14ac:dyDescent="0.5">
      <c r="A159" s="196"/>
      <c r="B159" s="156"/>
      <c r="C159" s="186"/>
      <c r="D159" s="220"/>
      <c r="E159" s="188"/>
      <c r="F159" s="218"/>
      <c r="G159" s="218"/>
      <c r="H159" s="218"/>
      <c r="I159" s="218"/>
      <c r="J159" s="218"/>
      <c r="K159" s="218"/>
      <c r="L159" s="218"/>
      <c r="M159" s="218"/>
      <c r="N159" s="218"/>
      <c r="O159" s="218"/>
      <c r="P159" s="218"/>
      <c r="Q159" s="218"/>
      <c r="R159" s="218"/>
      <c r="S159" s="122"/>
      <c r="T159" s="123"/>
    </row>
    <row r="160" spans="1:26" ht="19.2" x14ac:dyDescent="0.5">
      <c r="A160" s="186"/>
      <c r="B160" s="186"/>
      <c r="C160" s="186"/>
      <c r="D160" s="187"/>
      <c r="E160" s="188"/>
      <c r="F160" s="218"/>
      <c r="G160" s="218"/>
      <c r="H160" s="218"/>
      <c r="I160" s="218"/>
      <c r="J160" s="218"/>
      <c r="K160" s="218"/>
      <c r="L160" s="218"/>
      <c r="M160" s="218"/>
      <c r="N160" s="218"/>
      <c r="O160" s="218"/>
      <c r="P160" s="218"/>
      <c r="Q160" s="218"/>
      <c r="R160" s="218"/>
      <c r="S160" s="122"/>
      <c r="T160" s="123"/>
      <c r="U160" s="124"/>
      <c r="V160" s="125"/>
      <c r="X160" s="114"/>
      <c r="Y160" s="133"/>
    </row>
    <row r="161" spans="1:25" ht="19.2" x14ac:dyDescent="0.5">
      <c r="A161" s="156">
        <v>1.6</v>
      </c>
      <c r="B161" s="156" t="s">
        <v>160</v>
      </c>
      <c r="C161" s="186"/>
      <c r="D161" s="187"/>
      <c r="E161" s="188"/>
      <c r="F161" s="190"/>
      <c r="G161" s="190"/>
      <c r="H161" s="190"/>
      <c r="I161" s="190"/>
      <c r="J161" s="190"/>
      <c r="K161" s="190"/>
      <c r="L161" s="190"/>
      <c r="M161" s="190"/>
      <c r="N161" s="190"/>
      <c r="O161" s="190"/>
      <c r="P161" s="190"/>
      <c r="Q161" s="190"/>
      <c r="R161" s="190"/>
      <c r="U161" s="124"/>
      <c r="V161" s="125"/>
      <c r="X161" s="114"/>
      <c r="Y161" s="133"/>
    </row>
    <row r="162" spans="1:25" s="115" customFormat="1" ht="19.2" x14ac:dyDescent="0.5">
      <c r="A162" s="206"/>
      <c r="B162" s="206" t="s">
        <v>161</v>
      </c>
      <c r="C162" s="206"/>
      <c r="D162" s="207" t="s">
        <v>162</v>
      </c>
      <c r="E162" s="208"/>
      <c r="F162" s="198">
        <v>0.2</v>
      </c>
      <c r="G162" s="198">
        <f>+F162</f>
        <v>0.2</v>
      </c>
      <c r="H162" s="198">
        <f t="shared" ref="H162:R165" si="93">+G162</f>
        <v>0.2</v>
      </c>
      <c r="I162" s="198">
        <f t="shared" si="93"/>
        <v>0.2</v>
      </c>
      <c r="J162" s="198">
        <f t="shared" si="93"/>
        <v>0.2</v>
      </c>
      <c r="K162" s="198">
        <f t="shared" si="93"/>
        <v>0.2</v>
      </c>
      <c r="L162" s="198">
        <f t="shared" si="93"/>
        <v>0.2</v>
      </c>
      <c r="M162" s="198">
        <f t="shared" si="93"/>
        <v>0.2</v>
      </c>
      <c r="N162" s="198">
        <f t="shared" si="93"/>
        <v>0.2</v>
      </c>
      <c r="O162" s="198">
        <f t="shared" si="93"/>
        <v>0.2</v>
      </c>
      <c r="P162" s="198">
        <f t="shared" si="93"/>
        <v>0.2</v>
      </c>
      <c r="Q162" s="198">
        <f t="shared" si="93"/>
        <v>0.2</v>
      </c>
      <c r="R162" s="198">
        <f t="shared" si="93"/>
        <v>0.2</v>
      </c>
      <c r="S162" s="116"/>
      <c r="U162" s="125"/>
      <c r="V162" s="125"/>
      <c r="X162" s="117"/>
    </row>
    <row r="163" spans="1:25" s="115" customFormat="1" ht="19.2" x14ac:dyDescent="0.5">
      <c r="A163" s="206"/>
      <c r="B163" s="206" t="s">
        <v>149</v>
      </c>
      <c r="C163" s="206"/>
      <c r="D163" s="207"/>
      <c r="E163" s="208"/>
      <c r="F163" s="198">
        <v>2</v>
      </c>
      <c r="G163" s="198">
        <f>+F163</f>
        <v>2</v>
      </c>
      <c r="H163" s="198">
        <f t="shared" si="93"/>
        <v>2</v>
      </c>
      <c r="I163" s="198">
        <f t="shared" si="93"/>
        <v>2</v>
      </c>
      <c r="J163" s="198">
        <f t="shared" si="93"/>
        <v>2</v>
      </c>
      <c r="K163" s="198">
        <f t="shared" si="93"/>
        <v>2</v>
      </c>
      <c r="L163" s="198">
        <f t="shared" si="93"/>
        <v>2</v>
      </c>
      <c r="M163" s="198">
        <f t="shared" si="93"/>
        <v>2</v>
      </c>
      <c r="N163" s="198">
        <f t="shared" si="93"/>
        <v>2</v>
      </c>
      <c r="O163" s="198">
        <f t="shared" si="93"/>
        <v>2</v>
      </c>
      <c r="P163" s="198">
        <f t="shared" si="93"/>
        <v>2</v>
      </c>
      <c r="Q163" s="198">
        <f t="shared" si="93"/>
        <v>2</v>
      </c>
      <c r="R163" s="198">
        <f t="shared" si="93"/>
        <v>2</v>
      </c>
      <c r="S163" s="116"/>
      <c r="U163" s="125"/>
      <c r="V163" s="125"/>
      <c r="X163" s="117"/>
    </row>
    <row r="164" spans="1:25" s="115" customFormat="1" ht="19.2" x14ac:dyDescent="0.5">
      <c r="A164" s="206"/>
      <c r="B164" s="206" t="s">
        <v>150</v>
      </c>
      <c r="C164" s="206"/>
      <c r="D164" s="207"/>
      <c r="E164" s="208" t="s">
        <v>4</v>
      </c>
      <c r="F164" s="198">
        <f>F137</f>
        <v>2</v>
      </c>
      <c r="G164" s="198">
        <f>+F164</f>
        <v>2</v>
      </c>
      <c r="H164" s="198">
        <f t="shared" si="93"/>
        <v>2</v>
      </c>
      <c r="I164" s="198">
        <f t="shared" si="93"/>
        <v>2</v>
      </c>
      <c r="J164" s="198">
        <f t="shared" si="93"/>
        <v>2</v>
      </c>
      <c r="K164" s="198">
        <f t="shared" si="93"/>
        <v>2</v>
      </c>
      <c r="L164" s="198">
        <f t="shared" si="93"/>
        <v>2</v>
      </c>
      <c r="M164" s="198">
        <f t="shared" si="93"/>
        <v>2</v>
      </c>
      <c r="N164" s="198">
        <f t="shared" si="93"/>
        <v>2</v>
      </c>
      <c r="O164" s="198">
        <f t="shared" si="93"/>
        <v>2</v>
      </c>
      <c r="P164" s="198">
        <f t="shared" si="93"/>
        <v>2</v>
      </c>
      <c r="Q164" s="198">
        <f t="shared" si="93"/>
        <v>2</v>
      </c>
      <c r="R164" s="198">
        <f t="shared" si="93"/>
        <v>2</v>
      </c>
      <c r="S164" s="116"/>
      <c r="U164" s="125"/>
      <c r="V164" s="125"/>
      <c r="X164" s="117"/>
    </row>
    <row r="165" spans="1:25" ht="19.2" x14ac:dyDescent="0.5">
      <c r="A165" s="186"/>
      <c r="B165" s="186" t="s">
        <v>163</v>
      </c>
      <c r="C165" s="186"/>
      <c r="D165" s="187"/>
      <c r="E165" s="188" t="s">
        <v>4</v>
      </c>
      <c r="F165" s="189">
        <f>F138</f>
        <v>2.25</v>
      </c>
      <c r="G165" s="189">
        <f>+F165</f>
        <v>2.25</v>
      </c>
      <c r="H165" s="189">
        <f t="shared" si="93"/>
        <v>2.25</v>
      </c>
      <c r="I165" s="189">
        <f t="shared" si="93"/>
        <v>2.25</v>
      </c>
      <c r="J165" s="189">
        <f t="shared" si="93"/>
        <v>2.25</v>
      </c>
      <c r="K165" s="189">
        <f t="shared" si="93"/>
        <v>2.25</v>
      </c>
      <c r="L165" s="189">
        <f t="shared" si="93"/>
        <v>2.25</v>
      </c>
      <c r="M165" s="189">
        <f t="shared" si="93"/>
        <v>2.25</v>
      </c>
      <c r="N165" s="189">
        <f t="shared" si="93"/>
        <v>2.25</v>
      </c>
      <c r="O165" s="189">
        <f t="shared" si="93"/>
        <v>2.25</v>
      </c>
      <c r="P165" s="189">
        <f t="shared" si="93"/>
        <v>2.25</v>
      </c>
      <c r="Q165" s="189">
        <f t="shared" si="93"/>
        <v>2.25</v>
      </c>
      <c r="R165" s="189">
        <f t="shared" si="93"/>
        <v>2.25</v>
      </c>
      <c r="U165" s="124"/>
      <c r="V165" s="125"/>
      <c r="X165" s="114"/>
      <c r="Y165" s="133"/>
    </row>
    <row r="166" spans="1:25" ht="19.2" x14ac:dyDescent="0.5">
      <c r="A166" s="186"/>
      <c r="B166" s="186" t="s">
        <v>164</v>
      </c>
      <c r="C166" s="186"/>
      <c r="D166" s="187"/>
      <c r="E166" s="188" t="s">
        <v>153</v>
      </c>
      <c r="F166" s="189">
        <f>F164*F165</f>
        <v>4.5</v>
      </c>
      <c r="G166" s="189">
        <f t="shared" ref="G166:R166" si="94">G164*G165</f>
        <v>4.5</v>
      </c>
      <c r="H166" s="189">
        <f t="shared" si="94"/>
        <v>4.5</v>
      </c>
      <c r="I166" s="189">
        <f t="shared" si="94"/>
        <v>4.5</v>
      </c>
      <c r="J166" s="189">
        <f t="shared" si="94"/>
        <v>4.5</v>
      </c>
      <c r="K166" s="189">
        <f t="shared" si="94"/>
        <v>4.5</v>
      </c>
      <c r="L166" s="189">
        <f t="shared" si="94"/>
        <v>4.5</v>
      </c>
      <c r="M166" s="189">
        <f t="shared" si="94"/>
        <v>4.5</v>
      </c>
      <c r="N166" s="189">
        <f t="shared" si="94"/>
        <v>4.5</v>
      </c>
      <c r="O166" s="189">
        <f t="shared" si="94"/>
        <v>4.5</v>
      </c>
      <c r="P166" s="189">
        <f t="shared" si="94"/>
        <v>4.5</v>
      </c>
      <c r="Q166" s="189">
        <f t="shared" si="94"/>
        <v>4.5</v>
      </c>
      <c r="R166" s="189">
        <f t="shared" si="94"/>
        <v>4.5</v>
      </c>
      <c r="U166" s="124"/>
      <c r="V166" s="125"/>
      <c r="X166" s="114"/>
      <c r="Y166" s="133"/>
    </row>
    <row r="167" spans="1:25" ht="19.2" x14ac:dyDescent="0.5">
      <c r="A167" s="186"/>
      <c r="B167" s="186" t="s">
        <v>165</v>
      </c>
      <c r="C167" s="186"/>
      <c r="D167" s="187"/>
      <c r="E167" s="188" t="s">
        <v>103</v>
      </c>
      <c r="F167" s="189">
        <f t="shared" ref="F167:R167" si="95">F144/F163</f>
        <v>6.8750000000000009</v>
      </c>
      <c r="G167" s="189">
        <f t="shared" si="95"/>
        <v>3.1097000000000001</v>
      </c>
      <c r="H167" s="189">
        <f t="shared" si="95"/>
        <v>6.2502000000000013</v>
      </c>
      <c r="I167" s="189">
        <f t="shared" si="95"/>
        <v>6.8750000000000009</v>
      </c>
      <c r="J167" s="189">
        <f t="shared" si="95"/>
        <v>6.8750000000000009</v>
      </c>
      <c r="K167" s="189">
        <f t="shared" si="95"/>
        <v>6.8750000000000009</v>
      </c>
      <c r="L167" s="189">
        <f t="shared" si="95"/>
        <v>6.8750000000000009</v>
      </c>
      <c r="M167" s="189">
        <f t="shared" si="95"/>
        <v>6.8750000000000009</v>
      </c>
      <c r="N167" s="189">
        <f t="shared" si="95"/>
        <v>3.6707000000000005</v>
      </c>
      <c r="O167" s="189">
        <f t="shared" si="95"/>
        <v>2.8182</v>
      </c>
      <c r="P167" s="189">
        <f t="shared" si="95"/>
        <v>2.2572000000000001</v>
      </c>
      <c r="Q167" s="189">
        <f t="shared" si="95"/>
        <v>2.1582000000000003</v>
      </c>
      <c r="R167" s="189">
        <f t="shared" si="95"/>
        <v>2.1857000000000002</v>
      </c>
      <c r="U167" s="124"/>
      <c r="V167" s="125"/>
      <c r="X167" s="114"/>
      <c r="Y167" s="133"/>
    </row>
    <row r="168" spans="1:25" ht="19.2" x14ac:dyDescent="0.5">
      <c r="A168" s="186"/>
      <c r="B168" s="186" t="s">
        <v>154</v>
      </c>
      <c r="C168" s="186"/>
      <c r="D168" s="187" t="s">
        <v>166</v>
      </c>
      <c r="E168" s="188" t="s">
        <v>117</v>
      </c>
      <c r="F168" s="189">
        <f>F167/F166</f>
        <v>1.5277777777777779</v>
      </c>
      <c r="G168" s="189">
        <f t="shared" ref="G168:R168" si="96">G167/G166</f>
        <v>0.69104444444444446</v>
      </c>
      <c r="H168" s="189">
        <f t="shared" si="96"/>
        <v>1.3889333333333336</v>
      </c>
      <c r="I168" s="189">
        <f t="shared" si="96"/>
        <v>1.5277777777777779</v>
      </c>
      <c r="J168" s="189">
        <f t="shared" si="96"/>
        <v>1.5277777777777779</v>
      </c>
      <c r="K168" s="189">
        <f t="shared" si="96"/>
        <v>1.5277777777777779</v>
      </c>
      <c r="L168" s="189">
        <f t="shared" si="96"/>
        <v>1.5277777777777779</v>
      </c>
      <c r="M168" s="189">
        <f t="shared" si="96"/>
        <v>1.5277777777777779</v>
      </c>
      <c r="N168" s="189">
        <f t="shared" si="96"/>
        <v>0.81571111111111128</v>
      </c>
      <c r="O168" s="189">
        <f t="shared" si="96"/>
        <v>0.62626666666666664</v>
      </c>
      <c r="P168" s="189">
        <f t="shared" si="96"/>
        <v>0.50160000000000005</v>
      </c>
      <c r="Q168" s="189">
        <f t="shared" si="96"/>
        <v>0.47960000000000008</v>
      </c>
      <c r="R168" s="189">
        <f t="shared" si="96"/>
        <v>0.48571111111111115</v>
      </c>
      <c r="T168" s="114"/>
      <c r="U168" s="124"/>
      <c r="V168" s="125"/>
      <c r="X168" s="114"/>
      <c r="Y168" s="133"/>
    </row>
    <row r="169" spans="1:25" ht="19.2" x14ac:dyDescent="0.5">
      <c r="A169" s="186"/>
      <c r="B169" s="186" t="s">
        <v>118</v>
      </c>
      <c r="C169" s="186"/>
      <c r="D169" s="187" t="s">
        <v>167</v>
      </c>
      <c r="E169" s="188" t="s">
        <v>4</v>
      </c>
      <c r="F169" s="189">
        <f>F168^2/(2*9.81)</f>
        <v>0.11896559318407773</v>
      </c>
      <c r="G169" s="189">
        <f t="shared" ref="G169:R169" si="97">G168^2/(2*9.81)</f>
        <v>2.4339573098752849E-2</v>
      </c>
      <c r="H169" s="189">
        <f t="shared" si="97"/>
        <v>9.8324964548646532E-2</v>
      </c>
      <c r="I169" s="189">
        <f t="shared" si="97"/>
        <v>0.11896559318407773</v>
      </c>
      <c r="J169" s="189">
        <f t="shared" si="97"/>
        <v>0.11896559318407773</v>
      </c>
      <c r="K169" s="189">
        <f t="shared" si="97"/>
        <v>0.11896559318407773</v>
      </c>
      <c r="L169" s="189">
        <f t="shared" si="97"/>
        <v>0.11896559318407773</v>
      </c>
      <c r="M169" s="189">
        <f t="shared" si="97"/>
        <v>0.11896559318407773</v>
      </c>
      <c r="N169" s="189">
        <f t="shared" si="97"/>
        <v>3.3913589031097029E-2</v>
      </c>
      <c r="O169" s="189">
        <f t="shared" si="97"/>
        <v>1.9990312832710383E-2</v>
      </c>
      <c r="P169" s="189">
        <f t="shared" si="97"/>
        <v>1.2823779816513762E-2</v>
      </c>
      <c r="Q169" s="189">
        <f t="shared" si="97"/>
        <v>1.1723555555555558E-2</v>
      </c>
      <c r="R169" s="189">
        <f t="shared" si="97"/>
        <v>1.2024224437145268E-2</v>
      </c>
      <c r="U169" s="124"/>
      <c r="V169" s="125"/>
      <c r="X169" s="114"/>
      <c r="Y169" s="133"/>
    </row>
    <row r="170" spans="1:25" ht="19.2" x14ac:dyDescent="0.5">
      <c r="A170" s="186"/>
      <c r="B170" s="186"/>
      <c r="C170" s="186"/>
      <c r="D170" s="187"/>
      <c r="E170" s="188"/>
      <c r="F170" s="189"/>
      <c r="G170" s="189"/>
      <c r="H170" s="189"/>
      <c r="I170" s="189"/>
      <c r="J170" s="189"/>
      <c r="K170" s="189"/>
      <c r="L170" s="189"/>
      <c r="M170" s="189"/>
      <c r="N170" s="189"/>
      <c r="O170" s="189"/>
      <c r="P170" s="189"/>
      <c r="Q170" s="189"/>
      <c r="R170" s="189"/>
      <c r="U170" s="124"/>
      <c r="V170" s="125"/>
      <c r="X170" s="114"/>
      <c r="Y170" s="133"/>
    </row>
    <row r="171" spans="1:25" s="172" customFormat="1" ht="19.2" x14ac:dyDescent="0.5">
      <c r="A171" s="225"/>
      <c r="B171" s="210" t="s">
        <v>168</v>
      </c>
      <c r="C171" s="210" t="s">
        <v>478</v>
      </c>
      <c r="D171" s="211"/>
      <c r="E171" s="212" t="s">
        <v>4</v>
      </c>
      <c r="F171" s="215">
        <f>F162*F169</f>
        <v>2.3793118636815547E-2</v>
      </c>
      <c r="G171" s="215">
        <f t="shared" ref="G171:R171" si="98">G162*G169</f>
        <v>4.8679146197505704E-3</v>
      </c>
      <c r="H171" s="215">
        <f t="shared" si="98"/>
        <v>1.9664992909729308E-2</v>
      </c>
      <c r="I171" s="215">
        <f t="shared" si="98"/>
        <v>2.3793118636815547E-2</v>
      </c>
      <c r="J171" s="215">
        <f t="shared" si="98"/>
        <v>2.3793118636815547E-2</v>
      </c>
      <c r="K171" s="215">
        <f t="shared" si="98"/>
        <v>2.3793118636815547E-2</v>
      </c>
      <c r="L171" s="215">
        <f t="shared" si="98"/>
        <v>2.3793118636815547E-2</v>
      </c>
      <c r="M171" s="215">
        <f t="shared" si="98"/>
        <v>2.3793118636815547E-2</v>
      </c>
      <c r="N171" s="215">
        <f t="shared" si="98"/>
        <v>6.7827178062194061E-3</v>
      </c>
      <c r="O171" s="215">
        <f t="shared" si="98"/>
        <v>3.9980625665420764E-3</v>
      </c>
      <c r="P171" s="215">
        <f t="shared" si="98"/>
        <v>2.5647559633027524E-3</v>
      </c>
      <c r="Q171" s="215">
        <f t="shared" si="98"/>
        <v>2.3447111111111118E-3</v>
      </c>
      <c r="R171" s="215">
        <f t="shared" si="98"/>
        <v>2.4048448874290536E-3</v>
      </c>
      <c r="S171" s="173">
        <f>S151-F171</f>
        <v>2481.8563766050784</v>
      </c>
      <c r="T171" s="174">
        <f>S171-F169</f>
        <v>2481.7374110118944</v>
      </c>
      <c r="U171" s="176"/>
      <c r="V171" s="168"/>
      <c r="X171" s="178"/>
      <c r="Y171" s="179"/>
    </row>
    <row r="172" spans="1:25" ht="19.2" x14ac:dyDescent="0.5">
      <c r="A172" s="199"/>
      <c r="B172" s="186" t="s">
        <v>227</v>
      </c>
      <c r="C172" s="186"/>
      <c r="D172" s="187"/>
      <c r="E172" s="188"/>
      <c r="F172" s="190"/>
      <c r="G172" s="190"/>
      <c r="H172" s="190"/>
      <c r="I172" s="190"/>
      <c r="J172" s="190"/>
      <c r="K172" s="190"/>
      <c r="L172" s="190"/>
      <c r="M172" s="190"/>
      <c r="N172" s="190"/>
      <c r="O172" s="190"/>
      <c r="P172" s="190"/>
      <c r="Q172" s="190"/>
      <c r="R172" s="190"/>
      <c r="S172" s="122"/>
      <c r="T172" s="123"/>
      <c r="U172" s="124"/>
      <c r="V172" s="125"/>
      <c r="X172" s="114"/>
      <c r="Y172" s="133"/>
    </row>
    <row r="173" spans="1:25" s="165" customFormat="1" ht="19.2" x14ac:dyDescent="0.5">
      <c r="A173" s="226"/>
      <c r="B173" s="227" t="str">
        <f>B152</f>
        <v>Total Energy level</v>
      </c>
      <c r="C173" s="192"/>
      <c r="D173" s="192"/>
      <c r="E173" s="192" t="s">
        <v>2</v>
      </c>
      <c r="F173" s="226">
        <f>+F157-F171</f>
        <v>2480.8243355880113</v>
      </c>
      <c r="G173" s="226">
        <f t="shared" ref="G173:R173" si="99">+G157-G171</f>
        <v>2481.7594668413835</v>
      </c>
      <c r="H173" s="226">
        <f t="shared" si="99"/>
        <v>2481.0283143341208</v>
      </c>
      <c r="I173" s="226">
        <f t="shared" si="99"/>
        <v>2480.8243355880113</v>
      </c>
      <c r="J173" s="226">
        <f t="shared" si="99"/>
        <v>2480.8243355880113</v>
      </c>
      <c r="K173" s="226">
        <f t="shared" si="99"/>
        <v>2480.8243355880113</v>
      </c>
      <c r="L173" s="226">
        <f t="shared" si="99"/>
        <v>2480.8243355880113</v>
      </c>
      <c r="M173" s="226">
        <f t="shared" si="99"/>
        <v>2480.8243355880113</v>
      </c>
      <c r="N173" s="226">
        <f t="shared" si="99"/>
        <v>2481.6648526801787</v>
      </c>
      <c r="O173" s="226">
        <f t="shared" si="99"/>
        <v>2481.8024479284063</v>
      </c>
      <c r="P173" s="226">
        <f t="shared" si="99"/>
        <v>2481.873270404039</v>
      </c>
      <c r="Q173" s="226">
        <f t="shared" si="99"/>
        <v>2481.884143249491</v>
      </c>
      <c r="R173" s="226">
        <f t="shared" si="99"/>
        <v>2481.8811719222831</v>
      </c>
    </row>
    <row r="174" spans="1:25" s="165" customFormat="1" ht="19.2" x14ac:dyDescent="0.5">
      <c r="A174" s="226"/>
      <c r="B174" s="227" t="str">
        <f>B153</f>
        <v>Total water level</v>
      </c>
      <c r="C174" s="192"/>
      <c r="D174" s="192"/>
      <c r="E174" s="192" t="s">
        <v>2</v>
      </c>
      <c r="F174" s="226">
        <f>+F173-F169</f>
        <v>2480.7053699948274</v>
      </c>
      <c r="G174" s="226">
        <f t="shared" ref="G174:R174" si="100">+G173-G169</f>
        <v>2481.7351272682849</v>
      </c>
      <c r="H174" s="226">
        <f t="shared" si="100"/>
        <v>2480.929989369572</v>
      </c>
      <c r="I174" s="226">
        <f t="shared" si="100"/>
        <v>2480.7053699948274</v>
      </c>
      <c r="J174" s="226">
        <f t="shared" si="100"/>
        <v>2480.7053699948274</v>
      </c>
      <c r="K174" s="226">
        <f t="shared" si="100"/>
        <v>2480.7053699948274</v>
      </c>
      <c r="L174" s="226">
        <f t="shared" si="100"/>
        <v>2480.7053699948274</v>
      </c>
      <c r="M174" s="226">
        <f t="shared" si="100"/>
        <v>2480.7053699948274</v>
      </c>
      <c r="N174" s="226">
        <f t="shared" si="100"/>
        <v>2481.6309390911474</v>
      </c>
      <c r="O174" s="226">
        <f t="shared" si="100"/>
        <v>2481.7824576155735</v>
      </c>
      <c r="P174" s="226">
        <f t="shared" si="100"/>
        <v>2481.8604466242223</v>
      </c>
      <c r="Q174" s="226">
        <f t="shared" si="100"/>
        <v>2481.8724196939356</v>
      </c>
      <c r="R174" s="226">
        <f t="shared" si="100"/>
        <v>2481.8691476978461</v>
      </c>
    </row>
    <row r="175" spans="1:25" ht="19.2" x14ac:dyDescent="0.5">
      <c r="A175" s="199"/>
      <c r="B175" s="186"/>
      <c r="C175" s="186"/>
      <c r="D175" s="187"/>
      <c r="E175" s="188"/>
      <c r="F175" s="190"/>
      <c r="G175" s="190"/>
      <c r="H175" s="190"/>
      <c r="I175" s="190"/>
      <c r="J175" s="190"/>
      <c r="K175" s="190"/>
      <c r="L175" s="190"/>
      <c r="M175" s="190"/>
      <c r="N175" s="190"/>
      <c r="O175" s="190"/>
      <c r="P175" s="190"/>
      <c r="Q175" s="190"/>
      <c r="R175" s="190"/>
      <c r="S175" s="122"/>
      <c r="T175" s="123"/>
      <c r="U175" s="124"/>
      <c r="V175" s="125"/>
      <c r="X175" s="114"/>
      <c r="Y175" s="133"/>
    </row>
    <row r="176" spans="1:25" ht="19.2" x14ac:dyDescent="0.5">
      <c r="A176" s="186"/>
      <c r="B176" s="186"/>
      <c r="C176" s="186"/>
      <c r="D176" s="187"/>
      <c r="E176" s="188"/>
      <c r="F176" s="189"/>
      <c r="G176" s="189"/>
      <c r="H176" s="189"/>
      <c r="I176" s="189"/>
      <c r="J176" s="189"/>
      <c r="K176" s="189"/>
      <c r="L176" s="189"/>
      <c r="M176" s="189"/>
      <c r="N176" s="189"/>
      <c r="O176" s="189"/>
      <c r="P176" s="189"/>
      <c r="Q176" s="189"/>
      <c r="R176" s="189"/>
    </row>
    <row r="177" spans="1:37" ht="19.2" x14ac:dyDescent="0.5">
      <c r="A177" s="156">
        <v>1.7</v>
      </c>
      <c r="B177" s="156" t="s">
        <v>228</v>
      </c>
      <c r="C177" s="186"/>
      <c r="D177" s="187"/>
      <c r="E177" s="188"/>
      <c r="F177" s="189"/>
      <c r="G177" s="189"/>
      <c r="H177" s="189"/>
      <c r="I177" s="189"/>
      <c r="J177" s="189"/>
      <c r="K177" s="189"/>
      <c r="L177" s="189"/>
      <c r="M177" s="189"/>
      <c r="N177" s="189"/>
      <c r="O177" s="189"/>
      <c r="P177" s="189"/>
      <c r="Q177" s="189"/>
      <c r="R177" s="189"/>
    </row>
    <row r="178" spans="1:37" ht="19.2" x14ac:dyDescent="0.5">
      <c r="A178" s="186"/>
      <c r="B178" s="186" t="s">
        <v>229</v>
      </c>
      <c r="C178" s="186"/>
      <c r="D178" s="187"/>
      <c r="E178" s="188"/>
      <c r="F178" s="189">
        <v>2</v>
      </c>
      <c r="G178" s="189">
        <f>+F178</f>
        <v>2</v>
      </c>
      <c r="H178" s="189">
        <f t="shared" ref="H178:R178" si="101">+G178</f>
        <v>2</v>
      </c>
      <c r="I178" s="189">
        <f t="shared" si="101"/>
        <v>2</v>
      </c>
      <c r="J178" s="189">
        <f t="shared" si="101"/>
        <v>2</v>
      </c>
      <c r="K178" s="189">
        <f t="shared" si="101"/>
        <v>2</v>
      </c>
      <c r="L178" s="189">
        <f t="shared" si="101"/>
        <v>2</v>
      </c>
      <c r="M178" s="189">
        <f t="shared" si="101"/>
        <v>2</v>
      </c>
      <c r="N178" s="189">
        <f t="shared" si="101"/>
        <v>2</v>
      </c>
      <c r="O178" s="189">
        <f t="shared" si="101"/>
        <v>2</v>
      </c>
      <c r="P178" s="189">
        <f t="shared" si="101"/>
        <v>2</v>
      </c>
      <c r="Q178" s="189">
        <f t="shared" si="101"/>
        <v>2</v>
      </c>
      <c r="R178" s="189">
        <f t="shared" si="101"/>
        <v>2</v>
      </c>
    </row>
    <row r="179" spans="1:37" ht="19.2" x14ac:dyDescent="0.5">
      <c r="A179" s="186"/>
      <c r="B179" s="186" t="s">
        <v>230</v>
      </c>
      <c r="C179" s="186"/>
      <c r="D179" s="187"/>
      <c r="E179" s="188" t="s">
        <v>103</v>
      </c>
      <c r="F179" s="189">
        <f>F167</f>
        <v>6.8750000000000009</v>
      </c>
      <c r="G179" s="189">
        <f t="shared" ref="G179:R179" si="102">G167</f>
        <v>3.1097000000000001</v>
      </c>
      <c r="H179" s="189">
        <f t="shared" si="102"/>
        <v>6.2502000000000013</v>
      </c>
      <c r="I179" s="189">
        <f t="shared" si="102"/>
        <v>6.8750000000000009</v>
      </c>
      <c r="J179" s="189">
        <f t="shared" si="102"/>
        <v>6.8750000000000009</v>
      </c>
      <c r="K179" s="189">
        <f t="shared" si="102"/>
        <v>6.8750000000000009</v>
      </c>
      <c r="L179" s="189">
        <f t="shared" si="102"/>
        <v>6.8750000000000009</v>
      </c>
      <c r="M179" s="189">
        <f t="shared" si="102"/>
        <v>6.8750000000000009</v>
      </c>
      <c r="N179" s="189">
        <f t="shared" si="102"/>
        <v>3.6707000000000005</v>
      </c>
      <c r="O179" s="189">
        <f t="shared" si="102"/>
        <v>2.8182</v>
      </c>
      <c r="P179" s="189">
        <f t="shared" si="102"/>
        <v>2.2572000000000001</v>
      </c>
      <c r="Q179" s="189">
        <f t="shared" si="102"/>
        <v>2.1582000000000003</v>
      </c>
      <c r="R179" s="189">
        <f t="shared" si="102"/>
        <v>2.1857000000000002</v>
      </c>
    </row>
    <row r="180" spans="1:37" ht="19.2" x14ac:dyDescent="0.5">
      <c r="A180" s="199"/>
      <c r="B180" s="186" t="s">
        <v>203</v>
      </c>
      <c r="C180" s="186"/>
      <c r="D180" s="187"/>
      <c r="E180" s="188" t="s">
        <v>204</v>
      </c>
      <c r="F180" s="218">
        <v>1.4999999999999999E-2</v>
      </c>
      <c r="G180" s="218">
        <f>+F180</f>
        <v>1.4999999999999999E-2</v>
      </c>
      <c r="H180" s="194">
        <f t="shared" ref="H180:R180" si="103">+G180</f>
        <v>1.4999999999999999E-2</v>
      </c>
      <c r="I180" s="189">
        <f t="shared" si="103"/>
        <v>1.4999999999999999E-2</v>
      </c>
      <c r="J180" s="189">
        <f t="shared" si="103"/>
        <v>1.4999999999999999E-2</v>
      </c>
      <c r="K180" s="189">
        <f t="shared" si="103"/>
        <v>1.4999999999999999E-2</v>
      </c>
      <c r="L180" s="189">
        <f t="shared" si="103"/>
        <v>1.4999999999999999E-2</v>
      </c>
      <c r="M180" s="189">
        <f t="shared" si="103"/>
        <v>1.4999999999999999E-2</v>
      </c>
      <c r="N180" s="189">
        <f>+M180</f>
        <v>1.4999999999999999E-2</v>
      </c>
      <c r="O180" s="189">
        <f t="shared" si="103"/>
        <v>1.4999999999999999E-2</v>
      </c>
      <c r="P180" s="189">
        <f t="shared" si="103"/>
        <v>1.4999999999999999E-2</v>
      </c>
      <c r="Q180" s="189">
        <f t="shared" si="103"/>
        <v>1.4999999999999999E-2</v>
      </c>
      <c r="R180" s="189">
        <f t="shared" si="103"/>
        <v>1.4999999999999999E-2</v>
      </c>
    </row>
    <row r="181" spans="1:37" ht="19.2" x14ac:dyDescent="0.5">
      <c r="A181" s="186"/>
      <c r="B181" s="186"/>
      <c r="C181" s="186"/>
      <c r="D181" s="187"/>
      <c r="E181" s="188"/>
      <c r="F181" s="190"/>
      <c r="G181" s="190"/>
      <c r="H181" s="190"/>
      <c r="I181" s="190"/>
      <c r="J181" s="190"/>
      <c r="K181" s="190"/>
      <c r="L181" s="190"/>
      <c r="M181" s="190"/>
      <c r="N181" s="190"/>
      <c r="O181" s="190"/>
      <c r="P181" s="190"/>
      <c r="Q181" s="190"/>
      <c r="R181" s="190"/>
      <c r="Y181" s="111" t="s">
        <v>231</v>
      </c>
    </row>
    <row r="182" spans="1:37" ht="19.2" x14ac:dyDescent="0.5">
      <c r="A182" s="196" t="str">
        <f>CONCATENATE(A177,".",1)</f>
        <v>1.7.1</v>
      </c>
      <c r="B182" s="156" t="s">
        <v>232</v>
      </c>
      <c r="C182" s="186"/>
      <c r="D182" s="187"/>
      <c r="E182" s="188"/>
      <c r="F182" s="190"/>
      <c r="G182" s="190"/>
      <c r="H182" s="190"/>
      <c r="I182" s="190"/>
      <c r="J182" s="190"/>
      <c r="K182" s="190"/>
      <c r="L182" s="190"/>
      <c r="M182" s="190"/>
      <c r="N182" s="190"/>
      <c r="O182" s="190"/>
      <c r="P182" s="190"/>
      <c r="Q182" s="190"/>
      <c r="R182" s="190"/>
    </row>
    <row r="183" spans="1:37" ht="19.2" x14ac:dyDescent="0.5">
      <c r="A183" s="199"/>
      <c r="B183" s="186" t="s">
        <v>233</v>
      </c>
      <c r="C183" s="186"/>
      <c r="D183" s="228" t="s">
        <v>234</v>
      </c>
      <c r="E183" s="207" t="s">
        <v>235</v>
      </c>
      <c r="F183" s="205">
        <v>25</v>
      </c>
      <c r="G183" s="205">
        <f>+F183</f>
        <v>25</v>
      </c>
      <c r="H183" s="205">
        <f t="shared" ref="H183:R186" si="104">+G183</f>
        <v>25</v>
      </c>
      <c r="I183" s="205">
        <f t="shared" si="104"/>
        <v>25</v>
      </c>
      <c r="J183" s="205">
        <f t="shared" si="104"/>
        <v>25</v>
      </c>
      <c r="K183" s="205">
        <f t="shared" si="104"/>
        <v>25</v>
      </c>
      <c r="L183" s="205">
        <f t="shared" si="104"/>
        <v>25</v>
      </c>
      <c r="M183" s="205">
        <f t="shared" si="104"/>
        <v>25</v>
      </c>
      <c r="N183" s="205">
        <f t="shared" si="104"/>
        <v>25</v>
      </c>
      <c r="O183" s="205">
        <f>+N183</f>
        <v>25</v>
      </c>
      <c r="P183" s="205">
        <f t="shared" si="104"/>
        <v>25</v>
      </c>
      <c r="Q183" s="205">
        <f t="shared" si="104"/>
        <v>25</v>
      </c>
      <c r="R183" s="205">
        <f t="shared" si="104"/>
        <v>25</v>
      </c>
      <c r="S183" s="143"/>
      <c r="Y183" s="144" t="s">
        <v>234</v>
      </c>
      <c r="Z183" s="131"/>
      <c r="AA183" s="131">
        <v>2</v>
      </c>
      <c r="AB183" s="131">
        <v>5</v>
      </c>
      <c r="AC183" s="131">
        <v>10</v>
      </c>
      <c r="AD183" s="131">
        <v>12</v>
      </c>
      <c r="AE183" s="131">
        <v>15</v>
      </c>
      <c r="AF183" s="131">
        <v>20</v>
      </c>
      <c r="AG183" s="131">
        <v>25</v>
      </c>
      <c r="AH183" s="131">
        <v>30</v>
      </c>
      <c r="AI183" s="131">
        <v>40</v>
      </c>
      <c r="AJ183" s="131">
        <v>50</v>
      </c>
      <c r="AK183" s="131">
        <v>60</v>
      </c>
    </row>
    <row r="184" spans="1:37" ht="19.2" x14ac:dyDescent="0.5">
      <c r="A184" s="199"/>
      <c r="B184" s="186" t="s">
        <v>236</v>
      </c>
      <c r="C184" s="186"/>
      <c r="D184" s="188" t="s">
        <v>162</v>
      </c>
      <c r="E184" s="188"/>
      <c r="F184" s="189">
        <f>INDEX(AA184:AK185,2,MATCH(F183,AA183:AK183,Z1362))</f>
        <v>0.55000000000000004</v>
      </c>
      <c r="G184" s="189">
        <f>+F184</f>
        <v>0.55000000000000004</v>
      </c>
      <c r="H184" s="189">
        <f t="shared" si="104"/>
        <v>0.55000000000000004</v>
      </c>
      <c r="I184" s="189">
        <f t="shared" si="104"/>
        <v>0.55000000000000004</v>
      </c>
      <c r="J184" s="189">
        <f t="shared" si="104"/>
        <v>0.55000000000000004</v>
      </c>
      <c r="K184" s="189">
        <f t="shared" si="104"/>
        <v>0.55000000000000004</v>
      </c>
      <c r="L184" s="189">
        <f t="shared" si="104"/>
        <v>0.55000000000000004</v>
      </c>
      <c r="M184" s="189">
        <f t="shared" si="104"/>
        <v>0.55000000000000004</v>
      </c>
      <c r="N184" s="189">
        <f t="shared" si="104"/>
        <v>0.55000000000000004</v>
      </c>
      <c r="O184" s="189">
        <f t="shared" si="104"/>
        <v>0.55000000000000004</v>
      </c>
      <c r="P184" s="189">
        <f t="shared" si="104"/>
        <v>0.55000000000000004</v>
      </c>
      <c r="Q184" s="189">
        <f t="shared" si="104"/>
        <v>0.55000000000000004</v>
      </c>
      <c r="R184" s="189">
        <f t="shared" si="104"/>
        <v>0.55000000000000004</v>
      </c>
      <c r="Y184" s="134" t="s">
        <v>162</v>
      </c>
      <c r="Z184" s="131" t="s">
        <v>237</v>
      </c>
      <c r="AA184" s="131">
        <v>0.02</v>
      </c>
      <c r="AB184" s="131">
        <v>0.04</v>
      </c>
      <c r="AC184" s="135">
        <v>0.08</v>
      </c>
      <c r="AD184" s="135">
        <v>0.1</v>
      </c>
      <c r="AE184" s="135">
        <v>0.16</v>
      </c>
      <c r="AF184" s="135">
        <v>0.31</v>
      </c>
      <c r="AG184" s="135">
        <v>0.4</v>
      </c>
      <c r="AH184" s="135">
        <v>0.49</v>
      </c>
      <c r="AI184" s="135">
        <v>0.6</v>
      </c>
      <c r="AJ184" s="131">
        <v>0.67</v>
      </c>
      <c r="AK184" s="131">
        <v>0.72</v>
      </c>
    </row>
    <row r="185" spans="1:37" ht="19.2" x14ac:dyDescent="0.5">
      <c r="A185" s="186"/>
      <c r="B185" s="186" t="s">
        <v>238</v>
      </c>
      <c r="C185" s="186"/>
      <c r="D185" s="188" t="s">
        <v>239</v>
      </c>
      <c r="E185" s="188" t="s">
        <v>4</v>
      </c>
      <c r="F185" s="189">
        <v>21.81</v>
      </c>
      <c r="G185" s="189">
        <f>+F185</f>
        <v>21.81</v>
      </c>
      <c r="H185" s="189">
        <f t="shared" si="104"/>
        <v>21.81</v>
      </c>
      <c r="I185" s="189">
        <f t="shared" si="104"/>
        <v>21.81</v>
      </c>
      <c r="J185" s="189">
        <f t="shared" si="104"/>
        <v>21.81</v>
      </c>
      <c r="K185" s="189">
        <f t="shared" si="104"/>
        <v>21.81</v>
      </c>
      <c r="L185" s="189">
        <f t="shared" si="104"/>
        <v>21.81</v>
      </c>
      <c r="M185" s="189">
        <f t="shared" si="104"/>
        <v>21.81</v>
      </c>
      <c r="N185" s="189">
        <f t="shared" si="104"/>
        <v>21.81</v>
      </c>
      <c r="O185" s="189">
        <f>+N185</f>
        <v>21.81</v>
      </c>
      <c r="P185" s="189">
        <f t="shared" si="104"/>
        <v>21.81</v>
      </c>
      <c r="Q185" s="189">
        <f t="shared" si="104"/>
        <v>21.81</v>
      </c>
      <c r="R185" s="189">
        <f t="shared" si="104"/>
        <v>21.81</v>
      </c>
      <c r="Y185" s="131"/>
      <c r="Z185" s="131" t="s">
        <v>240</v>
      </c>
      <c r="AA185" s="131">
        <v>0.03</v>
      </c>
      <c r="AB185" s="131">
        <v>0.12</v>
      </c>
      <c r="AC185" s="131">
        <v>0.16</v>
      </c>
      <c r="AD185" s="131">
        <v>0.2</v>
      </c>
      <c r="AE185" s="131">
        <v>0.27</v>
      </c>
      <c r="AF185" s="131">
        <v>0.4</v>
      </c>
      <c r="AG185" s="131">
        <v>0.55000000000000004</v>
      </c>
      <c r="AH185" s="131">
        <v>0.66</v>
      </c>
      <c r="AI185" s="131">
        <v>0.9</v>
      </c>
      <c r="AJ185" s="131">
        <v>1</v>
      </c>
      <c r="AK185" s="131">
        <v>1.1000000000000001</v>
      </c>
    </row>
    <row r="186" spans="1:37" ht="19.2" x14ac:dyDescent="0.5">
      <c r="A186" s="186"/>
      <c r="B186" s="186" t="s">
        <v>194</v>
      </c>
      <c r="C186" s="186"/>
      <c r="D186" s="188" t="s">
        <v>495</v>
      </c>
      <c r="E186" s="188" t="s">
        <v>4</v>
      </c>
      <c r="F186" s="189">
        <f>+AVERAGE(2,11)</f>
        <v>6.5</v>
      </c>
      <c r="G186" s="189">
        <f>+F186</f>
        <v>6.5</v>
      </c>
      <c r="H186" s="189">
        <f t="shared" si="104"/>
        <v>6.5</v>
      </c>
      <c r="I186" s="189">
        <f t="shared" si="104"/>
        <v>6.5</v>
      </c>
      <c r="J186" s="189">
        <f t="shared" si="104"/>
        <v>6.5</v>
      </c>
      <c r="K186" s="189">
        <f t="shared" si="104"/>
        <v>6.5</v>
      </c>
      <c r="L186" s="189">
        <f t="shared" si="104"/>
        <v>6.5</v>
      </c>
      <c r="M186" s="189">
        <f t="shared" si="104"/>
        <v>6.5</v>
      </c>
      <c r="N186" s="189">
        <f t="shared" si="104"/>
        <v>6.5</v>
      </c>
      <c r="O186" s="189">
        <f t="shared" si="104"/>
        <v>6.5</v>
      </c>
      <c r="P186" s="189">
        <f t="shared" si="104"/>
        <v>6.5</v>
      </c>
      <c r="Q186" s="189">
        <f t="shared" si="104"/>
        <v>6.5</v>
      </c>
      <c r="R186" s="189">
        <f t="shared" si="104"/>
        <v>6.5</v>
      </c>
    </row>
    <row r="187" spans="1:37" ht="19.2" x14ac:dyDescent="0.5">
      <c r="A187" s="186"/>
      <c r="B187" s="186" t="s">
        <v>241</v>
      </c>
      <c r="C187" s="186"/>
      <c r="D187" s="188" t="s">
        <v>496</v>
      </c>
      <c r="E187" s="188" t="s">
        <v>4</v>
      </c>
      <c r="F187" s="189">
        <f>(3.25+8.43)/2</f>
        <v>5.84</v>
      </c>
      <c r="G187" s="189">
        <f t="shared" ref="G187:R187" si="105">(3.25+8.43)/2</f>
        <v>5.84</v>
      </c>
      <c r="H187" s="189">
        <f t="shared" si="105"/>
        <v>5.84</v>
      </c>
      <c r="I187" s="189">
        <f t="shared" si="105"/>
        <v>5.84</v>
      </c>
      <c r="J187" s="189">
        <f t="shared" si="105"/>
        <v>5.84</v>
      </c>
      <c r="K187" s="189">
        <f t="shared" si="105"/>
        <v>5.84</v>
      </c>
      <c r="L187" s="189">
        <f t="shared" si="105"/>
        <v>5.84</v>
      </c>
      <c r="M187" s="189">
        <f t="shared" si="105"/>
        <v>5.84</v>
      </c>
      <c r="N187" s="189">
        <f t="shared" si="105"/>
        <v>5.84</v>
      </c>
      <c r="O187" s="189">
        <f t="shared" si="105"/>
        <v>5.84</v>
      </c>
      <c r="P187" s="189">
        <f t="shared" si="105"/>
        <v>5.84</v>
      </c>
      <c r="Q187" s="189">
        <f t="shared" si="105"/>
        <v>5.84</v>
      </c>
      <c r="R187" s="189">
        <f t="shared" si="105"/>
        <v>5.84</v>
      </c>
    </row>
    <row r="188" spans="1:37" ht="19.2" x14ac:dyDescent="0.5">
      <c r="A188" s="186"/>
      <c r="B188" s="186" t="s">
        <v>242</v>
      </c>
      <c r="C188" s="186"/>
      <c r="D188" s="188" t="s">
        <v>497</v>
      </c>
      <c r="E188" s="188" t="s">
        <v>153</v>
      </c>
      <c r="F188" s="189">
        <f>F186*F187</f>
        <v>37.96</v>
      </c>
      <c r="G188" s="189">
        <f t="shared" ref="G188:R188" si="106">G186*G187</f>
        <v>37.96</v>
      </c>
      <c r="H188" s="189">
        <f t="shared" si="106"/>
        <v>37.96</v>
      </c>
      <c r="I188" s="189">
        <f t="shared" si="106"/>
        <v>37.96</v>
      </c>
      <c r="J188" s="189">
        <f t="shared" si="106"/>
        <v>37.96</v>
      </c>
      <c r="K188" s="189">
        <f t="shared" si="106"/>
        <v>37.96</v>
      </c>
      <c r="L188" s="189">
        <f t="shared" si="106"/>
        <v>37.96</v>
      </c>
      <c r="M188" s="189">
        <f t="shared" si="106"/>
        <v>37.96</v>
      </c>
      <c r="N188" s="189">
        <f t="shared" si="106"/>
        <v>37.96</v>
      </c>
      <c r="O188" s="189">
        <f t="shared" si="106"/>
        <v>37.96</v>
      </c>
      <c r="P188" s="189">
        <f t="shared" si="106"/>
        <v>37.96</v>
      </c>
      <c r="Q188" s="189">
        <f t="shared" si="106"/>
        <v>37.96</v>
      </c>
      <c r="R188" s="189">
        <f t="shared" si="106"/>
        <v>37.96</v>
      </c>
      <c r="S188" s="142"/>
      <c r="AC188" s="111">
        <v>0.6</v>
      </c>
    </row>
    <row r="189" spans="1:37" ht="19.2" x14ac:dyDescent="0.5">
      <c r="A189" s="186"/>
      <c r="B189" s="186" t="s">
        <v>183</v>
      </c>
      <c r="C189" s="186"/>
      <c r="D189" s="188" t="s">
        <v>498</v>
      </c>
      <c r="E189" s="188" t="s">
        <v>4</v>
      </c>
      <c r="F189" s="189">
        <f>F186+2*F187</f>
        <v>18.18</v>
      </c>
      <c r="G189" s="189">
        <f t="shared" ref="G189:R189" si="107">G186+2*G187</f>
        <v>18.18</v>
      </c>
      <c r="H189" s="189">
        <f t="shared" si="107"/>
        <v>18.18</v>
      </c>
      <c r="I189" s="189">
        <f t="shared" si="107"/>
        <v>18.18</v>
      </c>
      <c r="J189" s="189">
        <f t="shared" si="107"/>
        <v>18.18</v>
      </c>
      <c r="K189" s="189">
        <f t="shared" si="107"/>
        <v>18.18</v>
      </c>
      <c r="L189" s="189">
        <f t="shared" si="107"/>
        <v>18.18</v>
      </c>
      <c r="M189" s="189">
        <f t="shared" si="107"/>
        <v>18.18</v>
      </c>
      <c r="N189" s="189">
        <f t="shared" si="107"/>
        <v>18.18</v>
      </c>
      <c r="O189" s="189">
        <f t="shared" si="107"/>
        <v>18.18</v>
      </c>
      <c r="P189" s="189">
        <f t="shared" si="107"/>
        <v>18.18</v>
      </c>
      <c r="Q189" s="189">
        <f t="shared" si="107"/>
        <v>18.18</v>
      </c>
      <c r="R189" s="189">
        <f t="shared" si="107"/>
        <v>18.18</v>
      </c>
      <c r="S189" s="142"/>
      <c r="AC189" s="111">
        <v>4.2</v>
      </c>
    </row>
    <row r="190" spans="1:37" ht="19.2" x14ac:dyDescent="0.5">
      <c r="A190" s="186"/>
      <c r="B190" s="186" t="s">
        <v>186</v>
      </c>
      <c r="C190" s="186"/>
      <c r="D190" s="188"/>
      <c r="E190" s="188"/>
      <c r="F190" s="194">
        <v>0.24479999999999999</v>
      </c>
      <c r="G190" s="194">
        <f>+F190</f>
        <v>0.24479999999999999</v>
      </c>
      <c r="H190" s="194">
        <f t="shared" ref="H190:R190" si="108">+G190</f>
        <v>0.24479999999999999</v>
      </c>
      <c r="I190" s="194">
        <f t="shared" si="108"/>
        <v>0.24479999999999999</v>
      </c>
      <c r="J190" s="194">
        <f t="shared" si="108"/>
        <v>0.24479999999999999</v>
      </c>
      <c r="K190" s="194">
        <f t="shared" si="108"/>
        <v>0.24479999999999999</v>
      </c>
      <c r="L190" s="194">
        <f t="shared" si="108"/>
        <v>0.24479999999999999</v>
      </c>
      <c r="M190" s="194">
        <f t="shared" si="108"/>
        <v>0.24479999999999999</v>
      </c>
      <c r="N190" s="194">
        <f t="shared" si="108"/>
        <v>0.24479999999999999</v>
      </c>
      <c r="O190" s="194">
        <f t="shared" si="108"/>
        <v>0.24479999999999999</v>
      </c>
      <c r="P190" s="194">
        <f t="shared" si="108"/>
        <v>0.24479999999999999</v>
      </c>
      <c r="Q190" s="194">
        <f t="shared" si="108"/>
        <v>0.24479999999999999</v>
      </c>
      <c r="R190" s="194">
        <f t="shared" si="108"/>
        <v>0.24479999999999999</v>
      </c>
      <c r="S190" s="142"/>
    </row>
    <row r="191" spans="1:37" ht="19.2" x14ac:dyDescent="0.5">
      <c r="A191" s="186"/>
      <c r="B191" s="186"/>
      <c r="C191" s="186"/>
      <c r="D191" s="188"/>
      <c r="E191" s="188"/>
      <c r="F191" s="194"/>
      <c r="G191" s="189"/>
      <c r="H191" s="189"/>
      <c r="I191" s="189"/>
      <c r="J191" s="189"/>
      <c r="K191" s="189"/>
      <c r="L191" s="189"/>
      <c r="M191" s="189"/>
      <c r="N191" s="189"/>
      <c r="O191" s="189"/>
      <c r="P191" s="189"/>
      <c r="Q191" s="189"/>
      <c r="R191" s="189"/>
      <c r="S191" s="142"/>
    </row>
    <row r="192" spans="1:37" ht="19.2" x14ac:dyDescent="0.5">
      <c r="A192" s="186"/>
      <c r="B192" s="186" t="s">
        <v>243</v>
      </c>
      <c r="C192" s="186"/>
      <c r="D192" s="188"/>
      <c r="E192" s="188" t="s">
        <v>4</v>
      </c>
      <c r="F192" s="189">
        <f>F165</f>
        <v>2.25</v>
      </c>
      <c r="G192" s="189">
        <f>+F192</f>
        <v>2.25</v>
      </c>
      <c r="H192" s="189">
        <f t="shared" ref="H192:R192" si="109">+G192</f>
        <v>2.25</v>
      </c>
      <c r="I192" s="189">
        <f t="shared" si="109"/>
        <v>2.25</v>
      </c>
      <c r="J192" s="189">
        <f t="shared" si="109"/>
        <v>2.25</v>
      </c>
      <c r="K192" s="189">
        <f t="shared" si="109"/>
        <v>2.25</v>
      </c>
      <c r="L192" s="189">
        <f t="shared" si="109"/>
        <v>2.25</v>
      </c>
      <c r="M192" s="189">
        <f t="shared" si="109"/>
        <v>2.25</v>
      </c>
      <c r="N192" s="189">
        <f t="shared" si="109"/>
        <v>2.25</v>
      </c>
      <c r="O192" s="189">
        <f t="shared" si="109"/>
        <v>2.25</v>
      </c>
      <c r="P192" s="189">
        <f t="shared" si="109"/>
        <v>2.25</v>
      </c>
      <c r="Q192" s="189">
        <f t="shared" si="109"/>
        <v>2.25</v>
      </c>
      <c r="R192" s="189">
        <f t="shared" si="109"/>
        <v>2.25</v>
      </c>
      <c r="S192" s="142"/>
    </row>
    <row r="193" spans="1:30" ht="19.2" x14ac:dyDescent="0.5">
      <c r="A193" s="186"/>
      <c r="B193" s="186" t="s">
        <v>244</v>
      </c>
      <c r="C193" s="186"/>
      <c r="D193" s="188"/>
      <c r="E193" s="188" t="s">
        <v>4</v>
      </c>
      <c r="F193" s="189">
        <f>+F174</f>
        <v>2480.7053699948274</v>
      </c>
      <c r="G193" s="189">
        <f t="shared" ref="G193:R193" si="110">+G174</f>
        <v>2481.7351272682849</v>
      </c>
      <c r="H193" s="189">
        <f t="shared" si="110"/>
        <v>2480.929989369572</v>
      </c>
      <c r="I193" s="189">
        <f t="shared" si="110"/>
        <v>2480.7053699948274</v>
      </c>
      <c r="J193" s="189">
        <f t="shared" si="110"/>
        <v>2480.7053699948274</v>
      </c>
      <c r="K193" s="189">
        <f t="shared" si="110"/>
        <v>2480.7053699948274</v>
      </c>
      <c r="L193" s="189">
        <f t="shared" si="110"/>
        <v>2480.7053699948274</v>
      </c>
      <c r="M193" s="189">
        <f t="shared" si="110"/>
        <v>2480.7053699948274</v>
      </c>
      <c r="N193" s="189">
        <f t="shared" si="110"/>
        <v>2481.6309390911474</v>
      </c>
      <c r="O193" s="189">
        <f t="shared" si="110"/>
        <v>2481.7824576155735</v>
      </c>
      <c r="P193" s="189">
        <f t="shared" si="110"/>
        <v>2481.8604466242223</v>
      </c>
      <c r="Q193" s="189">
        <f t="shared" si="110"/>
        <v>2481.8724196939356</v>
      </c>
      <c r="R193" s="189">
        <f t="shared" si="110"/>
        <v>2481.8691476978461</v>
      </c>
      <c r="S193" s="142"/>
    </row>
    <row r="194" spans="1:30" ht="19.2" x14ac:dyDescent="0.5">
      <c r="A194" s="186"/>
      <c r="B194" s="186" t="s">
        <v>245</v>
      </c>
      <c r="C194" s="186"/>
      <c r="D194" s="188"/>
      <c r="E194" s="188" t="s">
        <v>4</v>
      </c>
      <c r="F194" s="189">
        <f>F193-F192</f>
        <v>2478.4553699948274</v>
      </c>
      <c r="G194" s="189">
        <f t="shared" ref="G194:R194" si="111">G193-G192</f>
        <v>2479.4851272682849</v>
      </c>
      <c r="H194" s="189">
        <f t="shared" si="111"/>
        <v>2478.679989369572</v>
      </c>
      <c r="I194" s="189">
        <f t="shared" si="111"/>
        <v>2478.4553699948274</v>
      </c>
      <c r="J194" s="189">
        <f t="shared" si="111"/>
        <v>2478.4553699948274</v>
      </c>
      <c r="K194" s="189">
        <f t="shared" si="111"/>
        <v>2478.4553699948274</v>
      </c>
      <c r="L194" s="189">
        <f t="shared" si="111"/>
        <v>2478.4553699948274</v>
      </c>
      <c r="M194" s="189">
        <f t="shared" si="111"/>
        <v>2478.4553699948274</v>
      </c>
      <c r="N194" s="189">
        <f t="shared" si="111"/>
        <v>2479.3809390911474</v>
      </c>
      <c r="O194" s="189">
        <f t="shared" si="111"/>
        <v>2479.5324576155735</v>
      </c>
      <c r="P194" s="189">
        <f t="shared" si="111"/>
        <v>2479.6104466242223</v>
      </c>
      <c r="Q194" s="189">
        <f t="shared" si="111"/>
        <v>2479.6224196939356</v>
      </c>
      <c r="R194" s="189">
        <f t="shared" si="111"/>
        <v>2479.6191476978461</v>
      </c>
      <c r="S194" s="142"/>
    </row>
    <row r="195" spans="1:30" ht="19.2" x14ac:dyDescent="0.5">
      <c r="A195" s="186"/>
      <c r="B195" s="186" t="s">
        <v>246</v>
      </c>
      <c r="C195" s="186"/>
      <c r="D195" s="188"/>
      <c r="E195" s="188"/>
      <c r="F195" s="189">
        <f t="shared" ref="F195:R195" si="112">F194-F139*F190</f>
        <v>2473.1725859948274</v>
      </c>
      <c r="G195" s="189">
        <f t="shared" si="112"/>
        <v>2474.2023432682849</v>
      </c>
      <c r="H195" s="189">
        <f t="shared" si="112"/>
        <v>2473.397205369572</v>
      </c>
      <c r="I195" s="189">
        <f t="shared" si="112"/>
        <v>2473.1725859948274</v>
      </c>
      <c r="J195" s="189">
        <f t="shared" si="112"/>
        <v>2473.1725859948274</v>
      </c>
      <c r="K195" s="189">
        <f t="shared" si="112"/>
        <v>2473.1725859948274</v>
      </c>
      <c r="L195" s="189">
        <f t="shared" si="112"/>
        <v>2473.1725859948274</v>
      </c>
      <c r="M195" s="189">
        <f t="shared" si="112"/>
        <v>2473.1725859948274</v>
      </c>
      <c r="N195" s="189">
        <f t="shared" si="112"/>
        <v>2474.0981550911474</v>
      </c>
      <c r="O195" s="189">
        <f t="shared" si="112"/>
        <v>2474.2496736155736</v>
      </c>
      <c r="P195" s="189">
        <f t="shared" si="112"/>
        <v>2474.3276626242223</v>
      </c>
      <c r="Q195" s="189">
        <f t="shared" si="112"/>
        <v>2474.3396356939356</v>
      </c>
      <c r="R195" s="189">
        <f t="shared" si="112"/>
        <v>2474.3363636978461</v>
      </c>
      <c r="S195" s="142"/>
    </row>
    <row r="196" spans="1:30" ht="19.2" x14ac:dyDescent="0.5">
      <c r="A196" s="186"/>
      <c r="B196" s="186" t="s">
        <v>184</v>
      </c>
      <c r="C196" s="186"/>
      <c r="D196" s="188" t="s">
        <v>499</v>
      </c>
      <c r="E196" s="188" t="s">
        <v>4</v>
      </c>
      <c r="F196" s="189">
        <f>F188/F189</f>
        <v>2.0880088008800879</v>
      </c>
      <c r="G196" s="189">
        <f t="shared" ref="G196:R196" si="113">G188/G189</f>
        <v>2.0880088008800879</v>
      </c>
      <c r="H196" s="189">
        <f t="shared" si="113"/>
        <v>2.0880088008800879</v>
      </c>
      <c r="I196" s="189">
        <f t="shared" si="113"/>
        <v>2.0880088008800879</v>
      </c>
      <c r="J196" s="189">
        <f t="shared" si="113"/>
        <v>2.0880088008800879</v>
      </c>
      <c r="K196" s="189">
        <f t="shared" si="113"/>
        <v>2.0880088008800879</v>
      </c>
      <c r="L196" s="189">
        <f t="shared" si="113"/>
        <v>2.0880088008800879</v>
      </c>
      <c r="M196" s="189">
        <f t="shared" si="113"/>
        <v>2.0880088008800879</v>
      </c>
      <c r="N196" s="189">
        <f t="shared" si="113"/>
        <v>2.0880088008800879</v>
      </c>
      <c r="O196" s="189">
        <f t="shared" si="113"/>
        <v>2.0880088008800879</v>
      </c>
      <c r="P196" s="189">
        <f t="shared" si="113"/>
        <v>2.0880088008800879</v>
      </c>
      <c r="Q196" s="189">
        <f t="shared" si="113"/>
        <v>2.0880088008800879</v>
      </c>
      <c r="R196" s="189">
        <f t="shared" si="113"/>
        <v>2.0880088008800879</v>
      </c>
      <c r="AC196" s="111">
        <v>0.2</v>
      </c>
    </row>
    <row r="197" spans="1:30" ht="19.2" x14ac:dyDescent="0.5">
      <c r="A197" s="186"/>
      <c r="B197" s="186" t="s">
        <v>186</v>
      </c>
      <c r="C197" s="186"/>
      <c r="D197" s="187"/>
      <c r="E197" s="188" t="s">
        <v>187</v>
      </c>
      <c r="F197" s="229">
        <f>1/4.4</f>
        <v>0.22727272727272727</v>
      </c>
      <c r="G197" s="229">
        <f t="shared" ref="G197:R197" si="114">1/4.4</f>
        <v>0.22727272727272727</v>
      </c>
      <c r="H197" s="229">
        <f t="shared" si="114"/>
        <v>0.22727272727272727</v>
      </c>
      <c r="I197" s="229">
        <f t="shared" si="114"/>
        <v>0.22727272727272727</v>
      </c>
      <c r="J197" s="229">
        <f t="shared" si="114"/>
        <v>0.22727272727272727</v>
      </c>
      <c r="K197" s="229">
        <f t="shared" si="114"/>
        <v>0.22727272727272727</v>
      </c>
      <c r="L197" s="229">
        <f t="shared" si="114"/>
        <v>0.22727272727272727</v>
      </c>
      <c r="M197" s="229">
        <f t="shared" si="114"/>
        <v>0.22727272727272727</v>
      </c>
      <c r="N197" s="229">
        <f t="shared" si="114"/>
        <v>0.22727272727272727</v>
      </c>
      <c r="O197" s="229">
        <f t="shared" si="114"/>
        <v>0.22727272727272727</v>
      </c>
      <c r="P197" s="229">
        <f t="shared" si="114"/>
        <v>0.22727272727272727</v>
      </c>
      <c r="Q197" s="229">
        <f t="shared" si="114"/>
        <v>0.22727272727272727</v>
      </c>
      <c r="R197" s="229">
        <f t="shared" si="114"/>
        <v>0.22727272727272727</v>
      </c>
    </row>
    <row r="198" spans="1:30" ht="19.2" x14ac:dyDescent="0.5">
      <c r="A198" s="186"/>
      <c r="B198" s="186" t="s">
        <v>154</v>
      </c>
      <c r="C198" s="186"/>
      <c r="D198" s="188" t="s">
        <v>500</v>
      </c>
      <c r="E198" s="188" t="s">
        <v>117</v>
      </c>
      <c r="F198" s="189">
        <f>F179/F188</f>
        <v>0.18111169652265544</v>
      </c>
      <c r="G198" s="189">
        <f t="shared" ref="G198:R198" si="115">G179/G188</f>
        <v>8.1920442571127502E-2</v>
      </c>
      <c r="H198" s="189">
        <f t="shared" si="115"/>
        <v>0.16465226554267653</v>
      </c>
      <c r="I198" s="189">
        <f t="shared" si="115"/>
        <v>0.18111169652265544</v>
      </c>
      <c r="J198" s="189">
        <f t="shared" si="115"/>
        <v>0.18111169652265544</v>
      </c>
      <c r="K198" s="189">
        <f t="shared" si="115"/>
        <v>0.18111169652265544</v>
      </c>
      <c r="L198" s="189">
        <f t="shared" si="115"/>
        <v>0.18111169652265544</v>
      </c>
      <c r="M198" s="189">
        <f t="shared" si="115"/>
        <v>0.18111169652265544</v>
      </c>
      <c r="N198" s="189">
        <f t="shared" si="115"/>
        <v>9.6699157007376191E-2</v>
      </c>
      <c r="O198" s="189">
        <f t="shared" si="115"/>
        <v>7.4241306638566915E-2</v>
      </c>
      <c r="P198" s="189">
        <f t="shared" si="115"/>
        <v>5.9462592202318233E-2</v>
      </c>
      <c r="Q198" s="189">
        <f t="shared" si="115"/>
        <v>5.6854583772391998E-2</v>
      </c>
      <c r="R198" s="189">
        <f t="shared" si="115"/>
        <v>5.7579030558482618E-2</v>
      </c>
      <c r="AC198" s="111">
        <f>SUM(AC188:AC197)</f>
        <v>5</v>
      </c>
    </row>
    <row r="199" spans="1:30" ht="19.2" x14ac:dyDescent="0.5">
      <c r="A199" s="186"/>
      <c r="B199" s="186" t="s">
        <v>118</v>
      </c>
      <c r="C199" s="186"/>
      <c r="D199" s="188" t="s">
        <v>501</v>
      </c>
      <c r="E199" s="188" t="s">
        <v>4</v>
      </c>
      <c r="F199" s="194">
        <f>F198^2/(2*9.81)</f>
        <v>1.6718372383952313E-3</v>
      </c>
      <c r="G199" s="194">
        <f t="shared" ref="G199:R199" si="116">G198^2/(2*9.81)</f>
        <v>3.4204683542555549E-4</v>
      </c>
      <c r="H199" s="194">
        <f t="shared" si="116"/>
        <v>1.3817720972648352E-3</v>
      </c>
      <c r="I199" s="194">
        <f t="shared" si="116"/>
        <v>1.6718372383952313E-3</v>
      </c>
      <c r="J199" s="194">
        <f t="shared" si="116"/>
        <v>1.6718372383952313E-3</v>
      </c>
      <c r="K199" s="194">
        <f t="shared" si="116"/>
        <v>1.6718372383952313E-3</v>
      </c>
      <c r="L199" s="194">
        <f t="shared" si="116"/>
        <v>1.6718372383952313E-3</v>
      </c>
      <c r="M199" s="194">
        <f t="shared" si="116"/>
        <v>1.6718372383952313E-3</v>
      </c>
      <c r="N199" s="194">
        <f t="shared" si="116"/>
        <v>4.7659158847794043E-4</v>
      </c>
      <c r="O199" s="194">
        <f t="shared" si="116"/>
        <v>2.8092617795115796E-4</v>
      </c>
      <c r="P199" s="194">
        <f t="shared" si="116"/>
        <v>1.8021406072472971E-4</v>
      </c>
      <c r="Q199" s="194">
        <f t="shared" si="116"/>
        <v>1.647524819537176E-4</v>
      </c>
      <c r="R199" s="194">
        <f t="shared" si="116"/>
        <v>1.6897781651654815E-4</v>
      </c>
      <c r="Z199" s="120">
        <v>591.5</v>
      </c>
    </row>
    <row r="200" spans="1:30" ht="19.2" x14ac:dyDescent="0.5">
      <c r="A200" s="186"/>
      <c r="B200" s="186"/>
      <c r="C200" s="186"/>
      <c r="D200" s="187"/>
      <c r="E200" s="188"/>
      <c r="F200" s="189"/>
      <c r="G200" s="189"/>
      <c r="H200" s="189"/>
      <c r="I200" s="189"/>
      <c r="J200" s="189"/>
      <c r="K200" s="189"/>
      <c r="L200" s="189"/>
      <c r="M200" s="189"/>
      <c r="N200" s="189"/>
      <c r="O200" s="189"/>
      <c r="P200" s="189"/>
      <c r="Q200" s="189"/>
      <c r="R200" s="189"/>
      <c r="Z200" s="111">
        <v>4.2</v>
      </c>
    </row>
    <row r="201" spans="1:30" ht="19.2" x14ac:dyDescent="0.5">
      <c r="A201" s="186"/>
      <c r="B201" s="186" t="s">
        <v>247</v>
      </c>
      <c r="C201" s="186" t="s">
        <v>502</v>
      </c>
      <c r="D201" s="187" t="s">
        <v>248</v>
      </c>
      <c r="E201" s="188" t="s">
        <v>4</v>
      </c>
      <c r="F201" s="230">
        <f t="shared" ref="F201:R201" si="117">F184*((F148-F225)^2)/(2*9.81)</f>
        <v>5.3319205489682761E-2</v>
      </c>
      <c r="G201" s="230">
        <f t="shared" si="117"/>
        <v>1.0908756598014843E-2</v>
      </c>
      <c r="H201" s="230">
        <f t="shared" si="117"/>
        <v>4.4068279316886755E-2</v>
      </c>
      <c r="I201" s="230">
        <f t="shared" si="117"/>
        <v>5.3319205489682761E-2</v>
      </c>
      <c r="J201" s="230">
        <f t="shared" si="117"/>
        <v>5.3319205489682761E-2</v>
      </c>
      <c r="K201" s="230">
        <f t="shared" si="117"/>
        <v>5.3319205489682761E-2</v>
      </c>
      <c r="L201" s="230">
        <f t="shared" si="117"/>
        <v>5.3319205489682761E-2</v>
      </c>
      <c r="M201" s="230">
        <f t="shared" si="117"/>
        <v>5.3319205489682761E-2</v>
      </c>
      <c r="N201" s="230">
        <f t="shared" si="117"/>
        <v>1.5199736108941854E-2</v>
      </c>
      <c r="O201" s="230">
        <f t="shared" si="117"/>
        <v>8.9594610441784614E-3</v>
      </c>
      <c r="P201" s="230">
        <f t="shared" si="117"/>
        <v>5.7474916309050664E-3</v>
      </c>
      <c r="Q201" s="230">
        <f t="shared" si="117"/>
        <v>5.2543819688198757E-3</v>
      </c>
      <c r="R201" s="230">
        <f t="shared" si="117"/>
        <v>5.389138796006279E-3</v>
      </c>
      <c r="S201" s="136"/>
      <c r="X201" s="145"/>
      <c r="Z201" s="111">
        <v>0.2</v>
      </c>
      <c r="AB201" s="111">
        <f>SUM(Z200:Z202)</f>
        <v>6.4</v>
      </c>
      <c r="AD201" s="111">
        <f>AB201+1.05</f>
        <v>7.45</v>
      </c>
    </row>
    <row r="202" spans="1:30" ht="20.399999999999999" x14ac:dyDescent="0.5">
      <c r="A202" s="186"/>
      <c r="B202" s="186" t="s">
        <v>190</v>
      </c>
      <c r="C202" s="186" t="s">
        <v>494</v>
      </c>
      <c r="D202" s="187" t="s">
        <v>249</v>
      </c>
      <c r="E202" s="188" t="s">
        <v>4</v>
      </c>
      <c r="F202" s="230">
        <f>(F180^2)*(F198^2)*F185/(F196^(4/3))</f>
        <v>6.0314455943013087E-5</v>
      </c>
      <c r="G202" s="230">
        <f t="shared" ref="G202:R202" si="118">(G180^2)*(G198^2)*G185/(G196^(4/3))</f>
        <v>1.2339938548996828E-5</v>
      </c>
      <c r="H202" s="230">
        <f t="shared" si="118"/>
        <v>4.9849848041285507E-5</v>
      </c>
      <c r="I202" s="230">
        <f t="shared" si="118"/>
        <v>6.0314455943013087E-5</v>
      </c>
      <c r="J202" s="230">
        <f t="shared" si="118"/>
        <v>6.0314455943013087E-5</v>
      </c>
      <c r="K202" s="230">
        <f t="shared" si="118"/>
        <v>6.0314455943013087E-5</v>
      </c>
      <c r="L202" s="230">
        <f t="shared" si="118"/>
        <v>6.0314455943013087E-5</v>
      </c>
      <c r="M202" s="230">
        <f t="shared" si="118"/>
        <v>6.0314455943013087E-5</v>
      </c>
      <c r="N202" s="230">
        <f t="shared" si="118"/>
        <v>1.7193876117782587E-5</v>
      </c>
      <c r="O202" s="230">
        <f t="shared" si="118"/>
        <v>1.0134903801723156E-5</v>
      </c>
      <c r="P202" s="230">
        <f t="shared" si="118"/>
        <v>6.5015378149649659E-6</v>
      </c>
      <c r="Q202" s="230">
        <f t="shared" si="118"/>
        <v>5.94373428590326E-6</v>
      </c>
      <c r="R202" s="230">
        <f t="shared" si="118"/>
        <v>6.0961706292753927E-6</v>
      </c>
      <c r="Z202" s="111">
        <v>2</v>
      </c>
      <c r="AB202" s="120">
        <f>Z199-AB201</f>
        <v>585.1</v>
      </c>
      <c r="AD202" s="120">
        <f>Z199-AD201</f>
        <v>584.04999999999995</v>
      </c>
    </row>
    <row r="203" spans="1:30" ht="19.2" x14ac:dyDescent="0.5">
      <c r="A203" s="186"/>
      <c r="B203" s="186"/>
      <c r="C203" s="186"/>
      <c r="D203" s="187"/>
      <c r="E203" s="188"/>
      <c r="F203" s="190"/>
      <c r="G203" s="190"/>
      <c r="H203" s="190"/>
      <c r="I203" s="190"/>
      <c r="J203" s="190"/>
      <c r="K203" s="190"/>
      <c r="L203" s="190"/>
      <c r="M203" s="190"/>
      <c r="N203" s="190"/>
      <c r="O203" s="190"/>
      <c r="P203" s="190"/>
      <c r="Q203" s="190"/>
      <c r="R203" s="190"/>
    </row>
    <row r="204" spans="1:30" s="172" customFormat="1" ht="19.2" x14ac:dyDescent="0.5">
      <c r="A204" s="210"/>
      <c r="B204" s="210" t="s">
        <v>143</v>
      </c>
      <c r="C204" s="210" t="s">
        <v>250</v>
      </c>
      <c r="D204" s="211"/>
      <c r="E204" s="212" t="s">
        <v>4</v>
      </c>
      <c r="F204" s="219">
        <f>F201+F202</f>
        <v>5.3379519945625772E-2</v>
      </c>
      <c r="G204" s="219">
        <f t="shared" ref="G204:R204" si="119">G201+G202</f>
        <v>1.092109653656384E-2</v>
      </c>
      <c r="H204" s="219">
        <f t="shared" si="119"/>
        <v>4.4118129164928042E-2</v>
      </c>
      <c r="I204" s="219">
        <f t="shared" si="119"/>
        <v>5.3379519945625772E-2</v>
      </c>
      <c r="J204" s="219">
        <f t="shared" si="119"/>
        <v>5.3379519945625772E-2</v>
      </c>
      <c r="K204" s="219">
        <f t="shared" si="119"/>
        <v>5.3379519945625772E-2</v>
      </c>
      <c r="L204" s="219">
        <f t="shared" si="119"/>
        <v>5.3379519945625772E-2</v>
      </c>
      <c r="M204" s="219">
        <f t="shared" si="119"/>
        <v>5.3379519945625772E-2</v>
      </c>
      <c r="N204" s="219">
        <f t="shared" si="119"/>
        <v>1.5216929985059637E-2</v>
      </c>
      <c r="O204" s="219">
        <f t="shared" si="119"/>
        <v>8.9695959479801843E-3</v>
      </c>
      <c r="P204" s="219">
        <f t="shared" si="119"/>
        <v>5.7539931687200317E-3</v>
      </c>
      <c r="Q204" s="219">
        <f t="shared" si="119"/>
        <v>5.2603257031057791E-3</v>
      </c>
      <c r="R204" s="219">
        <f t="shared" si="119"/>
        <v>5.3952349666355542E-3</v>
      </c>
      <c r="S204" s="173">
        <f>S171-F204</f>
        <v>2481.8029970851326</v>
      </c>
      <c r="T204" s="174">
        <f>S204-F199</f>
        <v>2481.8013252478941</v>
      </c>
      <c r="U204" s="176"/>
      <c r="V204" s="168">
        <f>$T$20-T204</f>
        <v>0.19867475210594421</v>
      </c>
      <c r="Y204" s="180"/>
    </row>
    <row r="205" spans="1:30" s="155" customFormat="1" ht="19.2" x14ac:dyDescent="0.5">
      <c r="A205" s="191"/>
      <c r="B205" s="191" t="str">
        <f>B173</f>
        <v>Total Energy level</v>
      </c>
      <c r="C205" s="191"/>
      <c r="D205" s="192"/>
      <c r="E205" s="183" t="s">
        <v>2</v>
      </c>
      <c r="F205" s="214">
        <f>+F173-F204</f>
        <v>2480.7709560680655</v>
      </c>
      <c r="G205" s="214">
        <f t="shared" ref="G205:R205" si="120">+G173-G204</f>
        <v>2481.748545744847</v>
      </c>
      <c r="H205" s="214">
        <f t="shared" si="120"/>
        <v>2480.9841962049559</v>
      </c>
      <c r="I205" s="214">
        <f t="shared" si="120"/>
        <v>2480.7709560680655</v>
      </c>
      <c r="J205" s="214">
        <f t="shared" si="120"/>
        <v>2480.7709560680655</v>
      </c>
      <c r="K205" s="214">
        <f t="shared" si="120"/>
        <v>2480.7709560680655</v>
      </c>
      <c r="L205" s="214">
        <f t="shared" si="120"/>
        <v>2480.7709560680655</v>
      </c>
      <c r="M205" s="214">
        <f t="shared" si="120"/>
        <v>2480.7709560680655</v>
      </c>
      <c r="N205" s="214">
        <f t="shared" si="120"/>
        <v>2481.6496357501937</v>
      </c>
      <c r="O205" s="214">
        <f t="shared" si="120"/>
        <v>2481.7934783324581</v>
      </c>
      <c r="P205" s="214">
        <f t="shared" si="120"/>
        <v>2481.8675164108704</v>
      </c>
      <c r="Q205" s="214">
        <f t="shared" si="120"/>
        <v>2481.8788829237878</v>
      </c>
      <c r="R205" s="214">
        <f t="shared" si="120"/>
        <v>2481.8757766873164</v>
      </c>
      <c r="S205" s="157"/>
      <c r="T205" s="158"/>
      <c r="U205" s="159"/>
      <c r="V205" s="160"/>
      <c r="Y205" s="164"/>
    </row>
    <row r="206" spans="1:30" s="155" customFormat="1" ht="19.2" x14ac:dyDescent="0.5">
      <c r="A206" s="191"/>
      <c r="B206" s="191" t="s">
        <v>145</v>
      </c>
      <c r="C206" s="191"/>
      <c r="D206" s="192"/>
      <c r="E206" s="183" t="s">
        <v>2</v>
      </c>
      <c r="F206" s="214">
        <f>+F205-F199</f>
        <v>2480.769284230827</v>
      </c>
      <c r="G206" s="214">
        <f t="shared" ref="G206:R206" si="121">+G205-G199</f>
        <v>2481.7482036980114</v>
      </c>
      <c r="H206" s="214">
        <f t="shared" si="121"/>
        <v>2480.9828144328585</v>
      </c>
      <c r="I206" s="214">
        <f t="shared" si="121"/>
        <v>2480.769284230827</v>
      </c>
      <c r="J206" s="214">
        <f t="shared" si="121"/>
        <v>2480.769284230827</v>
      </c>
      <c r="K206" s="214">
        <f t="shared" si="121"/>
        <v>2480.769284230827</v>
      </c>
      <c r="L206" s="214">
        <f t="shared" si="121"/>
        <v>2480.769284230827</v>
      </c>
      <c r="M206" s="214">
        <f t="shared" si="121"/>
        <v>2480.769284230827</v>
      </c>
      <c r="N206" s="214">
        <f t="shared" si="121"/>
        <v>2481.6491591586055</v>
      </c>
      <c r="O206" s="214">
        <f t="shared" si="121"/>
        <v>2481.7931974062803</v>
      </c>
      <c r="P206" s="214">
        <f t="shared" si="121"/>
        <v>2481.8673361968094</v>
      </c>
      <c r="Q206" s="214">
        <f t="shared" si="121"/>
        <v>2481.878718171306</v>
      </c>
      <c r="R206" s="214">
        <f t="shared" si="121"/>
        <v>2481.8756077094999</v>
      </c>
      <c r="S206" s="157"/>
      <c r="T206" s="158"/>
      <c r="U206" s="159"/>
      <c r="V206" s="160"/>
      <c r="Y206" s="164"/>
    </row>
    <row r="207" spans="1:30" ht="19.2" x14ac:dyDescent="0.5">
      <c r="A207" s="186"/>
      <c r="B207" s="186"/>
      <c r="C207" s="186"/>
      <c r="D207" s="187"/>
      <c r="E207" s="188"/>
      <c r="F207" s="230"/>
      <c r="G207" s="230"/>
      <c r="H207" s="230"/>
      <c r="I207" s="230"/>
      <c r="J207" s="230"/>
      <c r="K207" s="230"/>
      <c r="L207" s="230"/>
      <c r="M207" s="230"/>
      <c r="N207" s="230"/>
      <c r="O207" s="230"/>
      <c r="P207" s="230"/>
      <c r="Q207" s="230"/>
      <c r="R207" s="230"/>
      <c r="S207" s="122"/>
      <c r="T207" s="123"/>
      <c r="U207" s="124"/>
      <c r="V207" s="125"/>
      <c r="Y207" s="127"/>
    </row>
    <row r="208" spans="1:30" ht="19.2" x14ac:dyDescent="0.5">
      <c r="A208" s="186"/>
      <c r="B208" s="186"/>
      <c r="C208" s="186"/>
      <c r="D208" s="187"/>
      <c r="E208" s="188"/>
      <c r="F208" s="189"/>
      <c r="G208" s="189"/>
      <c r="H208" s="189"/>
      <c r="I208" s="189"/>
      <c r="J208" s="189"/>
      <c r="K208" s="189"/>
      <c r="L208" s="189"/>
      <c r="M208" s="189"/>
      <c r="N208" s="189"/>
      <c r="O208" s="189"/>
      <c r="P208" s="189"/>
      <c r="Q208" s="189"/>
      <c r="R208" s="189"/>
    </row>
    <row r="209" spans="1:21" ht="19.2" x14ac:dyDescent="0.5">
      <c r="A209" s="196" t="str">
        <f>CONCATENATE(A177,".",2)</f>
        <v>1.7.2</v>
      </c>
      <c r="B209" s="156" t="s">
        <v>251</v>
      </c>
      <c r="C209" s="186"/>
      <c r="D209" s="187"/>
      <c r="E209" s="188"/>
      <c r="F209" s="189"/>
      <c r="G209" s="189"/>
      <c r="H209" s="189"/>
      <c r="I209" s="189"/>
      <c r="J209" s="189"/>
      <c r="K209" s="189"/>
      <c r="L209" s="189"/>
      <c r="M209" s="189"/>
      <c r="N209" s="189"/>
      <c r="O209" s="189"/>
      <c r="P209" s="189"/>
      <c r="Q209" s="189"/>
      <c r="R209" s="189"/>
    </row>
    <row r="210" spans="1:21" ht="19.2" x14ac:dyDescent="0.5">
      <c r="A210" s="186"/>
      <c r="B210" s="186" t="s">
        <v>173</v>
      </c>
      <c r="C210" s="186"/>
      <c r="D210" s="187" t="s">
        <v>252</v>
      </c>
      <c r="E210" s="188" t="s">
        <v>4</v>
      </c>
      <c r="F210" s="189">
        <v>85</v>
      </c>
      <c r="G210" s="189">
        <f>+F210</f>
        <v>85</v>
      </c>
      <c r="H210" s="189">
        <f t="shared" ref="H210:R213" si="122">+G210</f>
        <v>85</v>
      </c>
      <c r="I210" s="189">
        <f t="shared" si="122"/>
        <v>85</v>
      </c>
      <c r="J210" s="189">
        <f t="shared" si="122"/>
        <v>85</v>
      </c>
      <c r="K210" s="189">
        <f t="shared" si="122"/>
        <v>85</v>
      </c>
      <c r="L210" s="189">
        <f t="shared" si="122"/>
        <v>85</v>
      </c>
      <c r="M210" s="189">
        <f t="shared" si="122"/>
        <v>85</v>
      </c>
      <c r="N210" s="189">
        <f t="shared" si="122"/>
        <v>85</v>
      </c>
      <c r="O210" s="189">
        <f t="shared" si="122"/>
        <v>85</v>
      </c>
      <c r="P210" s="189">
        <f t="shared" si="122"/>
        <v>85</v>
      </c>
      <c r="Q210" s="189">
        <f t="shared" si="122"/>
        <v>85</v>
      </c>
      <c r="R210" s="189">
        <f t="shared" si="122"/>
        <v>85</v>
      </c>
    </row>
    <row r="211" spans="1:21" ht="19.2" x14ac:dyDescent="0.5">
      <c r="A211" s="186"/>
      <c r="B211" s="186" t="s">
        <v>253</v>
      </c>
      <c r="C211" s="186"/>
      <c r="D211" s="187"/>
      <c r="E211" s="188"/>
      <c r="F211" s="189">
        <v>2</v>
      </c>
      <c r="G211" s="189">
        <f>+F211</f>
        <v>2</v>
      </c>
      <c r="H211" s="189">
        <f t="shared" si="122"/>
        <v>2</v>
      </c>
      <c r="I211" s="189">
        <f t="shared" si="122"/>
        <v>2</v>
      </c>
      <c r="J211" s="189">
        <f t="shared" si="122"/>
        <v>2</v>
      </c>
      <c r="K211" s="189">
        <f t="shared" si="122"/>
        <v>2</v>
      </c>
      <c r="L211" s="189">
        <f t="shared" si="122"/>
        <v>2</v>
      </c>
      <c r="M211" s="189">
        <f t="shared" si="122"/>
        <v>2</v>
      </c>
      <c r="N211" s="189">
        <f t="shared" si="122"/>
        <v>2</v>
      </c>
      <c r="O211" s="189">
        <f t="shared" si="122"/>
        <v>2</v>
      </c>
      <c r="P211" s="189">
        <f t="shared" si="122"/>
        <v>2</v>
      </c>
      <c r="Q211" s="189">
        <f t="shared" si="122"/>
        <v>2</v>
      </c>
      <c r="R211" s="189">
        <f t="shared" si="122"/>
        <v>2</v>
      </c>
    </row>
    <row r="212" spans="1:21" ht="19.2" x14ac:dyDescent="0.5">
      <c r="A212" s="186"/>
      <c r="B212" s="186" t="s">
        <v>254</v>
      </c>
      <c r="C212" s="186"/>
      <c r="D212" s="187"/>
      <c r="E212" s="188" t="s">
        <v>4</v>
      </c>
      <c r="F212" s="189">
        <v>11.5</v>
      </c>
      <c r="G212" s="189">
        <f>+F212</f>
        <v>11.5</v>
      </c>
      <c r="H212" s="189">
        <f t="shared" si="122"/>
        <v>11.5</v>
      </c>
      <c r="I212" s="189">
        <f t="shared" si="122"/>
        <v>11.5</v>
      </c>
      <c r="J212" s="189">
        <f t="shared" si="122"/>
        <v>11.5</v>
      </c>
      <c r="K212" s="189">
        <f t="shared" si="122"/>
        <v>11.5</v>
      </c>
      <c r="L212" s="189">
        <f t="shared" si="122"/>
        <v>11.5</v>
      </c>
      <c r="M212" s="189">
        <f t="shared" si="122"/>
        <v>11.5</v>
      </c>
      <c r="N212" s="189">
        <f t="shared" si="122"/>
        <v>11.5</v>
      </c>
      <c r="O212" s="189">
        <f t="shared" si="122"/>
        <v>11.5</v>
      </c>
      <c r="P212" s="189">
        <f t="shared" si="122"/>
        <v>11.5</v>
      </c>
      <c r="Q212" s="189">
        <f t="shared" si="122"/>
        <v>11.5</v>
      </c>
      <c r="R212" s="189">
        <f t="shared" si="122"/>
        <v>11.5</v>
      </c>
    </row>
    <row r="213" spans="1:21" ht="19.2" x14ac:dyDescent="0.5">
      <c r="A213" s="186"/>
      <c r="B213" s="186" t="s">
        <v>255</v>
      </c>
      <c r="C213" s="186"/>
      <c r="D213" s="187"/>
      <c r="E213" s="188" t="s">
        <v>4</v>
      </c>
      <c r="F213" s="189">
        <v>0.5</v>
      </c>
      <c r="G213" s="189">
        <f>+F213</f>
        <v>0.5</v>
      </c>
      <c r="H213" s="189">
        <f t="shared" si="122"/>
        <v>0.5</v>
      </c>
      <c r="I213" s="189">
        <f t="shared" si="122"/>
        <v>0.5</v>
      </c>
      <c r="J213" s="189">
        <f t="shared" si="122"/>
        <v>0.5</v>
      </c>
      <c r="K213" s="189">
        <f t="shared" si="122"/>
        <v>0.5</v>
      </c>
      <c r="L213" s="189">
        <f t="shared" si="122"/>
        <v>0.5</v>
      </c>
      <c r="M213" s="189">
        <f t="shared" si="122"/>
        <v>0.5</v>
      </c>
      <c r="N213" s="189">
        <f t="shared" si="122"/>
        <v>0.5</v>
      </c>
      <c r="O213" s="189">
        <f t="shared" si="122"/>
        <v>0.5</v>
      </c>
      <c r="P213" s="189">
        <f t="shared" si="122"/>
        <v>0.5</v>
      </c>
      <c r="Q213" s="189">
        <f t="shared" si="122"/>
        <v>0.5</v>
      </c>
      <c r="R213" s="189">
        <f t="shared" si="122"/>
        <v>0.5</v>
      </c>
    </row>
    <row r="214" spans="1:21" ht="19.2" x14ac:dyDescent="0.5">
      <c r="A214" s="186"/>
      <c r="B214" s="186" t="s">
        <v>256</v>
      </c>
      <c r="C214" s="186"/>
      <c r="D214" s="187"/>
      <c r="E214" s="188" t="s">
        <v>4</v>
      </c>
      <c r="F214" s="189">
        <f>(F212-F213)</f>
        <v>11</v>
      </c>
      <c r="G214" s="189">
        <f t="shared" ref="G214:R214" si="123">(G212-G213)</f>
        <v>11</v>
      </c>
      <c r="H214" s="189">
        <f t="shared" si="123"/>
        <v>11</v>
      </c>
      <c r="I214" s="189">
        <f t="shared" si="123"/>
        <v>11</v>
      </c>
      <c r="J214" s="189">
        <f t="shared" si="123"/>
        <v>11</v>
      </c>
      <c r="K214" s="189">
        <f t="shared" si="123"/>
        <v>11</v>
      </c>
      <c r="L214" s="189">
        <f t="shared" si="123"/>
        <v>11</v>
      </c>
      <c r="M214" s="189">
        <f t="shared" si="123"/>
        <v>11</v>
      </c>
      <c r="N214" s="189">
        <f t="shared" si="123"/>
        <v>11</v>
      </c>
      <c r="O214" s="189">
        <f t="shared" si="123"/>
        <v>11</v>
      </c>
      <c r="P214" s="189">
        <f t="shared" si="123"/>
        <v>11</v>
      </c>
      <c r="Q214" s="189">
        <f t="shared" si="123"/>
        <v>11</v>
      </c>
      <c r="R214" s="189">
        <f t="shared" si="123"/>
        <v>11</v>
      </c>
    </row>
    <row r="215" spans="1:21" ht="19.2" x14ac:dyDescent="0.5">
      <c r="A215" s="186"/>
      <c r="B215" s="186" t="s">
        <v>175</v>
      </c>
      <c r="C215" s="186"/>
      <c r="D215" s="187"/>
      <c r="E215" s="188" t="s">
        <v>4</v>
      </c>
      <c r="F215" s="189">
        <f>(3.35+5.06)/2</f>
        <v>4.2050000000000001</v>
      </c>
      <c r="G215" s="189">
        <f t="shared" ref="G215:R215" si="124">(3.35+5.06)/2</f>
        <v>4.2050000000000001</v>
      </c>
      <c r="H215" s="189">
        <f t="shared" si="124"/>
        <v>4.2050000000000001</v>
      </c>
      <c r="I215" s="189">
        <f t="shared" si="124"/>
        <v>4.2050000000000001</v>
      </c>
      <c r="J215" s="189">
        <f t="shared" si="124"/>
        <v>4.2050000000000001</v>
      </c>
      <c r="K215" s="189">
        <f t="shared" si="124"/>
        <v>4.2050000000000001</v>
      </c>
      <c r="L215" s="189">
        <f t="shared" si="124"/>
        <v>4.2050000000000001</v>
      </c>
      <c r="M215" s="189">
        <f t="shared" si="124"/>
        <v>4.2050000000000001</v>
      </c>
      <c r="N215" s="189">
        <f t="shared" si="124"/>
        <v>4.2050000000000001</v>
      </c>
      <c r="O215" s="189">
        <f t="shared" si="124"/>
        <v>4.2050000000000001</v>
      </c>
      <c r="P215" s="189">
        <f t="shared" si="124"/>
        <v>4.2050000000000001</v>
      </c>
      <c r="Q215" s="189">
        <f t="shared" si="124"/>
        <v>4.2050000000000001</v>
      </c>
      <c r="R215" s="189">
        <f t="shared" si="124"/>
        <v>4.2050000000000001</v>
      </c>
    </row>
    <row r="216" spans="1:21" ht="19.2" x14ac:dyDescent="0.5">
      <c r="A216" s="186"/>
      <c r="B216" s="186" t="s">
        <v>257</v>
      </c>
      <c r="C216" s="186"/>
      <c r="D216" s="187"/>
      <c r="E216" s="188" t="s">
        <v>258</v>
      </c>
      <c r="F216" s="189">
        <f t="shared" ref="F216:R216" si="125">F136</f>
        <v>6.8750000000000009</v>
      </c>
      <c r="G216" s="189">
        <f t="shared" si="125"/>
        <v>3.1097000000000001</v>
      </c>
      <c r="H216" s="189">
        <f t="shared" si="125"/>
        <v>6.2502000000000013</v>
      </c>
      <c r="I216" s="189">
        <f t="shared" si="125"/>
        <v>6.8750000000000009</v>
      </c>
      <c r="J216" s="189">
        <f t="shared" si="125"/>
        <v>6.8750000000000009</v>
      </c>
      <c r="K216" s="189">
        <f t="shared" si="125"/>
        <v>6.8750000000000009</v>
      </c>
      <c r="L216" s="189">
        <f t="shared" si="125"/>
        <v>6.8750000000000009</v>
      </c>
      <c r="M216" s="189">
        <f t="shared" si="125"/>
        <v>6.8750000000000009</v>
      </c>
      <c r="N216" s="189">
        <f t="shared" si="125"/>
        <v>3.6707000000000005</v>
      </c>
      <c r="O216" s="189">
        <f t="shared" si="125"/>
        <v>2.8182</v>
      </c>
      <c r="P216" s="189">
        <f t="shared" si="125"/>
        <v>2.2572000000000001</v>
      </c>
      <c r="Q216" s="189">
        <f t="shared" si="125"/>
        <v>2.1582000000000003</v>
      </c>
      <c r="R216" s="189">
        <f t="shared" si="125"/>
        <v>2.1857000000000002</v>
      </c>
    </row>
    <row r="217" spans="1:21" ht="19.2" x14ac:dyDescent="0.5">
      <c r="A217" s="186"/>
      <c r="B217" s="186" t="s">
        <v>259</v>
      </c>
      <c r="C217" s="186"/>
      <c r="D217" s="187"/>
      <c r="E217" s="188"/>
      <c r="F217" s="189">
        <v>0.44</v>
      </c>
      <c r="G217" s="189">
        <f>+F217</f>
        <v>0.44</v>
      </c>
      <c r="H217" s="189">
        <f t="shared" ref="H217:R217" si="126">+G217</f>
        <v>0.44</v>
      </c>
      <c r="I217" s="189">
        <f t="shared" si="126"/>
        <v>0.44</v>
      </c>
      <c r="J217" s="189">
        <f t="shared" si="126"/>
        <v>0.44</v>
      </c>
      <c r="K217" s="189">
        <f t="shared" si="126"/>
        <v>0.44</v>
      </c>
      <c r="L217" s="189">
        <f t="shared" si="126"/>
        <v>0.44</v>
      </c>
      <c r="M217" s="189">
        <f t="shared" si="126"/>
        <v>0.44</v>
      </c>
      <c r="N217" s="189">
        <f t="shared" si="126"/>
        <v>0.44</v>
      </c>
      <c r="O217" s="189">
        <f t="shared" si="126"/>
        <v>0.44</v>
      </c>
      <c r="P217" s="189">
        <f t="shared" si="126"/>
        <v>0.44</v>
      </c>
      <c r="Q217" s="189">
        <f t="shared" si="126"/>
        <v>0.44</v>
      </c>
      <c r="R217" s="189">
        <f t="shared" si="126"/>
        <v>0.44</v>
      </c>
    </row>
    <row r="218" spans="1:21" ht="19.2" x14ac:dyDescent="0.5">
      <c r="A218" s="186"/>
      <c r="B218" s="186" t="s">
        <v>260</v>
      </c>
      <c r="C218" s="186"/>
      <c r="D218" s="187"/>
      <c r="E218" s="188"/>
      <c r="F218" s="189">
        <f>F217*SQRT(0.15)</f>
        <v>0.17041126723312636</v>
      </c>
      <c r="G218" s="189">
        <f t="shared" ref="G218:R218" si="127">G217*SQRT(0.15)</f>
        <v>0.17041126723312636</v>
      </c>
      <c r="H218" s="189">
        <f t="shared" si="127"/>
        <v>0.17041126723312636</v>
      </c>
      <c r="I218" s="189">
        <f t="shared" si="127"/>
        <v>0.17041126723312636</v>
      </c>
      <c r="J218" s="189">
        <f t="shared" si="127"/>
        <v>0.17041126723312636</v>
      </c>
      <c r="K218" s="189">
        <f t="shared" si="127"/>
        <v>0.17041126723312636</v>
      </c>
      <c r="L218" s="189">
        <f t="shared" si="127"/>
        <v>0.17041126723312636</v>
      </c>
      <c r="M218" s="189">
        <f t="shared" si="127"/>
        <v>0.17041126723312636</v>
      </c>
      <c r="N218" s="189">
        <f t="shared" si="127"/>
        <v>0.17041126723312636</v>
      </c>
      <c r="O218" s="189">
        <f t="shared" si="127"/>
        <v>0.17041126723312636</v>
      </c>
      <c r="P218" s="189">
        <f t="shared" si="127"/>
        <v>0.17041126723312636</v>
      </c>
      <c r="Q218" s="189">
        <f t="shared" si="127"/>
        <v>0.17041126723312636</v>
      </c>
      <c r="R218" s="189">
        <f t="shared" si="127"/>
        <v>0.17041126723312636</v>
      </c>
    </row>
    <row r="219" spans="1:21" ht="19.2" x14ac:dyDescent="0.5">
      <c r="A219" s="186"/>
      <c r="B219" s="186" t="s">
        <v>261</v>
      </c>
      <c r="C219" s="186"/>
      <c r="D219" s="187"/>
      <c r="E219" s="188"/>
      <c r="F219" s="189">
        <f>F215</f>
        <v>4.2050000000000001</v>
      </c>
      <c r="G219" s="189">
        <f t="shared" ref="G219:R219" si="128">G215</f>
        <v>4.2050000000000001</v>
      </c>
      <c r="H219" s="189">
        <f t="shared" si="128"/>
        <v>4.2050000000000001</v>
      </c>
      <c r="I219" s="189">
        <f t="shared" si="128"/>
        <v>4.2050000000000001</v>
      </c>
      <c r="J219" s="189">
        <f t="shared" si="128"/>
        <v>4.2050000000000001</v>
      </c>
      <c r="K219" s="189">
        <f t="shared" si="128"/>
        <v>4.2050000000000001</v>
      </c>
      <c r="L219" s="189">
        <f t="shared" si="128"/>
        <v>4.2050000000000001</v>
      </c>
      <c r="M219" s="189">
        <f t="shared" si="128"/>
        <v>4.2050000000000001</v>
      </c>
      <c r="N219" s="189">
        <f t="shared" si="128"/>
        <v>4.2050000000000001</v>
      </c>
      <c r="O219" s="189">
        <f t="shared" si="128"/>
        <v>4.2050000000000001</v>
      </c>
      <c r="P219" s="189">
        <f t="shared" si="128"/>
        <v>4.2050000000000001</v>
      </c>
      <c r="Q219" s="189">
        <f t="shared" si="128"/>
        <v>4.2050000000000001</v>
      </c>
      <c r="R219" s="189">
        <f t="shared" si="128"/>
        <v>4.2050000000000001</v>
      </c>
    </row>
    <row r="220" spans="1:21" ht="19.2" x14ac:dyDescent="0.5">
      <c r="A220" s="186"/>
      <c r="B220" s="186" t="s">
        <v>262</v>
      </c>
      <c r="C220" s="186"/>
      <c r="D220" s="187" t="s">
        <v>263</v>
      </c>
      <c r="E220" s="188" t="s">
        <v>153</v>
      </c>
      <c r="F220" s="217">
        <f>F214*F221</f>
        <v>46.255000000000003</v>
      </c>
      <c r="G220" s="217">
        <f t="shared" ref="G220:R220" si="129">G214*G221</f>
        <v>46.255000000000003</v>
      </c>
      <c r="H220" s="217">
        <f t="shared" si="129"/>
        <v>46.255000000000003</v>
      </c>
      <c r="I220" s="217">
        <f t="shared" si="129"/>
        <v>46.255000000000003</v>
      </c>
      <c r="J220" s="217">
        <f t="shared" si="129"/>
        <v>46.255000000000003</v>
      </c>
      <c r="K220" s="217">
        <f t="shared" si="129"/>
        <v>46.255000000000003</v>
      </c>
      <c r="L220" s="217">
        <f t="shared" si="129"/>
        <v>46.255000000000003</v>
      </c>
      <c r="M220" s="217">
        <f t="shared" si="129"/>
        <v>46.255000000000003</v>
      </c>
      <c r="N220" s="217">
        <f t="shared" si="129"/>
        <v>46.255000000000003</v>
      </c>
      <c r="O220" s="217">
        <f t="shared" si="129"/>
        <v>46.255000000000003</v>
      </c>
      <c r="P220" s="217">
        <f t="shared" si="129"/>
        <v>46.255000000000003</v>
      </c>
      <c r="Q220" s="217">
        <f t="shared" si="129"/>
        <v>46.255000000000003</v>
      </c>
      <c r="R220" s="217">
        <f t="shared" si="129"/>
        <v>46.255000000000003</v>
      </c>
      <c r="S220" s="118"/>
    </row>
    <row r="221" spans="1:21" ht="19.2" x14ac:dyDescent="0.5">
      <c r="A221" s="186"/>
      <c r="B221" s="186" t="s">
        <v>264</v>
      </c>
      <c r="C221" s="186"/>
      <c r="D221" s="187" t="s">
        <v>265</v>
      </c>
      <c r="E221" s="188"/>
      <c r="F221" s="217">
        <f>F219</f>
        <v>4.2050000000000001</v>
      </c>
      <c r="G221" s="217">
        <f t="shared" ref="G221:R221" si="130">G219</f>
        <v>4.2050000000000001</v>
      </c>
      <c r="H221" s="217">
        <f t="shared" si="130"/>
        <v>4.2050000000000001</v>
      </c>
      <c r="I221" s="217">
        <f t="shared" si="130"/>
        <v>4.2050000000000001</v>
      </c>
      <c r="J221" s="217">
        <f t="shared" si="130"/>
        <v>4.2050000000000001</v>
      </c>
      <c r="K221" s="217">
        <f t="shared" si="130"/>
        <v>4.2050000000000001</v>
      </c>
      <c r="L221" s="217">
        <f t="shared" si="130"/>
        <v>4.2050000000000001</v>
      </c>
      <c r="M221" s="217">
        <f t="shared" si="130"/>
        <v>4.2050000000000001</v>
      </c>
      <c r="N221" s="217">
        <f t="shared" si="130"/>
        <v>4.2050000000000001</v>
      </c>
      <c r="O221" s="217">
        <f t="shared" si="130"/>
        <v>4.2050000000000001</v>
      </c>
      <c r="P221" s="217">
        <f t="shared" si="130"/>
        <v>4.2050000000000001</v>
      </c>
      <c r="Q221" s="217">
        <f t="shared" si="130"/>
        <v>4.2050000000000001</v>
      </c>
      <c r="R221" s="217">
        <f t="shared" si="130"/>
        <v>4.2050000000000001</v>
      </c>
      <c r="S221" s="118"/>
    </row>
    <row r="222" spans="1:21" ht="19.2" x14ac:dyDescent="0.5">
      <c r="A222" s="186"/>
      <c r="B222" s="186" t="s">
        <v>183</v>
      </c>
      <c r="C222" s="186"/>
      <c r="D222" s="187" t="s">
        <v>266</v>
      </c>
      <c r="E222" s="188" t="s">
        <v>4</v>
      </c>
      <c r="F222" s="189">
        <f>F214+2*F221</f>
        <v>19.41</v>
      </c>
      <c r="G222" s="189">
        <f t="shared" ref="G222:R222" si="131">G214+2*G221</f>
        <v>19.41</v>
      </c>
      <c r="H222" s="189">
        <f t="shared" si="131"/>
        <v>19.41</v>
      </c>
      <c r="I222" s="189">
        <f t="shared" si="131"/>
        <v>19.41</v>
      </c>
      <c r="J222" s="189">
        <f t="shared" si="131"/>
        <v>19.41</v>
      </c>
      <c r="K222" s="189">
        <f t="shared" si="131"/>
        <v>19.41</v>
      </c>
      <c r="L222" s="189">
        <f t="shared" si="131"/>
        <v>19.41</v>
      </c>
      <c r="M222" s="189">
        <f t="shared" si="131"/>
        <v>19.41</v>
      </c>
      <c r="N222" s="189">
        <f t="shared" si="131"/>
        <v>19.41</v>
      </c>
      <c r="O222" s="189">
        <f t="shared" si="131"/>
        <v>19.41</v>
      </c>
      <c r="P222" s="189">
        <f t="shared" si="131"/>
        <v>19.41</v>
      </c>
      <c r="Q222" s="189">
        <f t="shared" si="131"/>
        <v>19.41</v>
      </c>
      <c r="R222" s="189">
        <f t="shared" si="131"/>
        <v>19.41</v>
      </c>
      <c r="T222" s="121"/>
      <c r="U222" s="121"/>
    </row>
    <row r="223" spans="1:21" ht="19.2" x14ac:dyDescent="0.5">
      <c r="A223" s="186"/>
      <c r="B223" s="186" t="s">
        <v>184</v>
      </c>
      <c r="C223" s="186"/>
      <c r="D223" s="187" t="s">
        <v>267</v>
      </c>
      <c r="E223" s="188" t="s">
        <v>4</v>
      </c>
      <c r="F223" s="189">
        <f>F220/F222</f>
        <v>2.3830499742400826</v>
      </c>
      <c r="G223" s="189">
        <f t="shared" ref="G223:R223" si="132">G220/G222</f>
        <v>2.3830499742400826</v>
      </c>
      <c r="H223" s="189">
        <f t="shared" si="132"/>
        <v>2.3830499742400826</v>
      </c>
      <c r="I223" s="189">
        <f t="shared" si="132"/>
        <v>2.3830499742400826</v>
      </c>
      <c r="J223" s="189">
        <f t="shared" si="132"/>
        <v>2.3830499742400826</v>
      </c>
      <c r="K223" s="189">
        <f t="shared" si="132"/>
        <v>2.3830499742400826</v>
      </c>
      <c r="L223" s="189">
        <f t="shared" si="132"/>
        <v>2.3830499742400826</v>
      </c>
      <c r="M223" s="189">
        <f t="shared" si="132"/>
        <v>2.3830499742400826</v>
      </c>
      <c r="N223" s="189">
        <f t="shared" si="132"/>
        <v>2.3830499742400826</v>
      </c>
      <c r="O223" s="189">
        <f t="shared" si="132"/>
        <v>2.3830499742400826</v>
      </c>
      <c r="P223" s="189">
        <f t="shared" si="132"/>
        <v>2.3830499742400826</v>
      </c>
      <c r="Q223" s="189">
        <f t="shared" si="132"/>
        <v>2.3830499742400826</v>
      </c>
      <c r="R223" s="189">
        <f t="shared" si="132"/>
        <v>2.3830499742400826</v>
      </c>
    </row>
    <row r="224" spans="1:21" ht="19.2" x14ac:dyDescent="0.5">
      <c r="A224" s="186"/>
      <c r="B224" s="186" t="s">
        <v>186</v>
      </c>
      <c r="C224" s="186"/>
      <c r="D224" s="187"/>
      <c r="E224" s="188" t="s">
        <v>187</v>
      </c>
      <c r="F224" s="194">
        <v>2.5000000000000001E-2</v>
      </c>
      <c r="G224" s="194">
        <v>2.5000000000000001E-2</v>
      </c>
      <c r="H224" s="194">
        <v>2.5000000000000001E-2</v>
      </c>
      <c r="I224" s="194">
        <v>2.5000000000000001E-2</v>
      </c>
      <c r="J224" s="194">
        <v>2.5000000000000001E-2</v>
      </c>
      <c r="K224" s="194">
        <v>2.5000000000000001E-2</v>
      </c>
      <c r="L224" s="194">
        <v>2.5000000000000001E-2</v>
      </c>
      <c r="M224" s="194">
        <v>2.5000000000000001E-2</v>
      </c>
      <c r="N224" s="194">
        <v>2.5000000000000001E-2</v>
      </c>
      <c r="O224" s="194">
        <v>2.5000000000000001E-2</v>
      </c>
      <c r="P224" s="194">
        <v>2.5000000000000001E-2</v>
      </c>
      <c r="Q224" s="194">
        <v>2.5000000000000001E-2</v>
      </c>
      <c r="R224" s="194">
        <v>2.5000000000000001E-2</v>
      </c>
    </row>
    <row r="225" spans="1:22" ht="19.2" x14ac:dyDescent="0.5">
      <c r="A225" s="186"/>
      <c r="B225" s="186" t="s">
        <v>154</v>
      </c>
      <c r="C225" s="186"/>
      <c r="D225" s="187" t="s">
        <v>268</v>
      </c>
      <c r="E225" s="188" t="s">
        <v>117</v>
      </c>
      <c r="F225" s="189">
        <f>F216/(F214*F221)</f>
        <v>0.14863258026159334</v>
      </c>
      <c r="G225" s="189">
        <f t="shared" ref="G225:R225" si="133">G216/(G214*G221)</f>
        <v>6.7229488703923895E-2</v>
      </c>
      <c r="H225" s="189">
        <f t="shared" si="133"/>
        <v>0.13512485136741975</v>
      </c>
      <c r="I225" s="189">
        <f t="shared" si="133"/>
        <v>0.14863258026159334</v>
      </c>
      <c r="J225" s="189">
        <f t="shared" si="133"/>
        <v>0.14863258026159334</v>
      </c>
      <c r="K225" s="189">
        <f t="shared" si="133"/>
        <v>0.14863258026159334</v>
      </c>
      <c r="L225" s="189">
        <f t="shared" si="133"/>
        <v>0.14863258026159334</v>
      </c>
      <c r="M225" s="189">
        <f t="shared" si="133"/>
        <v>0.14863258026159334</v>
      </c>
      <c r="N225" s="189">
        <f t="shared" si="133"/>
        <v>7.9357907253269924E-2</v>
      </c>
      <c r="O225" s="189">
        <f t="shared" si="133"/>
        <v>6.0927467300832337E-2</v>
      </c>
      <c r="P225" s="189">
        <f t="shared" si="133"/>
        <v>4.8799048751486322E-2</v>
      </c>
      <c r="Q225" s="189">
        <f t="shared" si="133"/>
        <v>4.6658739595719388E-2</v>
      </c>
      <c r="R225" s="189">
        <f t="shared" si="133"/>
        <v>4.7253269916765754E-2</v>
      </c>
    </row>
    <row r="226" spans="1:22" ht="19.2" x14ac:dyDescent="0.5">
      <c r="A226" s="186"/>
      <c r="B226" s="186" t="s">
        <v>118</v>
      </c>
      <c r="C226" s="186"/>
      <c r="D226" s="187" t="s">
        <v>269</v>
      </c>
      <c r="E226" s="188" t="s">
        <v>4</v>
      </c>
      <c r="F226" s="218">
        <f>F225^2/(2*9.81)</f>
        <v>1.1259757347206415E-3</v>
      </c>
      <c r="G226" s="218">
        <f t="shared" ref="G226:R226" si="134">G225^2/(2*9.81)</f>
        <v>2.3036718406682112E-4</v>
      </c>
      <c r="H226" s="218">
        <f t="shared" si="134"/>
        <v>9.3061801514104383E-4</v>
      </c>
      <c r="I226" s="218">
        <f t="shared" si="134"/>
        <v>1.1259757347206415E-3</v>
      </c>
      <c r="J226" s="218">
        <f t="shared" si="134"/>
        <v>1.1259757347206415E-3</v>
      </c>
      <c r="K226" s="218">
        <f t="shared" si="134"/>
        <v>1.1259757347206415E-3</v>
      </c>
      <c r="L226" s="218">
        <f t="shared" si="134"/>
        <v>1.1259757347206415E-3</v>
      </c>
      <c r="M226" s="218">
        <f t="shared" si="134"/>
        <v>1.1259757347206415E-3</v>
      </c>
      <c r="N226" s="218">
        <f t="shared" si="134"/>
        <v>3.2098254044946945E-4</v>
      </c>
      <c r="O226" s="218">
        <f t="shared" si="134"/>
        <v>1.8920266420458681E-4</v>
      </c>
      <c r="P226" s="218">
        <f t="shared" si="134"/>
        <v>1.2137345357033326E-4</v>
      </c>
      <c r="Q226" s="218">
        <f t="shared" si="134"/>
        <v>1.1096014172584873E-4</v>
      </c>
      <c r="R226" s="218">
        <f t="shared" si="134"/>
        <v>1.1380588775875227E-4</v>
      </c>
    </row>
    <row r="227" spans="1:22" ht="19.2" x14ac:dyDescent="0.5">
      <c r="A227" s="186"/>
      <c r="B227" s="186"/>
      <c r="C227" s="186"/>
      <c r="D227" s="187"/>
      <c r="E227" s="188"/>
      <c r="F227" s="189"/>
      <c r="G227" s="189"/>
      <c r="H227" s="189"/>
      <c r="I227" s="189"/>
      <c r="J227" s="189"/>
      <c r="K227" s="189"/>
      <c r="L227" s="189"/>
      <c r="M227" s="189"/>
      <c r="N227" s="189"/>
      <c r="O227" s="189"/>
      <c r="P227" s="189"/>
      <c r="Q227" s="189"/>
      <c r="R227" s="189"/>
    </row>
    <row r="228" spans="1:22" s="172" customFormat="1" ht="20.399999999999999" x14ac:dyDescent="0.5">
      <c r="A228" s="210"/>
      <c r="B228" s="210" t="s">
        <v>216</v>
      </c>
      <c r="C228" s="210" t="s">
        <v>503</v>
      </c>
      <c r="D228" s="211"/>
      <c r="E228" s="212" t="s">
        <v>4</v>
      </c>
      <c r="F228" s="219">
        <f>(F180^2)*(F225^2)*F210/(F223^(4/3))</f>
        <v>1.327349462745731E-4</v>
      </c>
      <c r="G228" s="219">
        <f>(G180^2)*(G225^2)*G210/(G223^(4/3))</f>
        <v>2.7156691620997176E-5</v>
      </c>
      <c r="H228" s="219">
        <f t="shared" ref="H228:R228" si="135">(H180^2)*(H225^2)*H210/(H223^(4/3))</f>
        <v>1.0970532350996301E-4</v>
      </c>
      <c r="I228" s="219">
        <f t="shared" si="135"/>
        <v>1.327349462745731E-4</v>
      </c>
      <c r="J228" s="219">
        <f t="shared" si="135"/>
        <v>1.327349462745731E-4</v>
      </c>
      <c r="K228" s="219">
        <f t="shared" si="135"/>
        <v>1.327349462745731E-4</v>
      </c>
      <c r="L228" s="219">
        <f t="shared" si="135"/>
        <v>1.327349462745731E-4</v>
      </c>
      <c r="M228" s="219">
        <f t="shared" si="135"/>
        <v>1.327349462745731E-4</v>
      </c>
      <c r="N228" s="219">
        <f t="shared" si="135"/>
        <v>3.7838826315566121E-5</v>
      </c>
      <c r="O228" s="219">
        <f t="shared" si="135"/>
        <v>2.2304037905783776E-5</v>
      </c>
      <c r="P228" s="219">
        <f t="shared" si="135"/>
        <v>1.4308033771984122E-5</v>
      </c>
      <c r="Q228" s="219">
        <f t="shared" si="135"/>
        <v>1.308046700869063E-5</v>
      </c>
      <c r="R228" s="219">
        <f t="shared" si="135"/>
        <v>1.3415936002507133E-5</v>
      </c>
      <c r="S228" s="173">
        <f>S204-F228</f>
        <v>2481.8028643501862</v>
      </c>
      <c r="T228" s="174">
        <f>S228-F226</f>
        <v>2481.8017383744514</v>
      </c>
      <c r="U228" s="176"/>
      <c r="V228" s="168">
        <f>$T$20-T228</f>
        <v>0.19826162554863913</v>
      </c>
    </row>
    <row r="229" spans="1:22" s="155" customFormat="1" ht="19.2" x14ac:dyDescent="0.5">
      <c r="A229" s="191"/>
      <c r="B229" s="191" t="s">
        <v>226</v>
      </c>
      <c r="C229" s="191"/>
      <c r="D229" s="192"/>
      <c r="E229" s="183" t="s">
        <v>2</v>
      </c>
      <c r="F229" s="214">
        <f>+F205-F228</f>
        <v>2480.7708233331191</v>
      </c>
      <c r="G229" s="231">
        <f t="shared" ref="G229:R229" si="136">+G205-G228</f>
        <v>2481.7485185881555</v>
      </c>
      <c r="H229" s="214">
        <f t="shared" si="136"/>
        <v>2480.9840864996322</v>
      </c>
      <c r="I229" s="214">
        <f t="shared" si="136"/>
        <v>2480.7708233331191</v>
      </c>
      <c r="J229" s="214">
        <f t="shared" si="136"/>
        <v>2480.7708233331191</v>
      </c>
      <c r="K229" s="214">
        <f t="shared" si="136"/>
        <v>2480.7708233331191</v>
      </c>
      <c r="L229" s="214">
        <f t="shared" si="136"/>
        <v>2480.7708233331191</v>
      </c>
      <c r="M229" s="214">
        <f t="shared" si="136"/>
        <v>2480.7708233331191</v>
      </c>
      <c r="N229" s="214">
        <f t="shared" si="136"/>
        <v>2481.6495979113674</v>
      </c>
      <c r="O229" s="214">
        <f t="shared" si="136"/>
        <v>2481.7934560284202</v>
      </c>
      <c r="P229" s="214">
        <f t="shared" si="136"/>
        <v>2481.8675021028366</v>
      </c>
      <c r="Q229" s="214">
        <f t="shared" si="136"/>
        <v>2481.8788698433209</v>
      </c>
      <c r="R229" s="214">
        <f t="shared" si="136"/>
        <v>2481.8757632713805</v>
      </c>
      <c r="S229" s="157"/>
      <c r="T229" s="158"/>
      <c r="U229" s="159"/>
      <c r="V229" s="160"/>
    </row>
    <row r="230" spans="1:22" s="155" customFormat="1" ht="19.2" x14ac:dyDescent="0.5">
      <c r="A230" s="191"/>
      <c r="B230" s="191" t="s">
        <v>145</v>
      </c>
      <c r="C230" s="191"/>
      <c r="D230" s="192"/>
      <c r="E230" s="183" t="s">
        <v>2</v>
      </c>
      <c r="F230" s="214">
        <f>+F229-F226</f>
        <v>2480.7696973573843</v>
      </c>
      <c r="G230" s="231">
        <f t="shared" ref="G230:R230" si="137">+G229-G226</f>
        <v>2481.7482882209715</v>
      </c>
      <c r="H230" s="214">
        <f t="shared" si="137"/>
        <v>2480.9831558816172</v>
      </c>
      <c r="I230" s="214">
        <f t="shared" si="137"/>
        <v>2480.7696973573843</v>
      </c>
      <c r="J230" s="214">
        <f t="shared" si="137"/>
        <v>2480.7696973573843</v>
      </c>
      <c r="K230" s="214">
        <f t="shared" si="137"/>
        <v>2480.7696973573843</v>
      </c>
      <c r="L230" s="214">
        <f t="shared" si="137"/>
        <v>2480.7696973573843</v>
      </c>
      <c r="M230" s="214">
        <f t="shared" si="137"/>
        <v>2480.7696973573843</v>
      </c>
      <c r="N230" s="214">
        <f t="shared" si="137"/>
        <v>2481.649276928827</v>
      </c>
      <c r="O230" s="214">
        <f t="shared" si="137"/>
        <v>2481.7932668257558</v>
      </c>
      <c r="P230" s="214">
        <f t="shared" si="137"/>
        <v>2481.8673807293831</v>
      </c>
      <c r="Q230" s="214">
        <f t="shared" si="137"/>
        <v>2481.8787588831792</v>
      </c>
      <c r="R230" s="214">
        <f t="shared" si="137"/>
        <v>2481.8756494654926</v>
      </c>
      <c r="S230" s="157"/>
      <c r="T230" s="158"/>
      <c r="U230" s="159"/>
      <c r="V230" s="160"/>
    </row>
    <row r="231" spans="1:22" ht="19.2" x14ac:dyDescent="0.5">
      <c r="A231" s="186"/>
      <c r="B231" s="186"/>
      <c r="C231" s="186"/>
      <c r="D231" s="187"/>
      <c r="E231" s="188"/>
      <c r="F231" s="230"/>
      <c r="G231" s="230"/>
      <c r="H231" s="230"/>
      <c r="I231" s="230"/>
      <c r="J231" s="230"/>
      <c r="K231" s="230"/>
      <c r="L231" s="230"/>
      <c r="M231" s="230"/>
      <c r="N231" s="230"/>
      <c r="O231" s="230"/>
      <c r="P231" s="230"/>
      <c r="Q231" s="230"/>
      <c r="R231" s="230"/>
      <c r="S231" s="122"/>
      <c r="T231" s="123"/>
      <c r="U231" s="124"/>
      <c r="V231" s="125"/>
    </row>
    <row r="232" spans="1:22" ht="19.2" x14ac:dyDescent="0.5">
      <c r="A232" s="186"/>
      <c r="B232" s="186"/>
      <c r="C232" s="186"/>
      <c r="D232" s="187"/>
      <c r="E232" s="188"/>
      <c r="F232" s="190"/>
      <c r="G232" s="190"/>
      <c r="H232" s="190"/>
      <c r="I232" s="190"/>
      <c r="J232" s="190"/>
      <c r="K232" s="190"/>
      <c r="L232" s="190"/>
      <c r="M232" s="190"/>
      <c r="N232" s="190"/>
      <c r="O232" s="190"/>
      <c r="P232" s="190"/>
      <c r="Q232" s="190"/>
      <c r="R232" s="190"/>
    </row>
    <row r="233" spans="1:22" ht="19.2" x14ac:dyDescent="0.5">
      <c r="A233" s="196" t="str">
        <f>CONCATENATE(A177,".",3)</f>
        <v>1.7.3</v>
      </c>
      <c r="B233" s="156" t="s">
        <v>270</v>
      </c>
      <c r="C233" s="186"/>
      <c r="D233" s="187"/>
      <c r="E233" s="188"/>
      <c r="F233" s="190"/>
      <c r="G233" s="190"/>
      <c r="H233" s="190"/>
      <c r="I233" s="190"/>
      <c r="J233" s="190"/>
      <c r="K233" s="190"/>
      <c r="L233" s="190"/>
      <c r="M233" s="190"/>
      <c r="N233" s="190"/>
      <c r="O233" s="190"/>
      <c r="P233" s="190"/>
      <c r="Q233" s="190"/>
      <c r="R233" s="190"/>
    </row>
    <row r="234" spans="1:22" ht="19.2" x14ac:dyDescent="0.5">
      <c r="A234" s="186"/>
      <c r="B234" s="186" t="s">
        <v>148</v>
      </c>
      <c r="C234" s="186"/>
      <c r="D234" s="187" t="s">
        <v>476</v>
      </c>
      <c r="E234" s="188"/>
      <c r="F234" s="189">
        <f>F44</f>
        <v>0.6</v>
      </c>
      <c r="G234" s="189">
        <f>+F234</f>
        <v>0.6</v>
      </c>
      <c r="H234" s="189">
        <f t="shared" ref="H234:R237" si="138">+G234</f>
        <v>0.6</v>
      </c>
      <c r="I234" s="189">
        <f t="shared" si="138"/>
        <v>0.6</v>
      </c>
      <c r="J234" s="189">
        <f t="shared" si="138"/>
        <v>0.6</v>
      </c>
      <c r="K234" s="189">
        <f t="shared" si="138"/>
        <v>0.6</v>
      </c>
      <c r="L234" s="189">
        <f t="shared" si="138"/>
        <v>0.6</v>
      </c>
      <c r="M234" s="189">
        <f t="shared" si="138"/>
        <v>0.6</v>
      </c>
      <c r="N234" s="189">
        <f t="shared" si="138"/>
        <v>0.6</v>
      </c>
      <c r="O234" s="189">
        <f t="shared" si="138"/>
        <v>0.6</v>
      </c>
      <c r="P234" s="189">
        <f t="shared" si="138"/>
        <v>0.6</v>
      </c>
      <c r="Q234" s="189">
        <f t="shared" si="138"/>
        <v>0.6</v>
      </c>
      <c r="R234" s="189">
        <f t="shared" si="138"/>
        <v>0.6</v>
      </c>
    </row>
    <row r="235" spans="1:22" ht="19.2" x14ac:dyDescent="0.5">
      <c r="A235" s="186"/>
      <c r="B235" s="186" t="s">
        <v>271</v>
      </c>
      <c r="C235" s="186"/>
      <c r="D235" s="187"/>
      <c r="E235" s="188"/>
      <c r="F235" s="189">
        <v>4</v>
      </c>
      <c r="G235" s="189">
        <f>+F235</f>
        <v>4</v>
      </c>
      <c r="H235" s="189">
        <f t="shared" si="138"/>
        <v>4</v>
      </c>
      <c r="I235" s="189">
        <f t="shared" si="138"/>
        <v>4</v>
      </c>
      <c r="J235" s="189">
        <f t="shared" si="138"/>
        <v>4</v>
      </c>
      <c r="K235" s="189">
        <f t="shared" si="138"/>
        <v>4</v>
      </c>
      <c r="L235" s="189">
        <f t="shared" si="138"/>
        <v>4</v>
      </c>
      <c r="M235" s="189">
        <f t="shared" si="138"/>
        <v>4</v>
      </c>
      <c r="N235" s="189">
        <f t="shared" si="138"/>
        <v>4</v>
      </c>
      <c r="O235" s="189">
        <f t="shared" si="138"/>
        <v>4</v>
      </c>
      <c r="P235" s="189">
        <f t="shared" si="138"/>
        <v>4</v>
      </c>
      <c r="Q235" s="189">
        <f t="shared" si="138"/>
        <v>4</v>
      </c>
      <c r="R235" s="189">
        <f t="shared" si="138"/>
        <v>4</v>
      </c>
    </row>
    <row r="236" spans="1:22" s="115" customFormat="1" ht="19.2" x14ac:dyDescent="0.5">
      <c r="A236" s="206"/>
      <c r="B236" s="206" t="s">
        <v>272</v>
      </c>
      <c r="C236" s="206"/>
      <c r="D236" s="207"/>
      <c r="E236" s="208" t="s">
        <v>4</v>
      </c>
      <c r="F236" s="198">
        <v>4.05</v>
      </c>
      <c r="G236" s="198">
        <f>+F236</f>
        <v>4.05</v>
      </c>
      <c r="H236" s="198">
        <f t="shared" si="138"/>
        <v>4.05</v>
      </c>
      <c r="I236" s="198">
        <f t="shared" si="138"/>
        <v>4.05</v>
      </c>
      <c r="J236" s="198">
        <f t="shared" si="138"/>
        <v>4.05</v>
      </c>
      <c r="K236" s="198">
        <f t="shared" si="138"/>
        <v>4.05</v>
      </c>
      <c r="L236" s="198">
        <f t="shared" si="138"/>
        <v>4.05</v>
      </c>
      <c r="M236" s="198">
        <f t="shared" si="138"/>
        <v>4.05</v>
      </c>
      <c r="N236" s="198">
        <f t="shared" si="138"/>
        <v>4.05</v>
      </c>
      <c r="O236" s="198">
        <f t="shared" si="138"/>
        <v>4.05</v>
      </c>
      <c r="P236" s="198">
        <f t="shared" si="138"/>
        <v>4.05</v>
      </c>
      <c r="Q236" s="198">
        <f t="shared" si="138"/>
        <v>4.05</v>
      </c>
      <c r="R236" s="198">
        <f t="shared" si="138"/>
        <v>4.05</v>
      </c>
      <c r="S236" s="116"/>
    </row>
    <row r="237" spans="1:22" s="115" customFormat="1" ht="19.2" x14ac:dyDescent="0.5">
      <c r="A237" s="206"/>
      <c r="B237" s="206" t="s">
        <v>163</v>
      </c>
      <c r="C237" s="206"/>
      <c r="D237" s="207"/>
      <c r="E237" s="208" t="s">
        <v>4</v>
      </c>
      <c r="F237" s="198">
        <v>1.5</v>
      </c>
      <c r="G237" s="198">
        <f>+F237</f>
        <v>1.5</v>
      </c>
      <c r="H237" s="198">
        <f t="shared" si="138"/>
        <v>1.5</v>
      </c>
      <c r="I237" s="198">
        <f t="shared" si="138"/>
        <v>1.5</v>
      </c>
      <c r="J237" s="198">
        <f t="shared" si="138"/>
        <v>1.5</v>
      </c>
      <c r="K237" s="198">
        <f t="shared" si="138"/>
        <v>1.5</v>
      </c>
      <c r="L237" s="198">
        <f t="shared" si="138"/>
        <v>1.5</v>
      </c>
      <c r="M237" s="198">
        <f t="shared" si="138"/>
        <v>1.5</v>
      </c>
      <c r="N237" s="198">
        <f t="shared" si="138"/>
        <v>1.5</v>
      </c>
      <c r="O237" s="198">
        <f t="shared" si="138"/>
        <v>1.5</v>
      </c>
      <c r="P237" s="198">
        <f t="shared" si="138"/>
        <v>1.5</v>
      </c>
      <c r="Q237" s="198">
        <f t="shared" si="138"/>
        <v>1.5</v>
      </c>
      <c r="R237" s="198">
        <f t="shared" si="138"/>
        <v>1.5</v>
      </c>
      <c r="S237" s="116"/>
    </row>
    <row r="238" spans="1:22" ht="19.2" x14ac:dyDescent="0.5">
      <c r="A238" s="186"/>
      <c r="B238" s="186" t="s">
        <v>273</v>
      </c>
      <c r="C238" s="186"/>
      <c r="D238" s="187"/>
      <c r="E238" s="188" t="s">
        <v>153</v>
      </c>
      <c r="F238" s="189">
        <f>F236*F237*F235</f>
        <v>24.299999999999997</v>
      </c>
      <c r="G238" s="189">
        <f t="shared" ref="G238:R238" si="139">G236*G237*G235</f>
        <v>24.299999999999997</v>
      </c>
      <c r="H238" s="189">
        <f t="shared" si="139"/>
        <v>24.299999999999997</v>
      </c>
      <c r="I238" s="189">
        <f t="shared" si="139"/>
        <v>24.299999999999997</v>
      </c>
      <c r="J238" s="189">
        <f t="shared" si="139"/>
        <v>24.299999999999997</v>
      </c>
      <c r="K238" s="189">
        <f t="shared" si="139"/>
        <v>24.299999999999997</v>
      </c>
      <c r="L238" s="189">
        <f t="shared" si="139"/>
        <v>24.299999999999997</v>
      </c>
      <c r="M238" s="189">
        <f t="shared" si="139"/>
        <v>24.299999999999997</v>
      </c>
      <c r="N238" s="189">
        <f t="shared" si="139"/>
        <v>24.299999999999997</v>
      </c>
      <c r="O238" s="189">
        <f t="shared" si="139"/>
        <v>24.299999999999997</v>
      </c>
      <c r="P238" s="189">
        <f t="shared" si="139"/>
        <v>24.299999999999997</v>
      </c>
      <c r="Q238" s="189">
        <f t="shared" si="139"/>
        <v>24.299999999999997</v>
      </c>
      <c r="R238" s="189">
        <f t="shared" si="139"/>
        <v>24.299999999999997</v>
      </c>
    </row>
    <row r="239" spans="1:22" ht="19.2" x14ac:dyDescent="0.5">
      <c r="A239" s="186"/>
      <c r="B239" s="186" t="s">
        <v>274</v>
      </c>
      <c r="C239" s="186"/>
      <c r="D239" s="187"/>
      <c r="E239" s="188" t="s">
        <v>103</v>
      </c>
      <c r="F239" s="189">
        <f t="shared" ref="F239:R239" si="140">F9</f>
        <v>12.5</v>
      </c>
      <c r="G239" s="189">
        <f t="shared" si="140"/>
        <v>5.6539999999999999</v>
      </c>
      <c r="H239" s="189">
        <f t="shared" si="140"/>
        <v>11.364000000000001</v>
      </c>
      <c r="I239" s="189">
        <f t="shared" si="140"/>
        <v>12.5</v>
      </c>
      <c r="J239" s="189">
        <f t="shared" si="140"/>
        <v>12.5</v>
      </c>
      <c r="K239" s="189">
        <f t="shared" si="140"/>
        <v>12.5</v>
      </c>
      <c r="L239" s="189">
        <f t="shared" si="140"/>
        <v>12.5</v>
      </c>
      <c r="M239" s="189">
        <f t="shared" si="140"/>
        <v>12.5</v>
      </c>
      <c r="N239" s="189">
        <f t="shared" si="140"/>
        <v>6.6740000000000004</v>
      </c>
      <c r="O239" s="189">
        <f t="shared" si="140"/>
        <v>5.1239999999999997</v>
      </c>
      <c r="P239" s="189">
        <f t="shared" si="140"/>
        <v>4.1040000000000001</v>
      </c>
      <c r="Q239" s="189">
        <f t="shared" si="140"/>
        <v>3.9240000000000004</v>
      </c>
      <c r="R239" s="189">
        <f t="shared" si="140"/>
        <v>3.9740000000000002</v>
      </c>
    </row>
    <row r="240" spans="1:22" ht="19.2" x14ac:dyDescent="0.5">
      <c r="A240" s="186"/>
      <c r="B240" s="186" t="s">
        <v>154</v>
      </c>
      <c r="C240" s="186"/>
      <c r="D240" s="187" t="s">
        <v>155</v>
      </c>
      <c r="E240" s="188" t="s">
        <v>117</v>
      </c>
      <c r="F240" s="189">
        <f>F239/F238</f>
        <v>0.51440329218107006</v>
      </c>
      <c r="G240" s="189">
        <f t="shared" ref="G240:R240" si="141">G239/G238</f>
        <v>0.23267489711934158</v>
      </c>
      <c r="H240" s="189">
        <f t="shared" si="141"/>
        <v>0.46765432098765441</v>
      </c>
      <c r="I240" s="189">
        <f t="shared" si="141"/>
        <v>0.51440329218107006</v>
      </c>
      <c r="J240" s="189">
        <f t="shared" si="141"/>
        <v>0.51440329218107006</v>
      </c>
      <c r="K240" s="189">
        <f t="shared" si="141"/>
        <v>0.51440329218107006</v>
      </c>
      <c r="L240" s="189">
        <f t="shared" si="141"/>
        <v>0.51440329218107006</v>
      </c>
      <c r="M240" s="189">
        <f t="shared" si="141"/>
        <v>0.51440329218107006</v>
      </c>
      <c r="N240" s="189">
        <f t="shared" si="141"/>
        <v>0.27465020576131693</v>
      </c>
      <c r="O240" s="189">
        <f t="shared" si="141"/>
        <v>0.21086419753086422</v>
      </c>
      <c r="P240" s="189">
        <f t="shared" si="141"/>
        <v>0.16888888888888892</v>
      </c>
      <c r="Q240" s="189">
        <f t="shared" si="141"/>
        <v>0.1614814814814815</v>
      </c>
      <c r="R240" s="189">
        <f t="shared" si="141"/>
        <v>0.1635390946502058</v>
      </c>
    </row>
    <row r="241" spans="1:28" ht="19.2" x14ac:dyDescent="0.5">
      <c r="A241" s="186"/>
      <c r="B241" s="186" t="s">
        <v>118</v>
      </c>
      <c r="C241" s="186"/>
      <c r="D241" s="187" t="s">
        <v>156</v>
      </c>
      <c r="E241" s="188" t="s">
        <v>4</v>
      </c>
      <c r="F241" s="189">
        <f>F240^2/(2*9.81)</f>
        <v>1.3486786289843187E-2</v>
      </c>
      <c r="G241" s="189">
        <f t="shared" ref="G241:R241" si="142">G240^2/(2*9.81)</f>
        <v>2.7593072247449639E-3</v>
      </c>
      <c r="H241" s="189">
        <f t="shared" si="142"/>
        <v>1.1146817733864632E-2</v>
      </c>
      <c r="I241" s="189">
        <f t="shared" si="142"/>
        <v>1.3486786289843187E-2</v>
      </c>
      <c r="J241" s="189">
        <f t="shared" si="142"/>
        <v>1.3486786289843187E-2</v>
      </c>
      <c r="K241" s="189">
        <f t="shared" si="142"/>
        <v>1.3486786289843187E-2</v>
      </c>
      <c r="L241" s="189">
        <f t="shared" si="142"/>
        <v>1.3486786289843187E-2</v>
      </c>
      <c r="M241" s="189">
        <f t="shared" si="142"/>
        <v>1.3486786289843187E-2</v>
      </c>
      <c r="N241" s="189">
        <f t="shared" si="142"/>
        <v>3.844685806561352E-3</v>
      </c>
      <c r="O241" s="189">
        <f t="shared" si="142"/>
        <v>2.2662441284574579E-3</v>
      </c>
      <c r="P241" s="189">
        <f t="shared" si="142"/>
        <v>1.4537949434313695E-3</v>
      </c>
      <c r="Q241" s="189">
        <f t="shared" si="142"/>
        <v>1.3290656912056092E-3</v>
      </c>
      <c r="R241" s="189">
        <f t="shared" si="142"/>
        <v>1.3631516554031076E-3</v>
      </c>
    </row>
    <row r="242" spans="1:28" ht="19.2" x14ac:dyDescent="0.5">
      <c r="A242" s="186"/>
      <c r="B242" s="186"/>
      <c r="C242" s="186"/>
      <c r="D242" s="187"/>
      <c r="E242" s="188"/>
      <c r="F242" s="189"/>
      <c r="G242" s="189"/>
      <c r="H242" s="189"/>
      <c r="I242" s="189"/>
      <c r="J242" s="189"/>
      <c r="K242" s="189"/>
      <c r="L242" s="189"/>
      <c r="M242" s="189"/>
      <c r="N242" s="189"/>
      <c r="O242" s="189"/>
      <c r="P242" s="189"/>
      <c r="Q242" s="189"/>
      <c r="R242" s="189"/>
    </row>
    <row r="243" spans="1:28" s="172" customFormat="1" ht="19.2" x14ac:dyDescent="0.5">
      <c r="A243" s="210"/>
      <c r="B243" s="210" t="s">
        <v>158</v>
      </c>
      <c r="C243" s="232" t="s">
        <v>477</v>
      </c>
      <c r="D243" s="211"/>
      <c r="E243" s="212" t="s">
        <v>4</v>
      </c>
      <c r="F243" s="213">
        <f>(1/F234^2)*F241</f>
        <v>3.7463295249564404E-2</v>
      </c>
      <c r="G243" s="213">
        <f t="shared" ref="G243:R243" si="143">(1/G234^2)*G241</f>
        <v>7.6647422909582328E-3</v>
      </c>
      <c r="H243" s="213">
        <f t="shared" si="143"/>
        <v>3.0963382594068421E-2</v>
      </c>
      <c r="I243" s="213">
        <f t="shared" si="143"/>
        <v>3.7463295249564404E-2</v>
      </c>
      <c r="J243" s="213">
        <f t="shared" si="143"/>
        <v>3.7463295249564404E-2</v>
      </c>
      <c r="K243" s="213">
        <f t="shared" si="143"/>
        <v>3.7463295249564404E-2</v>
      </c>
      <c r="L243" s="213">
        <f t="shared" si="143"/>
        <v>3.7463295249564404E-2</v>
      </c>
      <c r="M243" s="213">
        <f t="shared" si="143"/>
        <v>3.7463295249564404E-2</v>
      </c>
      <c r="N243" s="213">
        <f t="shared" si="143"/>
        <v>1.0679682796003755E-2</v>
      </c>
      <c r="O243" s="213">
        <f t="shared" si="143"/>
        <v>6.2951225790484943E-3</v>
      </c>
      <c r="P243" s="213">
        <f t="shared" si="143"/>
        <v>4.0383192873093597E-3</v>
      </c>
      <c r="Q243" s="213">
        <f t="shared" si="143"/>
        <v>3.6918491422378032E-3</v>
      </c>
      <c r="R243" s="213">
        <f t="shared" si="143"/>
        <v>3.786532376119743E-3</v>
      </c>
      <c r="S243" s="173">
        <f>S228-F243</f>
        <v>2481.7654010549368</v>
      </c>
      <c r="T243" s="174">
        <f>S243-F241</f>
        <v>2481.7519142686469</v>
      </c>
      <c r="U243" s="176"/>
      <c r="V243" s="168">
        <f>$T$20-T243</f>
        <v>0.24808573135305778</v>
      </c>
      <c r="AB243" s="175"/>
    </row>
    <row r="244" spans="1:28" ht="19.2" x14ac:dyDescent="0.5">
      <c r="A244" s="186"/>
      <c r="B244" s="186" t="s">
        <v>226</v>
      </c>
      <c r="C244" s="186"/>
      <c r="D244" s="187"/>
      <c r="E244" s="188" t="s">
        <v>2</v>
      </c>
      <c r="F244" s="189">
        <f>+F229-F243</f>
        <v>2480.7333600378697</v>
      </c>
      <c r="G244" s="189">
        <f t="shared" ref="G244:R244" si="144">+G229-G243</f>
        <v>2481.7408538458644</v>
      </c>
      <c r="H244" s="189">
        <f t="shared" si="144"/>
        <v>2480.9531231170381</v>
      </c>
      <c r="I244" s="189">
        <f t="shared" si="144"/>
        <v>2480.7333600378697</v>
      </c>
      <c r="J244" s="189">
        <f t="shared" si="144"/>
        <v>2480.7333600378697</v>
      </c>
      <c r="K244" s="189">
        <f t="shared" si="144"/>
        <v>2480.7333600378697</v>
      </c>
      <c r="L244" s="189">
        <f t="shared" si="144"/>
        <v>2480.7333600378697</v>
      </c>
      <c r="M244" s="189">
        <f t="shared" si="144"/>
        <v>2480.7333600378697</v>
      </c>
      <c r="N244" s="189">
        <f t="shared" si="144"/>
        <v>2481.6389182285716</v>
      </c>
      <c r="O244" s="189">
        <f t="shared" si="144"/>
        <v>2481.7871609058411</v>
      </c>
      <c r="P244" s="189">
        <f t="shared" si="144"/>
        <v>2481.8634637835494</v>
      </c>
      <c r="Q244" s="189">
        <f t="shared" si="144"/>
        <v>2481.8751779941786</v>
      </c>
      <c r="R244" s="189">
        <f t="shared" si="144"/>
        <v>2481.8719767390044</v>
      </c>
      <c r="S244" s="122"/>
      <c r="T244" s="123"/>
      <c r="U244" s="124"/>
      <c r="V244" s="125"/>
      <c r="AB244" s="121"/>
    </row>
    <row r="245" spans="1:28" ht="19.2" x14ac:dyDescent="0.5">
      <c r="A245" s="186"/>
      <c r="B245" s="186" t="s">
        <v>145</v>
      </c>
      <c r="C245" s="186"/>
      <c r="D245" s="187"/>
      <c r="E245" s="188" t="s">
        <v>2</v>
      </c>
      <c r="F245" s="189">
        <f>+F244-F241</f>
        <v>2480.7198732515799</v>
      </c>
      <c r="G245" s="189">
        <f t="shared" ref="G245:R245" si="145">+G244-G241</f>
        <v>2481.7380945386399</v>
      </c>
      <c r="H245" s="189">
        <f t="shared" si="145"/>
        <v>2480.9419762993043</v>
      </c>
      <c r="I245" s="189">
        <f t="shared" si="145"/>
        <v>2480.7198732515799</v>
      </c>
      <c r="J245" s="189">
        <f t="shared" si="145"/>
        <v>2480.7198732515799</v>
      </c>
      <c r="K245" s="189">
        <f t="shared" si="145"/>
        <v>2480.7198732515799</v>
      </c>
      <c r="L245" s="189">
        <f t="shared" si="145"/>
        <v>2480.7198732515799</v>
      </c>
      <c r="M245" s="189">
        <f t="shared" si="145"/>
        <v>2480.7198732515799</v>
      </c>
      <c r="N245" s="189">
        <f t="shared" si="145"/>
        <v>2481.635073542765</v>
      </c>
      <c r="O245" s="189">
        <f t="shared" si="145"/>
        <v>2481.7848946617128</v>
      </c>
      <c r="P245" s="189">
        <f t="shared" si="145"/>
        <v>2481.8620099886061</v>
      </c>
      <c r="Q245" s="189">
        <f t="shared" si="145"/>
        <v>2481.8738489284874</v>
      </c>
      <c r="R245" s="189">
        <f t="shared" si="145"/>
        <v>2481.870613587349</v>
      </c>
      <c r="S245" s="122"/>
      <c r="T245" s="123"/>
      <c r="U245" s="124"/>
      <c r="V245" s="125"/>
      <c r="AB245" s="121"/>
    </row>
    <row r="246" spans="1:28" ht="19.2" x14ac:dyDescent="0.5">
      <c r="A246" s="186"/>
      <c r="B246" s="186"/>
      <c r="C246" s="209"/>
      <c r="D246" s="187"/>
      <c r="E246" s="188"/>
      <c r="F246" s="189"/>
      <c r="G246" s="189"/>
      <c r="H246" s="189"/>
      <c r="I246" s="189"/>
      <c r="J246" s="189"/>
      <c r="K246" s="189"/>
      <c r="L246" s="189"/>
      <c r="M246" s="189"/>
      <c r="N246" s="189"/>
      <c r="O246" s="189"/>
      <c r="P246" s="189"/>
      <c r="Q246" s="189"/>
      <c r="R246" s="189"/>
      <c r="S246" s="122"/>
      <c r="T246" s="123"/>
      <c r="U246" s="124"/>
      <c r="V246" s="125"/>
      <c r="AB246" s="121"/>
    </row>
    <row r="247" spans="1:28" ht="19.2" x14ac:dyDescent="0.5">
      <c r="A247" s="186"/>
      <c r="B247" s="186"/>
      <c r="C247" s="186"/>
      <c r="D247" s="187"/>
      <c r="E247" s="188"/>
      <c r="F247" s="190"/>
      <c r="G247" s="190"/>
      <c r="H247" s="190"/>
      <c r="I247" s="190"/>
      <c r="J247" s="190"/>
      <c r="K247" s="190"/>
      <c r="L247" s="190"/>
      <c r="M247" s="190"/>
      <c r="N247" s="190"/>
      <c r="O247" s="190"/>
      <c r="P247" s="190"/>
      <c r="Q247" s="190"/>
      <c r="R247" s="190"/>
    </row>
    <row r="248" spans="1:28" ht="19.2" x14ac:dyDescent="0.5">
      <c r="A248" s="196">
        <v>1.8</v>
      </c>
      <c r="B248" s="156" t="s">
        <v>275</v>
      </c>
      <c r="C248" s="186"/>
      <c r="D248" s="187"/>
      <c r="E248" s="188"/>
      <c r="F248" s="190"/>
      <c r="G248" s="190"/>
      <c r="H248" s="190"/>
      <c r="I248" s="190"/>
      <c r="J248" s="190"/>
      <c r="K248" s="190"/>
      <c r="L248" s="190"/>
      <c r="M248" s="190"/>
      <c r="N248" s="190"/>
      <c r="O248" s="190"/>
      <c r="P248" s="190"/>
      <c r="Q248" s="190"/>
      <c r="R248" s="190"/>
    </row>
    <row r="249" spans="1:28" ht="19.2" x14ac:dyDescent="0.5">
      <c r="A249" s="186"/>
      <c r="B249" s="186" t="s">
        <v>203</v>
      </c>
      <c r="C249" s="186"/>
      <c r="D249" s="187"/>
      <c r="E249" s="188" t="s">
        <v>204</v>
      </c>
      <c r="F249" s="190">
        <v>1.4999999999999999E-2</v>
      </c>
      <c r="G249" s="190">
        <f>+F249</f>
        <v>1.4999999999999999E-2</v>
      </c>
      <c r="H249" s="190">
        <f t="shared" ref="H249:R252" si="146">+G249</f>
        <v>1.4999999999999999E-2</v>
      </c>
      <c r="I249" s="190">
        <f t="shared" si="146"/>
        <v>1.4999999999999999E-2</v>
      </c>
      <c r="J249" s="190">
        <f t="shared" si="146"/>
        <v>1.4999999999999999E-2</v>
      </c>
      <c r="K249" s="190">
        <f t="shared" si="146"/>
        <v>1.4999999999999999E-2</v>
      </c>
      <c r="L249" s="190">
        <f t="shared" si="146"/>
        <v>1.4999999999999999E-2</v>
      </c>
      <c r="M249" s="190">
        <f t="shared" si="146"/>
        <v>1.4999999999999999E-2</v>
      </c>
      <c r="N249" s="190">
        <f t="shared" si="146"/>
        <v>1.4999999999999999E-2</v>
      </c>
      <c r="O249" s="190">
        <f t="shared" si="146"/>
        <v>1.4999999999999999E-2</v>
      </c>
      <c r="P249" s="190">
        <f t="shared" si="146"/>
        <v>1.4999999999999999E-2</v>
      </c>
      <c r="Q249" s="190">
        <f t="shared" si="146"/>
        <v>1.4999999999999999E-2</v>
      </c>
      <c r="R249" s="190">
        <f t="shared" si="146"/>
        <v>1.4999999999999999E-2</v>
      </c>
    </row>
    <row r="250" spans="1:28" ht="19.2" x14ac:dyDescent="0.5">
      <c r="A250" s="186"/>
      <c r="B250" s="186" t="s">
        <v>194</v>
      </c>
      <c r="C250" s="186"/>
      <c r="D250" s="187"/>
      <c r="E250" s="188" t="s">
        <v>4</v>
      </c>
      <c r="F250" s="189">
        <v>22.4</v>
      </c>
      <c r="G250" s="189">
        <f>+F250</f>
        <v>22.4</v>
      </c>
      <c r="H250" s="189">
        <f t="shared" si="146"/>
        <v>22.4</v>
      </c>
      <c r="I250" s="189">
        <f t="shared" si="146"/>
        <v>22.4</v>
      </c>
      <c r="J250" s="189">
        <f t="shared" si="146"/>
        <v>22.4</v>
      </c>
      <c r="K250" s="189">
        <f t="shared" si="146"/>
        <v>22.4</v>
      </c>
      <c r="L250" s="189">
        <f t="shared" si="146"/>
        <v>22.4</v>
      </c>
      <c r="M250" s="189">
        <f t="shared" si="146"/>
        <v>22.4</v>
      </c>
      <c r="N250" s="189">
        <f t="shared" si="146"/>
        <v>22.4</v>
      </c>
      <c r="O250" s="189">
        <f t="shared" si="146"/>
        <v>22.4</v>
      </c>
      <c r="P250" s="189">
        <f t="shared" si="146"/>
        <v>22.4</v>
      </c>
      <c r="Q250" s="189">
        <f t="shared" si="146"/>
        <v>22.4</v>
      </c>
      <c r="R250" s="189">
        <f t="shared" si="146"/>
        <v>22.4</v>
      </c>
    </row>
    <row r="251" spans="1:28" s="115" customFormat="1" ht="19.2" x14ac:dyDescent="0.5">
      <c r="A251" s="206"/>
      <c r="B251" s="206" t="s">
        <v>175</v>
      </c>
      <c r="C251" s="206"/>
      <c r="D251" s="207"/>
      <c r="E251" s="208" t="s">
        <v>4</v>
      </c>
      <c r="F251" s="206">
        <f>8.66</f>
        <v>8.66</v>
      </c>
      <c r="G251" s="198">
        <f>+F251</f>
        <v>8.66</v>
      </c>
      <c r="H251" s="198">
        <f t="shared" si="146"/>
        <v>8.66</v>
      </c>
      <c r="I251" s="198">
        <f t="shared" si="146"/>
        <v>8.66</v>
      </c>
      <c r="J251" s="198">
        <f t="shared" si="146"/>
        <v>8.66</v>
      </c>
      <c r="K251" s="198">
        <f t="shared" si="146"/>
        <v>8.66</v>
      </c>
      <c r="L251" s="198">
        <f t="shared" si="146"/>
        <v>8.66</v>
      </c>
      <c r="M251" s="198">
        <f t="shared" si="146"/>
        <v>8.66</v>
      </c>
      <c r="N251" s="198">
        <f t="shared" si="146"/>
        <v>8.66</v>
      </c>
      <c r="O251" s="198">
        <f t="shared" si="146"/>
        <v>8.66</v>
      </c>
      <c r="P251" s="198">
        <f t="shared" si="146"/>
        <v>8.66</v>
      </c>
      <c r="Q251" s="198">
        <f t="shared" si="146"/>
        <v>8.66</v>
      </c>
      <c r="R251" s="198">
        <f t="shared" si="146"/>
        <v>8.66</v>
      </c>
      <c r="S251" s="116"/>
      <c r="Y251" s="115" t="s">
        <v>276</v>
      </c>
    </row>
    <row r="252" spans="1:28" s="115" customFormat="1" ht="19.2" x14ac:dyDescent="0.5">
      <c r="A252" s="206"/>
      <c r="B252" s="206" t="s">
        <v>173</v>
      </c>
      <c r="C252" s="206"/>
      <c r="D252" s="207" t="s">
        <v>277</v>
      </c>
      <c r="E252" s="208" t="s">
        <v>4</v>
      </c>
      <c r="F252" s="198">
        <v>10.85</v>
      </c>
      <c r="G252" s="198">
        <f>+F252</f>
        <v>10.85</v>
      </c>
      <c r="H252" s="198">
        <f t="shared" si="146"/>
        <v>10.85</v>
      </c>
      <c r="I252" s="198">
        <f t="shared" si="146"/>
        <v>10.85</v>
      </c>
      <c r="J252" s="198">
        <f t="shared" si="146"/>
        <v>10.85</v>
      </c>
      <c r="K252" s="198">
        <f t="shared" si="146"/>
        <v>10.85</v>
      </c>
      <c r="L252" s="198">
        <f t="shared" si="146"/>
        <v>10.85</v>
      </c>
      <c r="M252" s="198">
        <f t="shared" si="146"/>
        <v>10.85</v>
      </c>
      <c r="N252" s="198">
        <f t="shared" si="146"/>
        <v>10.85</v>
      </c>
      <c r="O252" s="198">
        <f t="shared" si="146"/>
        <v>10.85</v>
      </c>
      <c r="P252" s="198">
        <f t="shared" si="146"/>
        <v>10.85</v>
      </c>
      <c r="Q252" s="198">
        <f t="shared" si="146"/>
        <v>10.85</v>
      </c>
      <c r="R252" s="198">
        <f t="shared" si="146"/>
        <v>10.85</v>
      </c>
      <c r="S252" s="116"/>
    </row>
    <row r="253" spans="1:28" ht="19.2" x14ac:dyDescent="0.5">
      <c r="A253" s="186"/>
      <c r="B253" s="186" t="s">
        <v>209</v>
      </c>
      <c r="C253" s="186"/>
      <c r="D253" s="187"/>
      <c r="E253" s="188" t="s">
        <v>153</v>
      </c>
      <c r="F253" s="189">
        <f>F250*F251</f>
        <v>193.98399999999998</v>
      </c>
      <c r="G253" s="189">
        <f t="shared" ref="G253:R253" si="147">G250*G251</f>
        <v>193.98399999999998</v>
      </c>
      <c r="H253" s="189">
        <f t="shared" si="147"/>
        <v>193.98399999999998</v>
      </c>
      <c r="I253" s="189">
        <f t="shared" si="147"/>
        <v>193.98399999999998</v>
      </c>
      <c r="J253" s="189">
        <f t="shared" si="147"/>
        <v>193.98399999999998</v>
      </c>
      <c r="K253" s="189">
        <f t="shared" si="147"/>
        <v>193.98399999999998</v>
      </c>
      <c r="L253" s="189">
        <f t="shared" si="147"/>
        <v>193.98399999999998</v>
      </c>
      <c r="M253" s="189">
        <f t="shared" si="147"/>
        <v>193.98399999999998</v>
      </c>
      <c r="N253" s="189">
        <f t="shared" si="147"/>
        <v>193.98399999999998</v>
      </c>
      <c r="O253" s="189">
        <f t="shared" si="147"/>
        <v>193.98399999999998</v>
      </c>
      <c r="P253" s="189">
        <f t="shared" si="147"/>
        <v>193.98399999999998</v>
      </c>
      <c r="Q253" s="189">
        <f t="shared" si="147"/>
        <v>193.98399999999998</v>
      </c>
      <c r="R253" s="189">
        <f t="shared" si="147"/>
        <v>193.98399999999998</v>
      </c>
    </row>
    <row r="254" spans="1:28" ht="19.2" x14ac:dyDescent="0.5">
      <c r="A254" s="186"/>
      <c r="B254" s="186" t="s">
        <v>183</v>
      </c>
      <c r="C254" s="186"/>
      <c r="D254" s="187"/>
      <c r="E254" s="188" t="s">
        <v>4</v>
      </c>
      <c r="F254" s="189">
        <f>F250+2*F251</f>
        <v>39.72</v>
      </c>
      <c r="G254" s="189">
        <f t="shared" ref="G254:R254" si="148">G250+2*G251</f>
        <v>39.72</v>
      </c>
      <c r="H254" s="189">
        <f t="shared" si="148"/>
        <v>39.72</v>
      </c>
      <c r="I254" s="189">
        <f t="shared" si="148"/>
        <v>39.72</v>
      </c>
      <c r="J254" s="189">
        <f t="shared" si="148"/>
        <v>39.72</v>
      </c>
      <c r="K254" s="189">
        <f t="shared" si="148"/>
        <v>39.72</v>
      </c>
      <c r="L254" s="189">
        <f t="shared" si="148"/>
        <v>39.72</v>
      </c>
      <c r="M254" s="189">
        <f t="shared" si="148"/>
        <v>39.72</v>
      </c>
      <c r="N254" s="189">
        <f t="shared" si="148"/>
        <v>39.72</v>
      </c>
      <c r="O254" s="189">
        <f t="shared" si="148"/>
        <v>39.72</v>
      </c>
      <c r="P254" s="189">
        <f t="shared" si="148"/>
        <v>39.72</v>
      </c>
      <c r="Q254" s="189">
        <f t="shared" si="148"/>
        <v>39.72</v>
      </c>
      <c r="R254" s="189">
        <f t="shared" si="148"/>
        <v>39.72</v>
      </c>
    </row>
    <row r="255" spans="1:28" ht="19.2" x14ac:dyDescent="0.5">
      <c r="A255" s="186"/>
      <c r="B255" s="186" t="s">
        <v>184</v>
      </c>
      <c r="C255" s="186"/>
      <c r="D255" s="187" t="s">
        <v>278</v>
      </c>
      <c r="E255" s="188" t="s">
        <v>4</v>
      </c>
      <c r="F255" s="189">
        <f>F253/F254</f>
        <v>4.8837865055387715</v>
      </c>
      <c r="G255" s="189">
        <f t="shared" ref="G255:R255" si="149">G253/G254</f>
        <v>4.8837865055387715</v>
      </c>
      <c r="H255" s="189">
        <f t="shared" si="149"/>
        <v>4.8837865055387715</v>
      </c>
      <c r="I255" s="189">
        <f t="shared" si="149"/>
        <v>4.8837865055387715</v>
      </c>
      <c r="J255" s="189">
        <f t="shared" si="149"/>
        <v>4.8837865055387715</v>
      </c>
      <c r="K255" s="189">
        <f t="shared" si="149"/>
        <v>4.8837865055387715</v>
      </c>
      <c r="L255" s="189">
        <f t="shared" si="149"/>
        <v>4.8837865055387715</v>
      </c>
      <c r="M255" s="189">
        <f t="shared" si="149"/>
        <v>4.8837865055387715</v>
      </c>
      <c r="N255" s="189">
        <f t="shared" si="149"/>
        <v>4.8837865055387715</v>
      </c>
      <c r="O255" s="189">
        <f t="shared" si="149"/>
        <v>4.8837865055387715</v>
      </c>
      <c r="P255" s="189">
        <f t="shared" si="149"/>
        <v>4.8837865055387715</v>
      </c>
      <c r="Q255" s="189">
        <f t="shared" si="149"/>
        <v>4.8837865055387715</v>
      </c>
      <c r="R255" s="189">
        <f t="shared" si="149"/>
        <v>4.8837865055387715</v>
      </c>
    </row>
    <row r="256" spans="1:28" s="128" customFormat="1" ht="19.2" x14ac:dyDescent="0.5">
      <c r="A256" s="199"/>
      <c r="B256" s="209" t="s">
        <v>279</v>
      </c>
      <c r="C256" s="199"/>
      <c r="D256" s="199"/>
      <c r="E256" s="188" t="s">
        <v>187</v>
      </c>
      <c r="F256" s="199">
        <f>(F257*F249/(F255^(2/3)))^2</f>
        <v>1.1275310129211136E-7</v>
      </c>
      <c r="G256" s="199">
        <f t="shared" ref="G256:R256" si="150">(G257*G249/(G255^(2/3)))^2</f>
        <v>2.3068538369442881E-8</v>
      </c>
      <c r="H256" s="199">
        <f t="shared" si="150"/>
        <v>9.3190345128969604E-8</v>
      </c>
      <c r="I256" s="199">
        <f t="shared" si="150"/>
        <v>1.1275310129211136E-7</v>
      </c>
      <c r="J256" s="199">
        <f t="shared" si="150"/>
        <v>1.1275310129211136E-7</v>
      </c>
      <c r="K256" s="199">
        <f t="shared" si="150"/>
        <v>1.1275310129211136E-7</v>
      </c>
      <c r="L256" s="199">
        <f t="shared" si="150"/>
        <v>1.1275310129211136E-7</v>
      </c>
      <c r="M256" s="199">
        <f t="shared" si="150"/>
        <v>1.1275310129211136E-7</v>
      </c>
      <c r="N256" s="199">
        <f t="shared" si="150"/>
        <v>3.214259044869877E-8</v>
      </c>
      <c r="O256" s="199">
        <f t="shared" si="150"/>
        <v>1.8946400445379004E-8</v>
      </c>
      <c r="P256" s="199">
        <f t="shared" si="150"/>
        <v>1.215411032635132E-8</v>
      </c>
      <c r="Q256" s="199">
        <f t="shared" si="150"/>
        <v>1.1111340780807946E-8</v>
      </c>
      <c r="R256" s="199">
        <f t="shared" si="150"/>
        <v>1.1396308458889578E-8</v>
      </c>
      <c r="Z256" s="128">
        <f>PI()*3*3/4</f>
        <v>7.0685834705770345</v>
      </c>
    </row>
    <row r="257" spans="1:26" ht="19.2" x14ac:dyDescent="0.5">
      <c r="A257" s="186"/>
      <c r="B257" s="186" t="s">
        <v>154</v>
      </c>
      <c r="C257" s="186"/>
      <c r="D257" s="187" t="s">
        <v>280</v>
      </c>
      <c r="E257" s="188" t="s">
        <v>117</v>
      </c>
      <c r="F257" s="189">
        <f t="shared" ref="F257:R257" si="151">F9/F253</f>
        <v>6.4438304190036294E-2</v>
      </c>
      <c r="G257" s="189">
        <f t="shared" si="151"/>
        <v>2.9146733751237219E-2</v>
      </c>
      <c r="H257" s="189">
        <f t="shared" si="151"/>
        <v>5.8582151105245804E-2</v>
      </c>
      <c r="I257" s="189">
        <f t="shared" si="151"/>
        <v>6.4438304190036294E-2</v>
      </c>
      <c r="J257" s="189">
        <f t="shared" si="151"/>
        <v>6.4438304190036294E-2</v>
      </c>
      <c r="K257" s="189">
        <f t="shared" si="151"/>
        <v>6.4438304190036294E-2</v>
      </c>
      <c r="L257" s="189">
        <f t="shared" si="151"/>
        <v>6.4438304190036294E-2</v>
      </c>
      <c r="M257" s="189">
        <f t="shared" si="151"/>
        <v>6.4438304190036294E-2</v>
      </c>
      <c r="N257" s="189">
        <f t="shared" si="151"/>
        <v>3.4404899373144185E-2</v>
      </c>
      <c r="O257" s="189">
        <f t="shared" si="151"/>
        <v>2.6414549653579679E-2</v>
      </c>
      <c r="P257" s="189">
        <f t="shared" si="151"/>
        <v>2.1156384031672717E-2</v>
      </c>
      <c r="Q257" s="189">
        <f t="shared" si="151"/>
        <v>2.0228472451336195E-2</v>
      </c>
      <c r="R257" s="189">
        <f t="shared" si="151"/>
        <v>2.0486225668096342E-2</v>
      </c>
      <c r="Z257" s="111">
        <f>Z256/2</f>
        <v>3.5342917352885173</v>
      </c>
    </row>
    <row r="258" spans="1:26" ht="19.2" x14ac:dyDescent="0.5">
      <c r="A258" s="186"/>
      <c r="B258" s="186" t="s">
        <v>118</v>
      </c>
      <c r="C258" s="186"/>
      <c r="D258" s="187" t="s">
        <v>281</v>
      </c>
      <c r="E258" s="188" t="s">
        <v>4</v>
      </c>
      <c r="F258" s="189">
        <f>F257^2/(2*9.81)</f>
        <v>2.1163583317470179E-4</v>
      </c>
      <c r="G258" s="189">
        <f t="shared" ref="G258:R258" si="152">G257^2/(2*9.81)</f>
        <v>4.3299290946254373E-5</v>
      </c>
      <c r="H258" s="189">
        <f t="shared" si="152"/>
        <v>1.7491684139234721E-4</v>
      </c>
      <c r="I258" s="189">
        <f t="shared" si="152"/>
        <v>2.1163583317470179E-4</v>
      </c>
      <c r="J258" s="189">
        <f t="shared" si="152"/>
        <v>2.1163583317470179E-4</v>
      </c>
      <c r="K258" s="189">
        <f t="shared" si="152"/>
        <v>2.1163583317470179E-4</v>
      </c>
      <c r="L258" s="189">
        <f t="shared" si="152"/>
        <v>2.1163583317470179E-4</v>
      </c>
      <c r="M258" s="189">
        <f t="shared" si="152"/>
        <v>2.1163583317470179E-4</v>
      </c>
      <c r="N258" s="189">
        <f t="shared" si="152"/>
        <v>6.0331146833648161E-5</v>
      </c>
      <c r="O258" s="189">
        <f t="shared" si="152"/>
        <v>3.5562101600480439E-5</v>
      </c>
      <c r="P258" s="189">
        <f t="shared" si="152"/>
        <v>2.2813077741876467E-5</v>
      </c>
      <c r="Q258" s="189">
        <f t="shared" si="152"/>
        <v>2.0855815377903535E-5</v>
      </c>
      <c r="R258" s="189">
        <f t="shared" si="152"/>
        <v>2.1390695317235951E-5</v>
      </c>
      <c r="Z258" s="111">
        <f>Z257+3*1.5</f>
        <v>8.0342917352885177</v>
      </c>
    </row>
    <row r="259" spans="1:26" ht="19.2" x14ac:dyDescent="0.5">
      <c r="A259" s="186"/>
      <c r="B259" s="186" t="s">
        <v>282</v>
      </c>
      <c r="C259" s="186"/>
      <c r="D259" s="187" t="s">
        <v>504</v>
      </c>
      <c r="E259" s="188"/>
      <c r="F259" s="189">
        <v>0.3</v>
      </c>
      <c r="G259" s="189">
        <f>+F259</f>
        <v>0.3</v>
      </c>
      <c r="H259" s="189">
        <f t="shared" ref="H259:R259" si="153">+G259</f>
        <v>0.3</v>
      </c>
      <c r="I259" s="189">
        <f t="shared" si="153"/>
        <v>0.3</v>
      </c>
      <c r="J259" s="189">
        <f t="shared" si="153"/>
        <v>0.3</v>
      </c>
      <c r="K259" s="189">
        <f t="shared" si="153"/>
        <v>0.3</v>
      </c>
      <c r="L259" s="189">
        <f t="shared" si="153"/>
        <v>0.3</v>
      </c>
      <c r="M259" s="189">
        <f t="shared" si="153"/>
        <v>0.3</v>
      </c>
      <c r="N259" s="189">
        <f t="shared" si="153"/>
        <v>0.3</v>
      </c>
      <c r="O259" s="189">
        <f t="shared" si="153"/>
        <v>0.3</v>
      </c>
      <c r="P259" s="189">
        <f t="shared" si="153"/>
        <v>0.3</v>
      </c>
      <c r="Q259" s="189">
        <f t="shared" si="153"/>
        <v>0.3</v>
      </c>
      <c r="R259" s="189">
        <f t="shared" si="153"/>
        <v>0.3</v>
      </c>
      <c r="Z259" s="111">
        <f>6.09/Z258</f>
        <v>0.75800085441897425</v>
      </c>
    </row>
    <row r="260" spans="1:26" ht="19.2" x14ac:dyDescent="0.5">
      <c r="A260" s="186"/>
      <c r="B260" s="186"/>
      <c r="C260" s="186"/>
      <c r="D260" s="187"/>
      <c r="E260" s="188"/>
      <c r="F260" s="189"/>
      <c r="G260" s="189"/>
      <c r="H260" s="189"/>
      <c r="I260" s="189"/>
      <c r="J260" s="189"/>
      <c r="K260" s="189"/>
      <c r="L260" s="189"/>
      <c r="M260" s="189"/>
      <c r="N260" s="189"/>
      <c r="O260" s="189"/>
      <c r="P260" s="189"/>
      <c r="Q260" s="189"/>
      <c r="R260" s="189"/>
    </row>
    <row r="261" spans="1:26" ht="20.399999999999999" x14ac:dyDescent="0.5">
      <c r="A261" s="186"/>
      <c r="B261" s="186" t="s">
        <v>216</v>
      </c>
      <c r="C261" s="186" t="s">
        <v>505</v>
      </c>
      <c r="D261" s="187" t="s">
        <v>506</v>
      </c>
      <c r="E261" s="188" t="s">
        <v>4</v>
      </c>
      <c r="F261" s="230">
        <f>(F249*F257)^2*F252/(F255^(4/3))</f>
        <v>1.2233711490194081E-6</v>
      </c>
      <c r="G261" s="230">
        <f t="shared" ref="G261:R261" si="154">(G249*G257)^2*G252/(G255^(4/3))</f>
        <v>2.5029364130845523E-7</v>
      </c>
      <c r="H261" s="230">
        <f t="shared" si="154"/>
        <v>1.0111152446493204E-6</v>
      </c>
      <c r="I261" s="230">
        <f t="shared" si="154"/>
        <v>1.2233711490194081E-6</v>
      </c>
      <c r="J261" s="230">
        <f t="shared" si="154"/>
        <v>1.2233711490194081E-6</v>
      </c>
      <c r="K261" s="230">
        <f t="shared" si="154"/>
        <v>1.2233711490194081E-6</v>
      </c>
      <c r="L261" s="230">
        <f t="shared" si="154"/>
        <v>1.2233711490194081E-6</v>
      </c>
      <c r="M261" s="230">
        <f t="shared" si="154"/>
        <v>1.2233711490194081E-6</v>
      </c>
      <c r="N261" s="230">
        <f t="shared" si="154"/>
        <v>3.487471063683816E-7</v>
      </c>
      <c r="O261" s="230">
        <f t="shared" si="154"/>
        <v>2.0556844483236221E-7</v>
      </c>
      <c r="P261" s="230">
        <f t="shared" si="154"/>
        <v>1.3187209704091181E-7</v>
      </c>
      <c r="Q261" s="230">
        <f t="shared" si="154"/>
        <v>1.205580474717662E-7</v>
      </c>
      <c r="R261" s="230">
        <f t="shared" si="154"/>
        <v>1.2364994677895189E-7</v>
      </c>
    </row>
    <row r="262" spans="1:26" ht="19.2" x14ac:dyDescent="0.5">
      <c r="A262" s="186"/>
      <c r="B262" s="186" t="s">
        <v>191</v>
      </c>
      <c r="C262" s="186" t="s">
        <v>485</v>
      </c>
      <c r="D262" s="187" t="s">
        <v>486</v>
      </c>
      <c r="E262" s="188" t="s">
        <v>4</v>
      </c>
      <c r="F262" s="189">
        <f>F259*(F365^2-F257^2)/(2*9.81)</f>
        <v>3.4964280280464971E-2</v>
      </c>
      <c r="G262" s="189">
        <f>G259*(G365^2-G257^2)/(2*9.81)</f>
        <v>7.153460365761948E-3</v>
      </c>
      <c r="H262" s="189">
        <f>H259*(H365^2-H257^2)/(2*9.81)</f>
        <v>2.8897948785294503E-2</v>
      </c>
      <c r="I262" s="189">
        <f>I259*(I365^2-I257^2)/(2*9.81)</f>
        <v>3.4964280280464971E-2</v>
      </c>
      <c r="J262" s="189">
        <f>J259*(J365^2-J257^2)/(2*9.81)</f>
        <v>3.4964280280464971E-2</v>
      </c>
      <c r="K262" s="189">
        <f>K259*(K365^2-K257^2)/(2*9.81)</f>
        <v>3.4964280280464971E-2</v>
      </c>
      <c r="L262" s="189">
        <f>L259*(L365^2-L257^2)/(2*9.81)</f>
        <v>3.4964280280464971E-2</v>
      </c>
      <c r="M262" s="189">
        <f>M259*(M365^2-M257^2)/(2*9.81)</f>
        <v>3.4964280280464971E-2</v>
      </c>
      <c r="N262" s="189">
        <f>N259*(N365^2-N257^2)/(2*9.81)</f>
        <v>9.9672871833205012E-3</v>
      </c>
      <c r="O262" s="189">
        <f>O259*(O365^2-O257^2)/(2*9.81)</f>
        <v>5.8752020821311556E-3</v>
      </c>
      <c r="P262" s="189">
        <f>P259*(P365^2-P257^2)/(2*9.81)</f>
        <v>3.7689404117523199E-3</v>
      </c>
      <c r="Q262" s="189">
        <f>Q259*(Q365^2-Q257^2)/(2*9.81)</f>
        <v>3.4455817968628288E-3</v>
      </c>
      <c r="R262" s="189">
        <f>R259*(R365^2-R257^2)/(2*9.81)</f>
        <v>3.5339491202724641E-3</v>
      </c>
    </row>
    <row r="263" spans="1:26" ht="19.2" x14ac:dyDescent="0.5">
      <c r="A263" s="186"/>
      <c r="B263" s="186"/>
      <c r="C263" s="186"/>
      <c r="D263" s="187"/>
      <c r="E263" s="188"/>
      <c r="F263" s="190"/>
      <c r="G263" s="190"/>
      <c r="H263" s="190"/>
      <c r="I263" s="190"/>
      <c r="J263" s="190"/>
      <c r="K263" s="190"/>
      <c r="L263" s="190"/>
      <c r="M263" s="190"/>
      <c r="N263" s="190"/>
      <c r="O263" s="190"/>
      <c r="P263" s="190"/>
      <c r="Q263" s="190"/>
      <c r="R263" s="190"/>
    </row>
    <row r="264" spans="1:26" s="172" customFormat="1" ht="19.2" x14ac:dyDescent="0.5">
      <c r="A264" s="210"/>
      <c r="B264" s="210" t="s">
        <v>143</v>
      </c>
      <c r="C264" s="210" t="s">
        <v>507</v>
      </c>
      <c r="D264" s="211"/>
      <c r="E264" s="212" t="s">
        <v>4</v>
      </c>
      <c r="F264" s="213">
        <f>F261+F262</f>
        <v>3.4965503651613994E-2</v>
      </c>
      <c r="G264" s="213">
        <f t="shared" ref="G264:R264" si="155">G261+G262</f>
        <v>7.1537106594032566E-3</v>
      </c>
      <c r="H264" s="213">
        <f t="shared" si="155"/>
        <v>2.8898959900539152E-2</v>
      </c>
      <c r="I264" s="213">
        <f t="shared" si="155"/>
        <v>3.4965503651613994E-2</v>
      </c>
      <c r="J264" s="213">
        <f t="shared" si="155"/>
        <v>3.4965503651613994E-2</v>
      </c>
      <c r="K264" s="213">
        <f t="shared" si="155"/>
        <v>3.4965503651613994E-2</v>
      </c>
      <c r="L264" s="213">
        <f t="shared" si="155"/>
        <v>3.4965503651613994E-2</v>
      </c>
      <c r="M264" s="213">
        <f t="shared" si="155"/>
        <v>3.4965503651613994E-2</v>
      </c>
      <c r="N264" s="213">
        <f t="shared" si="155"/>
        <v>9.96763593042687E-3</v>
      </c>
      <c r="O264" s="213">
        <f t="shared" si="155"/>
        <v>5.8754076505759881E-3</v>
      </c>
      <c r="P264" s="213">
        <f t="shared" si="155"/>
        <v>3.7690722838493607E-3</v>
      </c>
      <c r="Q264" s="213">
        <f t="shared" si="155"/>
        <v>3.4457023549103005E-3</v>
      </c>
      <c r="R264" s="213">
        <f t="shared" si="155"/>
        <v>3.5340727702192431E-3</v>
      </c>
      <c r="S264" s="173">
        <f>S243-F264</f>
        <v>2481.7304355512852</v>
      </c>
      <c r="T264" s="174">
        <f>S264-F258</f>
        <v>2481.7302239154519</v>
      </c>
      <c r="U264" s="176"/>
      <c r="V264" s="168">
        <f>$T$20-T264</f>
        <v>0.26977608454808433</v>
      </c>
    </row>
    <row r="265" spans="1:26" s="155" customFormat="1" ht="19.2" x14ac:dyDescent="0.5">
      <c r="A265" s="191"/>
      <c r="B265" s="191" t="s">
        <v>226</v>
      </c>
      <c r="C265" s="191"/>
      <c r="D265" s="192"/>
      <c r="E265" s="183" t="s">
        <v>2</v>
      </c>
      <c r="F265" s="193">
        <f>+F244-F264</f>
        <v>2480.6983945342181</v>
      </c>
      <c r="G265" s="193">
        <f t="shared" ref="G265:R265" si="156">+G244-G264</f>
        <v>2481.7337001352048</v>
      </c>
      <c r="H265" s="193">
        <f t="shared" si="156"/>
        <v>2480.9242241571374</v>
      </c>
      <c r="I265" s="193">
        <f t="shared" si="156"/>
        <v>2480.6983945342181</v>
      </c>
      <c r="J265" s="193">
        <f t="shared" si="156"/>
        <v>2480.6983945342181</v>
      </c>
      <c r="K265" s="193">
        <f t="shared" si="156"/>
        <v>2480.6983945342181</v>
      </c>
      <c r="L265" s="193">
        <f t="shared" si="156"/>
        <v>2480.6983945342181</v>
      </c>
      <c r="M265" s="193">
        <f t="shared" si="156"/>
        <v>2480.6983945342181</v>
      </c>
      <c r="N265" s="193">
        <f t="shared" si="156"/>
        <v>2481.6289505926411</v>
      </c>
      <c r="O265" s="193">
        <f t="shared" si="156"/>
        <v>2481.7812854981908</v>
      </c>
      <c r="P265" s="193">
        <f t="shared" si="156"/>
        <v>2481.8596947112655</v>
      </c>
      <c r="Q265" s="193">
        <f t="shared" si="156"/>
        <v>2481.8717322918237</v>
      </c>
      <c r="R265" s="193">
        <f t="shared" si="156"/>
        <v>2481.8684426662339</v>
      </c>
      <c r="S265" s="157"/>
      <c r="T265" s="158"/>
      <c r="U265" s="159"/>
      <c r="V265" s="160"/>
    </row>
    <row r="266" spans="1:26" s="155" customFormat="1" ht="19.2" x14ac:dyDescent="0.5">
      <c r="A266" s="191"/>
      <c r="B266" s="191" t="s">
        <v>145</v>
      </c>
      <c r="C266" s="191"/>
      <c r="D266" s="192"/>
      <c r="E266" s="183" t="s">
        <v>2</v>
      </c>
      <c r="F266" s="193">
        <f>+F265-F258</f>
        <v>2480.6981828983849</v>
      </c>
      <c r="G266" s="193">
        <f t="shared" ref="G266:R266" si="157">+G265-G258</f>
        <v>2481.7336568359137</v>
      </c>
      <c r="H266" s="193">
        <f t="shared" si="157"/>
        <v>2480.924049240296</v>
      </c>
      <c r="I266" s="193">
        <f t="shared" si="157"/>
        <v>2480.6981828983849</v>
      </c>
      <c r="J266" s="193">
        <f t="shared" si="157"/>
        <v>2480.6981828983849</v>
      </c>
      <c r="K266" s="193">
        <f t="shared" si="157"/>
        <v>2480.6981828983849</v>
      </c>
      <c r="L266" s="193">
        <f t="shared" si="157"/>
        <v>2480.6981828983849</v>
      </c>
      <c r="M266" s="193">
        <f t="shared" si="157"/>
        <v>2480.6981828983849</v>
      </c>
      <c r="N266" s="193">
        <f t="shared" si="157"/>
        <v>2481.6288902614942</v>
      </c>
      <c r="O266" s="193">
        <f t="shared" si="157"/>
        <v>2481.7812499360894</v>
      </c>
      <c r="P266" s="193">
        <f t="shared" si="157"/>
        <v>2481.859671898188</v>
      </c>
      <c r="Q266" s="193">
        <f t="shared" si="157"/>
        <v>2481.8717114360084</v>
      </c>
      <c r="R266" s="193">
        <f t="shared" si="157"/>
        <v>2481.8684212755388</v>
      </c>
      <c r="S266" s="157"/>
      <c r="T266" s="158"/>
      <c r="U266" s="159"/>
      <c r="V266" s="160"/>
    </row>
    <row r="267" spans="1:26" ht="19.2" x14ac:dyDescent="0.5">
      <c r="A267" s="186"/>
      <c r="B267" s="186"/>
      <c r="C267" s="186"/>
      <c r="D267" s="187"/>
      <c r="E267" s="188"/>
      <c r="F267" s="189"/>
      <c r="G267" s="189"/>
      <c r="H267" s="189"/>
      <c r="I267" s="189"/>
      <c r="J267" s="189"/>
      <c r="K267" s="189"/>
      <c r="L267" s="189"/>
      <c r="M267" s="189"/>
      <c r="N267" s="189"/>
      <c r="O267" s="189"/>
      <c r="P267" s="189"/>
      <c r="Q267" s="189"/>
      <c r="R267" s="189"/>
      <c r="S267" s="122"/>
      <c r="T267" s="123"/>
      <c r="U267" s="124"/>
      <c r="V267" s="125"/>
    </row>
    <row r="268" spans="1:26" ht="19.2" x14ac:dyDescent="0.5">
      <c r="A268" s="186"/>
      <c r="B268" s="186"/>
      <c r="C268" s="186"/>
      <c r="D268" s="187"/>
      <c r="E268" s="188"/>
      <c r="F268" s="189"/>
      <c r="G268" s="189"/>
      <c r="H268" s="189"/>
      <c r="I268" s="189"/>
      <c r="J268" s="189"/>
      <c r="K268" s="189"/>
      <c r="L268" s="189"/>
      <c r="M268" s="189"/>
      <c r="N268" s="189"/>
      <c r="O268" s="189"/>
      <c r="P268" s="189"/>
      <c r="Q268" s="189"/>
      <c r="R268" s="189"/>
      <c r="S268" s="122"/>
      <c r="T268" s="123"/>
      <c r="U268" s="124"/>
      <c r="V268" s="125"/>
    </row>
    <row r="269" spans="1:26" ht="19.2" x14ac:dyDescent="0.5">
      <c r="A269" s="156"/>
      <c r="B269" s="156" t="s">
        <v>452</v>
      </c>
      <c r="C269" s="186"/>
      <c r="D269" s="187"/>
      <c r="E269" s="188"/>
      <c r="F269" s="190"/>
      <c r="G269" s="190"/>
      <c r="H269" s="190"/>
      <c r="I269" s="190"/>
      <c r="J269" s="190"/>
      <c r="K269" s="190"/>
      <c r="L269" s="190"/>
      <c r="M269" s="190"/>
      <c r="N269" s="190"/>
      <c r="O269" s="190"/>
      <c r="P269" s="190"/>
      <c r="Q269" s="190"/>
      <c r="R269" s="190"/>
    </row>
    <row r="270" spans="1:26" ht="19.2" x14ac:dyDescent="0.5">
      <c r="A270" s="156"/>
      <c r="B270" s="156" t="s">
        <v>450</v>
      </c>
      <c r="C270" s="186"/>
      <c r="D270" s="187"/>
      <c r="E270" s="188" t="s">
        <v>4</v>
      </c>
      <c r="F270" s="190">
        <v>4.8</v>
      </c>
      <c r="G270" s="190">
        <f>F270</f>
        <v>4.8</v>
      </c>
      <c r="H270" s="190">
        <f t="shared" ref="H270:R270" si="158">G270</f>
        <v>4.8</v>
      </c>
      <c r="I270" s="190">
        <f t="shared" si="158"/>
        <v>4.8</v>
      </c>
      <c r="J270" s="190">
        <f t="shared" si="158"/>
        <v>4.8</v>
      </c>
      <c r="K270" s="190">
        <f t="shared" si="158"/>
        <v>4.8</v>
      </c>
      <c r="L270" s="190">
        <f t="shared" si="158"/>
        <v>4.8</v>
      </c>
      <c r="M270" s="190">
        <f t="shared" si="158"/>
        <v>4.8</v>
      </c>
      <c r="N270" s="190">
        <f t="shared" si="158"/>
        <v>4.8</v>
      </c>
      <c r="O270" s="190">
        <f t="shared" si="158"/>
        <v>4.8</v>
      </c>
      <c r="P270" s="190">
        <f t="shared" si="158"/>
        <v>4.8</v>
      </c>
      <c r="Q270" s="190">
        <f t="shared" si="158"/>
        <v>4.8</v>
      </c>
      <c r="R270" s="190">
        <f t="shared" si="158"/>
        <v>4.8</v>
      </c>
    </row>
    <row r="271" spans="1:26" ht="19.2" x14ac:dyDescent="0.5">
      <c r="A271" s="156"/>
      <c r="B271" s="156" t="s">
        <v>451</v>
      </c>
      <c r="C271" s="186"/>
      <c r="D271" s="187"/>
      <c r="E271" s="188"/>
      <c r="F271" s="190">
        <v>1</v>
      </c>
      <c r="G271" s="190">
        <v>2</v>
      </c>
      <c r="H271" s="190">
        <v>2</v>
      </c>
      <c r="I271" s="190">
        <v>2</v>
      </c>
      <c r="J271" s="190">
        <v>2</v>
      </c>
      <c r="K271" s="190">
        <v>2</v>
      </c>
      <c r="L271" s="190">
        <v>2</v>
      </c>
      <c r="M271" s="190">
        <v>2</v>
      </c>
      <c r="N271" s="190">
        <v>2</v>
      </c>
      <c r="O271" s="190">
        <v>2</v>
      </c>
      <c r="P271" s="190">
        <v>2</v>
      </c>
      <c r="Q271" s="190">
        <v>2</v>
      </c>
      <c r="R271" s="190">
        <v>2</v>
      </c>
    </row>
    <row r="272" spans="1:26" ht="19.2" x14ac:dyDescent="0.5">
      <c r="A272" s="156"/>
      <c r="B272" s="156" t="s">
        <v>163</v>
      </c>
      <c r="C272" s="186"/>
      <c r="D272" s="187"/>
      <c r="E272" s="188" t="s">
        <v>4</v>
      </c>
      <c r="F272" s="190">
        <v>2</v>
      </c>
      <c r="G272" s="190">
        <f>F272</f>
        <v>2</v>
      </c>
      <c r="H272" s="190">
        <f t="shared" ref="H272:R272" si="159">G272</f>
        <v>2</v>
      </c>
      <c r="I272" s="190">
        <f t="shared" si="159"/>
        <v>2</v>
      </c>
      <c r="J272" s="190">
        <f t="shared" si="159"/>
        <v>2</v>
      </c>
      <c r="K272" s="190">
        <f t="shared" si="159"/>
        <v>2</v>
      </c>
      <c r="L272" s="190">
        <f t="shared" si="159"/>
        <v>2</v>
      </c>
      <c r="M272" s="190">
        <f t="shared" si="159"/>
        <v>2</v>
      </c>
      <c r="N272" s="190">
        <f t="shared" si="159"/>
        <v>2</v>
      </c>
      <c r="O272" s="190">
        <f t="shared" si="159"/>
        <v>2</v>
      </c>
      <c r="P272" s="190">
        <f t="shared" si="159"/>
        <v>2</v>
      </c>
      <c r="Q272" s="190">
        <f t="shared" si="159"/>
        <v>2</v>
      </c>
      <c r="R272" s="190">
        <f t="shared" si="159"/>
        <v>2</v>
      </c>
    </row>
    <row r="273" spans="1:26" ht="19.2" x14ac:dyDescent="0.5">
      <c r="A273" s="186"/>
      <c r="B273" s="186" t="s">
        <v>123</v>
      </c>
      <c r="C273" s="186" t="str">
        <f>C115</f>
        <v>Rectangular</v>
      </c>
      <c r="D273" s="187"/>
      <c r="E273" s="188"/>
      <c r="F273" s="190"/>
      <c r="G273" s="190"/>
      <c r="H273" s="190"/>
      <c r="I273" s="190"/>
      <c r="J273" s="190"/>
      <c r="K273" s="190"/>
      <c r="L273" s="190"/>
      <c r="M273" s="190"/>
      <c r="N273" s="190"/>
      <c r="O273" s="190"/>
      <c r="P273" s="190"/>
      <c r="Q273" s="190"/>
      <c r="R273" s="190"/>
    </row>
    <row r="274" spans="1:26" ht="19.2" x14ac:dyDescent="0.5">
      <c r="A274" s="186"/>
      <c r="B274" s="186" t="s">
        <v>124</v>
      </c>
      <c r="C274" s="186"/>
      <c r="D274" s="187" t="s">
        <v>125</v>
      </c>
      <c r="E274" s="188" t="s">
        <v>110</v>
      </c>
      <c r="F274" s="189">
        <v>16</v>
      </c>
      <c r="G274" s="189">
        <f>+F274</f>
        <v>16</v>
      </c>
      <c r="H274" s="189">
        <f t="shared" ref="H274:H276" si="160">+G274</f>
        <v>16</v>
      </c>
      <c r="I274" s="189">
        <f t="shared" ref="I274:I276" si="161">+H274</f>
        <v>16</v>
      </c>
      <c r="J274" s="189">
        <f t="shared" ref="J274:J276" si="162">+I274</f>
        <v>16</v>
      </c>
      <c r="K274" s="189">
        <f t="shared" ref="K274:K276" si="163">+J274</f>
        <v>16</v>
      </c>
      <c r="L274" s="189">
        <f t="shared" ref="L274:L276" si="164">+K274</f>
        <v>16</v>
      </c>
      <c r="M274" s="189">
        <f t="shared" ref="M274:M275" si="165">+L274</f>
        <v>16</v>
      </c>
      <c r="N274" s="189">
        <f t="shared" ref="N274:N276" si="166">+M274</f>
        <v>16</v>
      </c>
      <c r="O274" s="189">
        <f t="shared" ref="O274:O276" si="167">+N274</f>
        <v>16</v>
      </c>
      <c r="P274" s="189">
        <f t="shared" ref="P274:P276" si="168">+O274</f>
        <v>16</v>
      </c>
      <c r="Q274" s="189">
        <f t="shared" ref="Q274:Q276" si="169">+P274</f>
        <v>16</v>
      </c>
      <c r="R274" s="189">
        <f>+Q274</f>
        <v>16</v>
      </c>
    </row>
    <row r="275" spans="1:26" ht="19.2" x14ac:dyDescent="0.5">
      <c r="A275" s="186"/>
      <c r="B275" s="186" t="s">
        <v>126</v>
      </c>
      <c r="C275" s="186"/>
      <c r="D275" s="187" t="s">
        <v>127</v>
      </c>
      <c r="E275" s="188" t="s">
        <v>110</v>
      </c>
      <c r="F275" s="189">
        <v>30</v>
      </c>
      <c r="G275" s="189">
        <f>+F275</f>
        <v>30</v>
      </c>
      <c r="H275" s="189">
        <f t="shared" si="160"/>
        <v>30</v>
      </c>
      <c r="I275" s="189">
        <f t="shared" si="161"/>
        <v>30</v>
      </c>
      <c r="J275" s="189">
        <f t="shared" si="162"/>
        <v>30</v>
      </c>
      <c r="K275" s="189">
        <f t="shared" si="163"/>
        <v>30</v>
      </c>
      <c r="L275" s="189">
        <f t="shared" si="164"/>
        <v>30</v>
      </c>
      <c r="M275" s="189">
        <f t="shared" si="165"/>
        <v>30</v>
      </c>
      <c r="N275" s="189">
        <f t="shared" si="166"/>
        <v>30</v>
      </c>
      <c r="O275" s="189">
        <f t="shared" si="167"/>
        <v>30</v>
      </c>
      <c r="P275" s="189">
        <f t="shared" si="168"/>
        <v>30</v>
      </c>
      <c r="Q275" s="189">
        <f t="shared" si="169"/>
        <v>30</v>
      </c>
      <c r="R275" s="189">
        <f t="shared" ref="R275:R276" si="170">+Q275</f>
        <v>30</v>
      </c>
    </row>
    <row r="276" spans="1:26" ht="19.2" x14ac:dyDescent="0.5">
      <c r="A276" s="186"/>
      <c r="B276" s="186" t="s">
        <v>128</v>
      </c>
      <c r="C276" s="186"/>
      <c r="D276" s="187"/>
      <c r="E276" s="188"/>
      <c r="F276" s="189">
        <f>CEILING(F270*1000/((F275+F274)+1),1)</f>
        <v>103</v>
      </c>
      <c r="G276" s="189">
        <f>+F276</f>
        <v>103</v>
      </c>
      <c r="H276" s="189">
        <f t="shared" si="160"/>
        <v>103</v>
      </c>
      <c r="I276" s="189">
        <f t="shared" si="161"/>
        <v>103</v>
      </c>
      <c r="J276" s="189">
        <f t="shared" si="162"/>
        <v>103</v>
      </c>
      <c r="K276" s="189">
        <f t="shared" si="163"/>
        <v>103</v>
      </c>
      <c r="L276" s="189">
        <f t="shared" si="164"/>
        <v>103</v>
      </c>
      <c r="M276" s="189">
        <f>+L276</f>
        <v>103</v>
      </c>
      <c r="N276" s="189">
        <f t="shared" si="166"/>
        <v>103</v>
      </c>
      <c r="O276" s="189">
        <f t="shared" si="167"/>
        <v>103</v>
      </c>
      <c r="P276" s="189">
        <f t="shared" si="168"/>
        <v>103</v>
      </c>
      <c r="Q276" s="189">
        <f t="shared" si="169"/>
        <v>103</v>
      </c>
      <c r="R276" s="189">
        <f t="shared" si="170"/>
        <v>103</v>
      </c>
    </row>
    <row r="277" spans="1:26" ht="19.2" x14ac:dyDescent="0.5">
      <c r="A277" s="186"/>
      <c r="B277" s="186" t="s">
        <v>453</v>
      </c>
      <c r="C277" s="186"/>
      <c r="D277" s="187"/>
      <c r="E277" s="188" t="s">
        <v>4</v>
      </c>
      <c r="F277" s="189">
        <f>F270-F276*F275/1000</f>
        <v>1.71</v>
      </c>
      <c r="G277" s="189">
        <f t="shared" ref="G277" si="171">G270-G276*G275/1000</f>
        <v>1.71</v>
      </c>
      <c r="H277" s="189">
        <f t="shared" ref="H277" si="172">H270-H276*H275/1000</f>
        <v>1.71</v>
      </c>
      <c r="I277" s="189">
        <f t="shared" ref="I277" si="173">I270-I276*I275/1000</f>
        <v>1.71</v>
      </c>
      <c r="J277" s="189">
        <f t="shared" ref="J277" si="174">J270-J276*J275/1000</f>
        <v>1.71</v>
      </c>
      <c r="K277" s="189">
        <f t="shared" ref="K277" si="175">K270-K276*K275/1000</f>
        <v>1.71</v>
      </c>
      <c r="L277" s="189">
        <f t="shared" ref="L277" si="176">L270-L276*L275/1000</f>
        <v>1.71</v>
      </c>
      <c r="M277" s="189">
        <f t="shared" ref="M277" si="177">M270-M276*M275/1000</f>
        <v>1.71</v>
      </c>
      <c r="N277" s="189">
        <f t="shared" ref="N277" si="178">N270-N276*N275/1000</f>
        <v>1.71</v>
      </c>
      <c r="O277" s="189">
        <f t="shared" ref="O277" si="179">O270-O276*O275/1000</f>
        <v>1.71</v>
      </c>
      <c r="P277" s="189">
        <f t="shared" ref="P277" si="180">P270-P276*P275/1000</f>
        <v>1.71</v>
      </c>
      <c r="Q277" s="189">
        <f t="shared" ref="Q277" si="181">Q270-Q276*Q275/1000</f>
        <v>1.71</v>
      </c>
      <c r="R277" s="189">
        <f t="shared" ref="R277" si="182">R270-R276*R275/1000</f>
        <v>1.71</v>
      </c>
    </row>
    <row r="278" spans="1:26" ht="19.2" x14ac:dyDescent="0.5">
      <c r="A278" s="186"/>
      <c r="B278" s="186" t="s">
        <v>129</v>
      </c>
      <c r="C278" s="186"/>
      <c r="D278" s="187" t="s">
        <v>470</v>
      </c>
      <c r="E278" s="188"/>
      <c r="F278" s="189">
        <f>VLOOKUP(C273,Y278:Z283,2,FALSE)</f>
        <v>2.42</v>
      </c>
      <c r="G278" s="189">
        <f>+F278</f>
        <v>2.42</v>
      </c>
      <c r="H278" s="189">
        <f t="shared" ref="H278" si="183">+G278</f>
        <v>2.42</v>
      </c>
      <c r="I278" s="189">
        <f t="shared" ref="I278" si="184">+H278</f>
        <v>2.42</v>
      </c>
      <c r="J278" s="189">
        <f t="shared" ref="J278" si="185">+I278</f>
        <v>2.42</v>
      </c>
      <c r="K278" s="189">
        <f t="shared" ref="K278" si="186">+J278</f>
        <v>2.42</v>
      </c>
      <c r="L278" s="189">
        <f t="shared" ref="L278" si="187">+K278</f>
        <v>2.42</v>
      </c>
      <c r="M278" s="189">
        <f t="shared" ref="M278" si="188">+L278</f>
        <v>2.42</v>
      </c>
      <c r="N278" s="189">
        <f t="shared" ref="N278" si="189">+M278</f>
        <v>2.42</v>
      </c>
      <c r="O278" s="189">
        <f>+N278</f>
        <v>2.42</v>
      </c>
      <c r="P278" s="189">
        <f t="shared" ref="P278" si="190">+O278</f>
        <v>2.42</v>
      </c>
      <c r="Q278" s="189">
        <f t="shared" ref="Q278" si="191">+P278</f>
        <v>2.42</v>
      </c>
      <c r="R278" s="189">
        <f t="shared" ref="R278" si="192">+Q278</f>
        <v>2.42</v>
      </c>
      <c r="Y278" s="131" t="s">
        <v>130</v>
      </c>
      <c r="Z278" s="132">
        <v>2.42</v>
      </c>
    </row>
    <row r="279" spans="1:26" ht="19.2" x14ac:dyDescent="0.5">
      <c r="A279" s="186"/>
      <c r="B279" s="186" t="s">
        <v>131</v>
      </c>
      <c r="C279" s="186"/>
      <c r="D279" s="197" t="s">
        <v>132</v>
      </c>
      <c r="E279" s="188"/>
      <c r="F279" s="189">
        <v>80</v>
      </c>
      <c r="G279" s="189">
        <v>80</v>
      </c>
      <c r="H279" s="189">
        <v>80</v>
      </c>
      <c r="I279" s="189">
        <v>80</v>
      </c>
      <c r="J279" s="189">
        <v>80</v>
      </c>
      <c r="K279" s="189">
        <v>80</v>
      </c>
      <c r="L279" s="189">
        <v>80</v>
      </c>
      <c r="M279" s="189">
        <v>80</v>
      </c>
      <c r="N279" s="189">
        <v>80</v>
      </c>
      <c r="O279" s="189">
        <v>80</v>
      </c>
      <c r="P279" s="189">
        <v>80</v>
      </c>
      <c r="Q279" s="189">
        <v>80</v>
      </c>
      <c r="R279" s="189">
        <v>80</v>
      </c>
      <c r="Y279" s="131" t="s">
        <v>133</v>
      </c>
      <c r="Z279" s="132">
        <v>1.8</v>
      </c>
    </row>
    <row r="280" spans="1:26" ht="19.2" x14ac:dyDescent="0.5">
      <c r="A280" s="186"/>
      <c r="B280" s="186" t="s">
        <v>134</v>
      </c>
      <c r="C280" s="186"/>
      <c r="D280" s="197" t="s">
        <v>135</v>
      </c>
      <c r="E280" s="188"/>
      <c r="F280" s="198">
        <v>0</v>
      </c>
      <c r="G280" s="198">
        <v>0</v>
      </c>
      <c r="H280" s="198">
        <v>0</v>
      </c>
      <c r="I280" s="198">
        <v>0</v>
      </c>
      <c r="J280" s="198">
        <v>0</v>
      </c>
      <c r="K280" s="198">
        <v>0</v>
      </c>
      <c r="L280" s="198">
        <v>0</v>
      </c>
      <c r="M280" s="198">
        <v>0</v>
      </c>
      <c r="N280" s="198">
        <v>0</v>
      </c>
      <c r="O280" s="198">
        <v>0</v>
      </c>
      <c r="P280" s="198">
        <v>0</v>
      </c>
      <c r="Q280" s="198">
        <v>0</v>
      </c>
      <c r="R280" s="198">
        <v>0</v>
      </c>
      <c r="Y280" s="131" t="s">
        <v>136</v>
      </c>
      <c r="Z280" s="132">
        <v>1.8</v>
      </c>
    </row>
    <row r="281" spans="1:26" ht="19.2" x14ac:dyDescent="0.5">
      <c r="A281" s="186"/>
      <c r="B281" s="186" t="s">
        <v>137</v>
      </c>
      <c r="C281" s="186"/>
      <c r="D281" s="187" t="s">
        <v>468</v>
      </c>
      <c r="E281" s="188" t="s">
        <v>117</v>
      </c>
      <c r="F281" s="189">
        <f>F9/F277/F272</f>
        <v>3.6549707602339181</v>
      </c>
      <c r="G281" s="189">
        <f t="shared" ref="G281:R281" si="193">G9/G277/G272</f>
        <v>1.6532163742690058</v>
      </c>
      <c r="H281" s="189">
        <f t="shared" si="193"/>
        <v>3.3228070175438598</v>
      </c>
      <c r="I281" s="189">
        <f t="shared" si="193"/>
        <v>3.6549707602339181</v>
      </c>
      <c r="J281" s="189">
        <f t="shared" si="193"/>
        <v>3.6549707602339181</v>
      </c>
      <c r="K281" s="189">
        <f t="shared" si="193"/>
        <v>3.6549707602339181</v>
      </c>
      <c r="L281" s="189">
        <f t="shared" si="193"/>
        <v>3.6549707602339181</v>
      </c>
      <c r="M281" s="189">
        <f t="shared" si="193"/>
        <v>3.6549707602339181</v>
      </c>
      <c r="N281" s="189">
        <f t="shared" si="193"/>
        <v>1.9514619883040938</v>
      </c>
      <c r="O281" s="189">
        <f t="shared" si="193"/>
        <v>1.4982456140350877</v>
      </c>
      <c r="P281" s="189">
        <f t="shared" si="193"/>
        <v>1.2</v>
      </c>
      <c r="Q281" s="189">
        <f t="shared" si="193"/>
        <v>1.1473684210526318</v>
      </c>
      <c r="R281" s="189">
        <f t="shared" si="193"/>
        <v>1.1619883040935672</v>
      </c>
      <c r="Y281" s="131" t="s">
        <v>138</v>
      </c>
      <c r="Z281" s="132">
        <v>1.7</v>
      </c>
    </row>
    <row r="282" spans="1:26" ht="19.2" x14ac:dyDescent="0.5">
      <c r="A282" s="186"/>
      <c r="B282" s="186" t="s">
        <v>118</v>
      </c>
      <c r="C282" s="186"/>
      <c r="D282" s="187" t="s">
        <v>469</v>
      </c>
      <c r="E282" s="188" t="s">
        <v>4</v>
      </c>
      <c r="F282" s="189">
        <f>F281^2/(2*9.81)</f>
        <v>0.68087723028363434</v>
      </c>
      <c r="G282" s="189">
        <f t="shared" ref="G282:R282" si="194">G281^2/(2*9.81)</f>
        <v>0.13930297554287244</v>
      </c>
      <c r="H282" s="189">
        <f t="shared" si="194"/>
        <v>0.56274446869718253</v>
      </c>
      <c r="I282" s="189">
        <f t="shared" si="194"/>
        <v>0.68087723028363434</v>
      </c>
      <c r="J282" s="189">
        <f t="shared" si="194"/>
        <v>0.68087723028363434</v>
      </c>
      <c r="K282" s="189">
        <f t="shared" si="194"/>
        <v>0.68087723028363434</v>
      </c>
      <c r="L282" s="189">
        <f t="shared" si="194"/>
        <v>0.68087723028363434</v>
      </c>
      <c r="M282" s="189">
        <f t="shared" si="194"/>
        <v>0.68087723028363434</v>
      </c>
      <c r="N282" s="189">
        <f t="shared" si="194"/>
        <v>0.19409805768581892</v>
      </c>
      <c r="O282" s="189">
        <f t="shared" si="194"/>
        <v>0.11441080122198657</v>
      </c>
      <c r="P282" s="189">
        <f t="shared" si="194"/>
        <v>7.3394495412844027E-2</v>
      </c>
      <c r="Q282" s="189">
        <f t="shared" si="194"/>
        <v>6.7097568482610059E-2</v>
      </c>
      <c r="R282" s="189">
        <f t="shared" si="194"/>
        <v>6.8818390359339676E-2</v>
      </c>
      <c r="Y282" s="131" t="s">
        <v>139</v>
      </c>
      <c r="Z282" s="132">
        <v>1</v>
      </c>
    </row>
    <row r="283" spans="1:26" ht="19.2" x14ac:dyDescent="0.5">
      <c r="A283" s="186"/>
      <c r="B283" s="186"/>
      <c r="C283" s="186"/>
      <c r="D283" s="187"/>
      <c r="E283" s="188"/>
      <c r="F283" s="189"/>
      <c r="G283" s="189"/>
      <c r="H283" s="189"/>
      <c r="I283" s="189"/>
      <c r="J283" s="189"/>
      <c r="K283" s="189"/>
      <c r="L283" s="189"/>
      <c r="M283" s="189"/>
      <c r="N283" s="189"/>
      <c r="O283" s="189"/>
      <c r="P283" s="189"/>
      <c r="Q283" s="189"/>
      <c r="R283" s="189"/>
      <c r="Y283" s="131" t="s">
        <v>140</v>
      </c>
      <c r="Z283" s="132">
        <v>0.8</v>
      </c>
    </row>
    <row r="284" spans="1:26" ht="20.399999999999999" x14ac:dyDescent="0.5">
      <c r="A284" s="199"/>
      <c r="B284" s="186" t="s">
        <v>141</v>
      </c>
      <c r="C284" s="186" t="s">
        <v>471</v>
      </c>
      <c r="D284" s="187" t="s">
        <v>472</v>
      </c>
      <c r="E284" s="188" t="s">
        <v>4</v>
      </c>
      <c r="F284" s="189">
        <f>F278*((F274/F275)^(4/3))*F282*SIN(RADIANS(F279))</f>
        <v>0.70183325041264755</v>
      </c>
      <c r="G284" s="189">
        <f t="shared" ref="G284:R284" si="195">G278*((G274/G275)^(4/3))*G282*SIN(RADIANS(G279))</f>
        <v>0.14359043858270973</v>
      </c>
      <c r="H284" s="189">
        <f t="shared" si="195"/>
        <v>0.58006460203252175</v>
      </c>
      <c r="I284" s="189">
        <f t="shared" si="195"/>
        <v>0.70183325041264755</v>
      </c>
      <c r="J284" s="189">
        <f t="shared" si="195"/>
        <v>0.70183325041264755</v>
      </c>
      <c r="K284" s="189">
        <f t="shared" si="195"/>
        <v>0.70183325041264755</v>
      </c>
      <c r="L284" s="189">
        <f t="shared" si="195"/>
        <v>0.70183325041264755</v>
      </c>
      <c r="M284" s="189">
        <f t="shared" si="195"/>
        <v>0.70183325041264755</v>
      </c>
      <c r="N284" s="189">
        <f t="shared" si="195"/>
        <v>0.20007200221348653</v>
      </c>
      <c r="O284" s="189">
        <f t="shared" si="195"/>
        <v>0.11793213362487177</v>
      </c>
      <c r="P284" s="189">
        <f t="shared" si="195"/>
        <v>7.5653429116045737E-2</v>
      </c>
      <c r="Q284" s="189">
        <f t="shared" si="195"/>
        <v>6.9162695546917494E-2</v>
      </c>
      <c r="R284" s="189">
        <f t="shared" si="195"/>
        <v>7.0936480830680382E-2</v>
      </c>
      <c r="X284" s="111" t="s">
        <v>119</v>
      </c>
    </row>
    <row r="285" spans="1:26" ht="20.399999999999999" x14ac:dyDescent="0.5">
      <c r="A285" s="199"/>
      <c r="B285" s="186" t="s">
        <v>142</v>
      </c>
      <c r="C285" s="186" t="s">
        <v>473</v>
      </c>
      <c r="D285" s="187" t="s">
        <v>474</v>
      </c>
      <c r="E285" s="188" t="s">
        <v>4</v>
      </c>
      <c r="F285" s="189">
        <f>F282*SIN(RADIANS(F280))</f>
        <v>0</v>
      </c>
      <c r="G285" s="189">
        <f t="shared" ref="G285:R285" si="196">G282*SIN(RADIANS(G280))</f>
        <v>0</v>
      </c>
      <c r="H285" s="189">
        <f t="shared" si="196"/>
        <v>0</v>
      </c>
      <c r="I285" s="189">
        <f t="shared" si="196"/>
        <v>0</v>
      </c>
      <c r="J285" s="189">
        <f t="shared" si="196"/>
        <v>0</v>
      </c>
      <c r="K285" s="189">
        <f t="shared" si="196"/>
        <v>0</v>
      </c>
      <c r="L285" s="189">
        <f t="shared" si="196"/>
        <v>0</v>
      </c>
      <c r="M285" s="189">
        <f t="shared" si="196"/>
        <v>0</v>
      </c>
      <c r="N285" s="189">
        <f t="shared" si="196"/>
        <v>0</v>
      </c>
      <c r="O285" s="189">
        <f t="shared" si="196"/>
        <v>0</v>
      </c>
      <c r="P285" s="189">
        <f t="shared" si="196"/>
        <v>0</v>
      </c>
      <c r="Q285" s="189">
        <f t="shared" si="196"/>
        <v>0</v>
      </c>
      <c r="R285" s="189">
        <f t="shared" si="196"/>
        <v>0</v>
      </c>
      <c r="X285" s="111" t="s">
        <v>119</v>
      </c>
    </row>
    <row r="286" spans="1:26" ht="19.2" x14ac:dyDescent="0.5">
      <c r="A286" s="199"/>
      <c r="B286" s="186"/>
      <c r="C286" s="186"/>
      <c r="D286" s="187"/>
      <c r="E286" s="188"/>
      <c r="F286" s="190"/>
      <c r="G286" s="190"/>
      <c r="H286" s="190"/>
      <c r="I286" s="190"/>
      <c r="J286" s="190"/>
      <c r="K286" s="190"/>
      <c r="L286" s="190"/>
      <c r="M286" s="190"/>
      <c r="N286" s="190"/>
      <c r="O286" s="190"/>
      <c r="P286" s="190"/>
      <c r="Q286" s="190"/>
      <c r="R286" s="190"/>
    </row>
    <row r="287" spans="1:26" s="169" customFormat="1" ht="19.2" x14ac:dyDescent="0.5">
      <c r="A287" s="200"/>
      <c r="B287" s="201" t="s">
        <v>143</v>
      </c>
      <c r="C287" s="201" t="s">
        <v>475</v>
      </c>
      <c r="D287" s="202"/>
      <c r="E287" s="203" t="s">
        <v>4</v>
      </c>
      <c r="F287" s="204">
        <f>F284+F285</f>
        <v>0.70183325041264755</v>
      </c>
      <c r="G287" s="204">
        <f t="shared" ref="G287:R287" si="197">G284+G285</f>
        <v>0.14359043858270973</v>
      </c>
      <c r="H287" s="204">
        <f t="shared" si="197"/>
        <v>0.58006460203252175</v>
      </c>
      <c r="I287" s="204">
        <f t="shared" si="197"/>
        <v>0.70183325041264755</v>
      </c>
      <c r="J287" s="204">
        <f t="shared" si="197"/>
        <v>0.70183325041264755</v>
      </c>
      <c r="K287" s="204">
        <f t="shared" si="197"/>
        <v>0.70183325041264755</v>
      </c>
      <c r="L287" s="204">
        <f t="shared" si="197"/>
        <v>0.70183325041264755</v>
      </c>
      <c r="M287" s="204">
        <f t="shared" si="197"/>
        <v>0.70183325041264755</v>
      </c>
      <c r="N287" s="204">
        <f t="shared" si="197"/>
        <v>0.20007200221348653</v>
      </c>
      <c r="O287" s="204">
        <f t="shared" si="197"/>
        <v>0.11793213362487177</v>
      </c>
      <c r="P287" s="204">
        <f t="shared" si="197"/>
        <v>7.5653429116045737E-2</v>
      </c>
      <c r="Q287" s="204">
        <f t="shared" si="197"/>
        <v>6.9162695546917494E-2</v>
      </c>
      <c r="R287" s="204">
        <f t="shared" si="197"/>
        <v>7.0936480830680382E-2</v>
      </c>
      <c r="S287" s="167">
        <f>S265-F287</f>
        <v>-0.70183325041264755</v>
      </c>
      <c r="T287" s="168">
        <f>S287-F282</f>
        <v>-1.3827104806962818</v>
      </c>
      <c r="U287" s="168"/>
      <c r="V287" s="168">
        <f>$T$20-T287</f>
        <v>2483.3827104806965</v>
      </c>
      <c r="X287" s="169" t="s">
        <v>119</v>
      </c>
      <c r="Y287" s="168">
        <f>T265-F287</f>
        <v>-0.70183325041264755</v>
      </c>
    </row>
    <row r="288" spans="1:26" s="155" customFormat="1" ht="19.2" x14ac:dyDescent="0.5">
      <c r="A288" s="191"/>
      <c r="B288" s="191" t="s">
        <v>144</v>
      </c>
      <c r="C288" s="191"/>
      <c r="D288" s="192"/>
      <c r="E288" s="183"/>
      <c r="F288" s="193">
        <f>F265-F287</f>
        <v>2479.9965612838055</v>
      </c>
      <c r="G288" s="193">
        <f t="shared" ref="G288:R288" si="198">G265-G287</f>
        <v>2481.5901096966222</v>
      </c>
      <c r="H288" s="193">
        <f t="shared" si="198"/>
        <v>2480.3441595551049</v>
      </c>
      <c r="I288" s="193">
        <f t="shared" si="198"/>
        <v>2479.9965612838055</v>
      </c>
      <c r="J288" s="193">
        <f t="shared" si="198"/>
        <v>2479.9965612838055</v>
      </c>
      <c r="K288" s="193">
        <f t="shared" si="198"/>
        <v>2479.9965612838055</v>
      </c>
      <c r="L288" s="193">
        <f t="shared" si="198"/>
        <v>2479.9965612838055</v>
      </c>
      <c r="M288" s="193">
        <f t="shared" si="198"/>
        <v>2479.9965612838055</v>
      </c>
      <c r="N288" s="193">
        <f t="shared" si="198"/>
        <v>2481.4288785904278</v>
      </c>
      <c r="O288" s="193">
        <f t="shared" si="198"/>
        <v>2481.6633533645659</v>
      </c>
      <c r="P288" s="193">
        <f t="shared" si="198"/>
        <v>2481.7840412821497</v>
      </c>
      <c r="Q288" s="193">
        <f t="shared" si="198"/>
        <v>2481.802569596277</v>
      </c>
      <c r="R288" s="193">
        <f t="shared" si="198"/>
        <v>2481.7975061854031</v>
      </c>
      <c r="S288" s="157"/>
      <c r="T288" s="158"/>
      <c r="U288" s="159"/>
      <c r="V288" s="160"/>
      <c r="X288" s="161"/>
      <c r="Y288" s="162"/>
    </row>
    <row r="289" spans="1:27" s="155" customFormat="1" ht="19.2" x14ac:dyDescent="0.5">
      <c r="A289" s="191"/>
      <c r="B289" s="191" t="s">
        <v>145</v>
      </c>
      <c r="C289" s="191"/>
      <c r="D289" s="192"/>
      <c r="E289" s="183"/>
      <c r="F289" s="193">
        <f>+F288-F282</f>
        <v>2479.3156840535216</v>
      </c>
      <c r="G289" s="193">
        <f t="shared" ref="G289:R289" si="199">+G288-G282</f>
        <v>2481.4508067210795</v>
      </c>
      <c r="H289" s="193">
        <f t="shared" si="199"/>
        <v>2479.7814150864078</v>
      </c>
      <c r="I289" s="193">
        <f t="shared" si="199"/>
        <v>2479.3156840535216</v>
      </c>
      <c r="J289" s="193">
        <f t="shared" si="199"/>
        <v>2479.3156840535216</v>
      </c>
      <c r="K289" s="193">
        <f t="shared" si="199"/>
        <v>2479.3156840535216</v>
      </c>
      <c r="L289" s="193">
        <f t="shared" si="199"/>
        <v>2479.3156840535216</v>
      </c>
      <c r="M289" s="193">
        <f t="shared" si="199"/>
        <v>2479.3156840535216</v>
      </c>
      <c r="N289" s="193">
        <f t="shared" si="199"/>
        <v>2481.2347805327418</v>
      </c>
      <c r="O289" s="193">
        <f t="shared" si="199"/>
        <v>2481.5489425633441</v>
      </c>
      <c r="P289" s="193">
        <f t="shared" si="199"/>
        <v>2481.710646786737</v>
      </c>
      <c r="Q289" s="193">
        <f t="shared" si="199"/>
        <v>2481.7354720277945</v>
      </c>
      <c r="R289" s="193">
        <f t="shared" si="199"/>
        <v>2481.7286877950437</v>
      </c>
      <c r="S289" s="157"/>
      <c r="T289" s="158"/>
      <c r="U289" s="159"/>
      <c r="V289" s="160"/>
      <c r="X289" s="161"/>
      <c r="Y289" s="162"/>
    </row>
    <row r="290" spans="1:27" ht="19.2" x14ac:dyDescent="0.5">
      <c r="A290" s="186"/>
      <c r="B290" s="186"/>
      <c r="C290" s="186"/>
      <c r="D290" s="187"/>
      <c r="E290" s="188"/>
      <c r="F290" s="189"/>
      <c r="G290" s="189"/>
      <c r="H290" s="189"/>
      <c r="I290" s="189"/>
      <c r="J290" s="189"/>
      <c r="K290" s="189"/>
      <c r="L290" s="189"/>
      <c r="M290" s="189"/>
      <c r="N290" s="189"/>
      <c r="O290" s="189"/>
      <c r="P290" s="189"/>
      <c r="Q290" s="189"/>
      <c r="R290" s="189"/>
      <c r="S290" s="122"/>
      <c r="T290" s="123"/>
      <c r="U290" s="124"/>
      <c r="V290" s="125"/>
    </row>
    <row r="291" spans="1:27" ht="19.2" x14ac:dyDescent="0.5">
      <c r="A291" s="186"/>
      <c r="B291" s="186"/>
      <c r="C291" s="186"/>
      <c r="D291" s="187"/>
      <c r="E291" s="188"/>
      <c r="F291" s="189"/>
      <c r="G291" s="189"/>
      <c r="H291" s="189"/>
      <c r="I291" s="189"/>
      <c r="J291" s="189"/>
      <c r="K291" s="189"/>
      <c r="L291" s="189"/>
      <c r="M291" s="189"/>
      <c r="N291" s="189"/>
      <c r="O291" s="189"/>
      <c r="P291" s="189"/>
      <c r="Q291" s="189"/>
      <c r="R291" s="189"/>
      <c r="X291" s="121"/>
      <c r="Z291" s="121"/>
    </row>
    <row r="292" spans="1:27" ht="19.2" x14ac:dyDescent="0.5">
      <c r="A292" s="186"/>
      <c r="B292" s="156" t="s">
        <v>283</v>
      </c>
      <c r="C292" s="186"/>
      <c r="D292" s="187"/>
      <c r="E292" s="188"/>
      <c r="F292" s="233">
        <f>F264+F243+F228+F204+F171+F151+F95+F68+F52+F38+F107+F287+F129</f>
        <v>2.0402435658824296</v>
      </c>
      <c r="G292" s="233">
        <f t="shared" ref="G292:R292" si="200">G264+G243+G228+G204+G171+G151+G95+G68+G52+G38+G107+G287+G129</f>
        <v>0.41742033206372336</v>
      </c>
      <c r="H292" s="233">
        <f t="shared" si="200"/>
        <v>1.6862596227767401</v>
      </c>
      <c r="I292" s="233">
        <f t="shared" si="200"/>
        <v>2.0402435658824296</v>
      </c>
      <c r="J292" s="233">
        <f t="shared" si="200"/>
        <v>2.0402435658824296</v>
      </c>
      <c r="K292" s="233">
        <f t="shared" si="200"/>
        <v>2.0402435658824296</v>
      </c>
      <c r="L292" s="233">
        <f t="shared" si="200"/>
        <v>2.0402435658824296</v>
      </c>
      <c r="M292" s="233">
        <f t="shared" si="200"/>
        <v>2.0402435658824296</v>
      </c>
      <c r="N292" s="233">
        <f t="shared" si="200"/>
        <v>0.58161338892005987</v>
      </c>
      <c r="O292" s="233">
        <f t="shared" si="200"/>
        <v>0.34283111650447329</v>
      </c>
      <c r="P292" s="233">
        <f t="shared" si="200"/>
        <v>0.21992606064218645</v>
      </c>
      <c r="Q292" s="233">
        <f t="shared" si="200"/>
        <v>0.20105736584255293</v>
      </c>
      <c r="R292" s="233">
        <f t="shared" si="200"/>
        <v>0.20621379582122148</v>
      </c>
      <c r="S292" s="142"/>
      <c r="T292" s="121"/>
    </row>
    <row r="293" spans="1:27" ht="19.2" hidden="1" x14ac:dyDescent="0.5">
      <c r="A293" s="186"/>
      <c r="B293" s="186" t="s">
        <v>284</v>
      </c>
      <c r="C293" s="186"/>
      <c r="D293" s="187"/>
      <c r="E293" s="188"/>
      <c r="F293" s="189">
        <f t="shared" ref="F293:R293" si="201">F148</f>
        <v>1.5277777777777779</v>
      </c>
      <c r="G293" s="189">
        <f t="shared" si="201"/>
        <v>0.69104444444444446</v>
      </c>
      <c r="H293" s="189">
        <f t="shared" si="201"/>
        <v>1.3889333333333336</v>
      </c>
      <c r="I293" s="189">
        <f t="shared" si="201"/>
        <v>1.5277777777777779</v>
      </c>
      <c r="J293" s="189">
        <f t="shared" si="201"/>
        <v>1.5277777777777779</v>
      </c>
      <c r="K293" s="189">
        <f t="shared" si="201"/>
        <v>1.5277777777777779</v>
      </c>
      <c r="L293" s="189">
        <f t="shared" si="201"/>
        <v>1.5277777777777779</v>
      </c>
      <c r="M293" s="189">
        <f t="shared" si="201"/>
        <v>1.5277777777777779</v>
      </c>
      <c r="N293" s="189">
        <f t="shared" si="201"/>
        <v>0.81571111111111128</v>
      </c>
      <c r="O293" s="189">
        <f t="shared" si="201"/>
        <v>0.62626666666666664</v>
      </c>
      <c r="P293" s="189">
        <f t="shared" si="201"/>
        <v>0.50160000000000005</v>
      </c>
      <c r="Q293" s="189">
        <f t="shared" si="201"/>
        <v>0.47960000000000008</v>
      </c>
      <c r="R293" s="189">
        <f t="shared" si="201"/>
        <v>0.48571111111111115</v>
      </c>
      <c r="Y293" s="121"/>
      <c r="Z293" s="121"/>
    </row>
    <row r="294" spans="1:27" ht="19.2" hidden="1" x14ac:dyDescent="0.5">
      <c r="A294" s="186"/>
      <c r="B294" s="156" t="s">
        <v>285</v>
      </c>
      <c r="C294" s="156"/>
      <c r="D294" s="187"/>
      <c r="E294" s="188"/>
      <c r="F294" s="234">
        <f>F292/(F293^2/(2*9.81))</f>
        <v>17.149862504577452</v>
      </c>
      <c r="G294" s="234">
        <f t="shared" ref="G294:R294" si="202">G292/(G293^2/(2*9.81))</f>
        <v>17.149862504577445</v>
      </c>
      <c r="H294" s="234">
        <f t="shared" si="202"/>
        <v>17.149862504577449</v>
      </c>
      <c r="I294" s="234">
        <f t="shared" si="202"/>
        <v>17.149862504577452</v>
      </c>
      <c r="J294" s="234">
        <f t="shared" si="202"/>
        <v>17.149862504577452</v>
      </c>
      <c r="K294" s="234">
        <f t="shared" si="202"/>
        <v>17.149862504577452</v>
      </c>
      <c r="L294" s="234">
        <f t="shared" si="202"/>
        <v>17.149862504577452</v>
      </c>
      <c r="M294" s="234">
        <f t="shared" si="202"/>
        <v>17.149862504577452</v>
      </c>
      <c r="N294" s="234">
        <f t="shared" si="202"/>
        <v>17.149862504577445</v>
      </c>
      <c r="O294" s="234">
        <f t="shared" si="202"/>
        <v>17.149862504577452</v>
      </c>
      <c r="P294" s="234">
        <f t="shared" si="202"/>
        <v>17.149862504577449</v>
      </c>
      <c r="Q294" s="234">
        <f t="shared" si="202"/>
        <v>17.149862504577452</v>
      </c>
      <c r="R294" s="234">
        <f t="shared" si="202"/>
        <v>17.149862504577445</v>
      </c>
    </row>
    <row r="295" spans="1:27" ht="19.2" hidden="1" x14ac:dyDescent="0.5">
      <c r="A295" s="186"/>
      <c r="B295" s="186"/>
      <c r="C295" s="186"/>
      <c r="D295" s="187"/>
      <c r="E295" s="188"/>
      <c r="F295" s="189">
        <f t="shared" ref="F295:R295" si="203">+F20-F292</f>
        <v>2479.9965612838055</v>
      </c>
      <c r="G295" s="189">
        <f t="shared" si="203"/>
        <v>2481.5901096966227</v>
      </c>
      <c r="H295" s="189">
        <f t="shared" si="203"/>
        <v>2480.3441595551049</v>
      </c>
      <c r="I295" s="189">
        <f t="shared" si="203"/>
        <v>2479.9965612838055</v>
      </c>
      <c r="J295" s="189">
        <f t="shared" si="203"/>
        <v>2479.9965612838055</v>
      </c>
      <c r="K295" s="189">
        <f t="shared" si="203"/>
        <v>2479.9965612838055</v>
      </c>
      <c r="L295" s="189">
        <f t="shared" si="203"/>
        <v>2479.9965612838055</v>
      </c>
      <c r="M295" s="189">
        <f t="shared" si="203"/>
        <v>2479.9965612838055</v>
      </c>
      <c r="N295" s="189">
        <f t="shared" si="203"/>
        <v>2481.4288785904268</v>
      </c>
      <c r="O295" s="189">
        <f t="shared" si="203"/>
        <v>2481.6633533645654</v>
      </c>
      <c r="P295" s="189">
        <f t="shared" si="203"/>
        <v>2481.7840412821497</v>
      </c>
      <c r="Q295" s="189">
        <f t="shared" si="203"/>
        <v>2481.802569596277</v>
      </c>
      <c r="R295" s="189">
        <f t="shared" si="203"/>
        <v>2481.7975061854031</v>
      </c>
    </row>
    <row r="296" spans="1:27" ht="19.2" x14ac:dyDescent="0.5">
      <c r="A296" s="186"/>
      <c r="B296" s="186"/>
      <c r="C296" s="186"/>
      <c r="D296" s="187"/>
      <c r="E296" s="188"/>
      <c r="F296" s="189"/>
      <c r="G296" s="189"/>
      <c r="H296" s="189"/>
      <c r="I296" s="189"/>
      <c r="J296" s="189"/>
      <c r="K296" s="189"/>
      <c r="L296" s="189"/>
      <c r="M296" s="189"/>
      <c r="N296" s="189"/>
      <c r="O296" s="189"/>
      <c r="P296" s="189"/>
      <c r="Q296" s="189"/>
      <c r="R296" s="189"/>
    </row>
    <row r="297" spans="1:27" ht="19.2" x14ac:dyDescent="0.5">
      <c r="A297" s="196">
        <v>2</v>
      </c>
      <c r="B297" s="156" t="s">
        <v>286</v>
      </c>
      <c r="C297" s="186"/>
      <c r="D297" s="187"/>
      <c r="E297" s="188"/>
      <c r="F297" s="190"/>
      <c r="G297" s="190"/>
      <c r="H297" s="190"/>
      <c r="I297" s="190"/>
      <c r="J297" s="190"/>
      <c r="K297" s="190"/>
      <c r="L297" s="190"/>
      <c r="M297" s="190"/>
      <c r="N297" s="190"/>
      <c r="O297" s="190"/>
      <c r="P297" s="190"/>
      <c r="Q297" s="190"/>
      <c r="R297" s="190"/>
    </row>
    <row r="298" spans="1:27" ht="25.5" customHeight="1" x14ac:dyDescent="0.5">
      <c r="A298" s="156">
        <v>2</v>
      </c>
      <c r="B298" s="156" t="s">
        <v>415</v>
      </c>
      <c r="C298" s="186"/>
      <c r="D298" s="187"/>
      <c r="E298" s="188"/>
      <c r="F298" s="190"/>
      <c r="G298" s="190"/>
      <c r="H298" s="190"/>
      <c r="I298" s="190"/>
      <c r="J298" s="190"/>
      <c r="K298" s="190"/>
      <c r="L298" s="190"/>
      <c r="M298" s="190"/>
      <c r="N298" s="190"/>
      <c r="O298" s="190"/>
      <c r="P298" s="190"/>
      <c r="Q298" s="190"/>
      <c r="R298" s="190"/>
      <c r="Y298" s="146" t="s">
        <v>287</v>
      </c>
    </row>
    <row r="299" spans="1:27" ht="25.5" customHeight="1" x14ac:dyDescent="0.5">
      <c r="A299" s="156"/>
      <c r="B299" s="156" t="s">
        <v>441</v>
      </c>
      <c r="C299" s="186" t="s">
        <v>454</v>
      </c>
      <c r="D299" s="187"/>
      <c r="E299" s="188" t="s">
        <v>110</v>
      </c>
      <c r="F299" s="190">
        <v>2.2000000000000002</v>
      </c>
      <c r="G299" s="190">
        <f>F299</f>
        <v>2.2000000000000002</v>
      </c>
      <c r="H299" s="190">
        <f t="shared" ref="H299:R299" si="204">G299</f>
        <v>2.2000000000000002</v>
      </c>
      <c r="I299" s="190">
        <f t="shared" si="204"/>
        <v>2.2000000000000002</v>
      </c>
      <c r="J299" s="190">
        <f t="shared" si="204"/>
        <v>2.2000000000000002</v>
      </c>
      <c r="K299" s="190">
        <f t="shared" si="204"/>
        <v>2.2000000000000002</v>
      </c>
      <c r="L299" s="190">
        <f t="shared" si="204"/>
        <v>2.2000000000000002</v>
      </c>
      <c r="M299" s="190">
        <f t="shared" si="204"/>
        <v>2.2000000000000002</v>
      </c>
      <c r="N299" s="190">
        <f t="shared" si="204"/>
        <v>2.2000000000000002</v>
      </c>
      <c r="O299" s="190">
        <f t="shared" si="204"/>
        <v>2.2000000000000002</v>
      </c>
      <c r="P299" s="190">
        <f t="shared" si="204"/>
        <v>2.2000000000000002</v>
      </c>
      <c r="Q299" s="190">
        <f t="shared" si="204"/>
        <v>2.2000000000000002</v>
      </c>
      <c r="R299" s="190">
        <f t="shared" si="204"/>
        <v>2.2000000000000002</v>
      </c>
      <c r="Y299" s="146"/>
    </row>
    <row r="300" spans="1:27" ht="25.5" customHeight="1" x14ac:dyDescent="0.5">
      <c r="A300" s="156"/>
      <c r="B300" s="156" t="s">
        <v>442</v>
      </c>
      <c r="C300" s="186"/>
      <c r="D300" s="187"/>
      <c r="E300" s="188"/>
      <c r="F300" s="218">
        <f>F299/(F305*1000)</f>
        <v>1E-3</v>
      </c>
      <c r="G300" s="218">
        <f>G299/(G305*1000)</f>
        <v>1E-3</v>
      </c>
      <c r="H300" s="218">
        <f>H299/(H305*1000)</f>
        <v>1E-3</v>
      </c>
      <c r="I300" s="218">
        <f>I299/(I305*1000)</f>
        <v>1E-3</v>
      </c>
      <c r="J300" s="218">
        <f>J299/(J305*1000)</f>
        <v>1E-3</v>
      </c>
      <c r="K300" s="218">
        <f>K299/(K305*1000)</f>
        <v>1E-3</v>
      </c>
      <c r="L300" s="218">
        <f>L299/(L305*1000)</f>
        <v>1E-3</v>
      </c>
      <c r="M300" s="218">
        <f>M299/(M305*1000)</f>
        <v>1E-3</v>
      </c>
      <c r="N300" s="218">
        <f>N299/(N305*1000)</f>
        <v>1E-3</v>
      </c>
      <c r="O300" s="218">
        <f>O299/(O305*1000)</f>
        <v>1E-3</v>
      </c>
      <c r="P300" s="218">
        <f>P299/(P305*1000)</f>
        <v>1E-3</v>
      </c>
      <c r="Q300" s="218">
        <f>Q299/(Q305*1000)</f>
        <v>1E-3</v>
      </c>
      <c r="R300" s="218">
        <f>R299/(R305*1000)</f>
        <v>1E-3</v>
      </c>
      <c r="Y300" s="146"/>
    </row>
    <row r="301" spans="1:27" ht="25.5" customHeight="1" x14ac:dyDescent="0.5">
      <c r="A301" s="156"/>
      <c r="B301" s="156" t="s">
        <v>446</v>
      </c>
      <c r="C301" s="186" t="s">
        <v>455</v>
      </c>
      <c r="D301" s="187"/>
      <c r="E301" s="188"/>
      <c r="F301" s="277">
        <f>F307*F305/10^-6</f>
        <v>7237984.9449913139</v>
      </c>
      <c r="G301" s="277">
        <f t="shared" ref="G301:R301" si="205">G307*G305/10^-6</f>
        <v>3273885.3503184714</v>
      </c>
      <c r="H301" s="277">
        <f t="shared" si="205"/>
        <v>6580196.8731905045</v>
      </c>
      <c r="I301" s="277">
        <f t="shared" si="205"/>
        <v>7237984.9449913139</v>
      </c>
      <c r="J301" s="277">
        <f t="shared" si="205"/>
        <v>7237984.9449913139</v>
      </c>
      <c r="K301" s="277">
        <f t="shared" si="205"/>
        <v>7237984.9449913139</v>
      </c>
      <c r="L301" s="277">
        <f t="shared" si="205"/>
        <v>7237984.9449913139</v>
      </c>
      <c r="M301" s="277">
        <f t="shared" si="205"/>
        <v>7237984.9449913139</v>
      </c>
      <c r="N301" s="277">
        <f t="shared" si="205"/>
        <v>3864504.9218297624</v>
      </c>
      <c r="O301" s="277">
        <f t="shared" si="205"/>
        <v>2966994.7886508391</v>
      </c>
      <c r="P301" s="277">
        <f t="shared" si="205"/>
        <v>2376375.2171395482</v>
      </c>
      <c r="Q301" s="277">
        <f t="shared" si="205"/>
        <v>2272148.2339316737</v>
      </c>
      <c r="R301" s="277">
        <f t="shared" si="205"/>
        <v>2301100.1737116389</v>
      </c>
      <c r="Y301" s="146"/>
    </row>
    <row r="302" spans="1:27" s="147" customFormat="1" ht="19.2" x14ac:dyDescent="0.3">
      <c r="A302" s="235"/>
      <c r="B302" s="236" t="s">
        <v>417</v>
      </c>
      <c r="C302" s="237"/>
      <c r="D302" s="188" t="s">
        <v>221</v>
      </c>
      <c r="E302" s="188"/>
      <c r="F302" s="194">
        <v>1.2999999999999999E-2</v>
      </c>
      <c r="G302" s="194">
        <f>F302</f>
        <v>1.2999999999999999E-2</v>
      </c>
      <c r="H302" s="194">
        <f t="shared" ref="H302:R302" si="206">G302</f>
        <v>1.2999999999999999E-2</v>
      </c>
      <c r="I302" s="194">
        <f t="shared" si="206"/>
        <v>1.2999999999999999E-2</v>
      </c>
      <c r="J302" s="194">
        <f t="shared" si="206"/>
        <v>1.2999999999999999E-2</v>
      </c>
      <c r="K302" s="194">
        <f t="shared" si="206"/>
        <v>1.2999999999999999E-2</v>
      </c>
      <c r="L302" s="194">
        <f t="shared" si="206"/>
        <v>1.2999999999999999E-2</v>
      </c>
      <c r="M302" s="194">
        <f t="shared" si="206"/>
        <v>1.2999999999999999E-2</v>
      </c>
      <c r="N302" s="194">
        <f t="shared" si="206"/>
        <v>1.2999999999999999E-2</v>
      </c>
      <c r="O302" s="194">
        <f t="shared" si="206"/>
        <v>1.2999999999999999E-2</v>
      </c>
      <c r="P302" s="194">
        <f t="shared" si="206"/>
        <v>1.2999999999999999E-2</v>
      </c>
      <c r="Q302" s="194">
        <f t="shared" si="206"/>
        <v>1.2999999999999999E-2</v>
      </c>
      <c r="R302" s="194">
        <f t="shared" si="206"/>
        <v>1.2999999999999999E-2</v>
      </c>
      <c r="S302" s="113"/>
      <c r="Y302" s="148"/>
    </row>
    <row r="303" spans="1:27" ht="19.2" x14ac:dyDescent="0.5">
      <c r="A303" s="156"/>
      <c r="B303" s="186" t="s">
        <v>288</v>
      </c>
      <c r="C303" s="186"/>
      <c r="D303" s="187" t="s">
        <v>219</v>
      </c>
      <c r="E303" s="188" t="s">
        <v>289</v>
      </c>
      <c r="F303" s="189">
        <f>F9</f>
        <v>12.5</v>
      </c>
      <c r="G303" s="189">
        <f>G9</f>
        <v>5.6539999999999999</v>
      </c>
      <c r="H303" s="189">
        <f>H9</f>
        <v>11.364000000000001</v>
      </c>
      <c r="I303" s="189">
        <f>I9</f>
        <v>12.5</v>
      </c>
      <c r="J303" s="189">
        <f>J9</f>
        <v>12.5</v>
      </c>
      <c r="K303" s="189">
        <f>K9</f>
        <v>12.5</v>
      </c>
      <c r="L303" s="189">
        <f>L9</f>
        <v>12.5</v>
      </c>
      <c r="M303" s="189">
        <f>M9</f>
        <v>12.5</v>
      </c>
      <c r="N303" s="189">
        <f>N9</f>
        <v>6.6740000000000004</v>
      </c>
      <c r="O303" s="189">
        <f>O9</f>
        <v>5.1239999999999997</v>
      </c>
      <c r="P303" s="189">
        <f>P9</f>
        <v>4.1040000000000001</v>
      </c>
      <c r="Q303" s="189">
        <f>Q9</f>
        <v>3.9240000000000004</v>
      </c>
      <c r="R303" s="189">
        <f>R9</f>
        <v>3.9740000000000002</v>
      </c>
      <c r="Y303" s="149" t="s">
        <v>90</v>
      </c>
      <c r="Z303" s="131" t="s">
        <v>290</v>
      </c>
      <c r="AA303" s="131" t="s">
        <v>291</v>
      </c>
    </row>
    <row r="304" spans="1:27" ht="19.2" x14ac:dyDescent="0.5">
      <c r="A304" s="156"/>
      <c r="B304" s="186" t="s">
        <v>418</v>
      </c>
      <c r="C304" s="186"/>
      <c r="D304" s="187" t="s">
        <v>208</v>
      </c>
      <c r="E304" s="188" t="s">
        <v>4</v>
      </c>
      <c r="F304" s="189">
        <v>422.3</v>
      </c>
      <c r="G304" s="189">
        <v>422.3</v>
      </c>
      <c r="H304" s="189">
        <v>422.3</v>
      </c>
      <c r="I304" s="189">
        <v>422.3</v>
      </c>
      <c r="J304" s="189">
        <v>422.3</v>
      </c>
      <c r="K304" s="189">
        <v>422.3</v>
      </c>
      <c r="L304" s="189">
        <v>422.3</v>
      </c>
      <c r="M304" s="189">
        <v>422.3</v>
      </c>
      <c r="N304" s="189">
        <v>422.3</v>
      </c>
      <c r="O304" s="189">
        <v>422.3</v>
      </c>
      <c r="P304" s="189">
        <v>422.3</v>
      </c>
      <c r="Q304" s="189">
        <v>422.3</v>
      </c>
      <c r="R304" s="189">
        <v>422.3</v>
      </c>
      <c r="Y304" s="150" t="s">
        <v>292</v>
      </c>
      <c r="Z304" s="151" t="s">
        <v>293</v>
      </c>
      <c r="AA304" s="149">
        <v>1.7999999999999999E-2</v>
      </c>
    </row>
    <row r="305" spans="1:27" ht="19.2" x14ac:dyDescent="0.5">
      <c r="A305" s="156"/>
      <c r="B305" s="186" t="s">
        <v>416</v>
      </c>
      <c r="C305" s="186"/>
      <c r="D305" s="187" t="s">
        <v>351</v>
      </c>
      <c r="E305" s="188" t="s">
        <v>4</v>
      </c>
      <c r="F305" s="189">
        <v>2.2000000000000002</v>
      </c>
      <c r="G305" s="189">
        <v>2.2000000000000002</v>
      </c>
      <c r="H305" s="189">
        <v>2.2000000000000002</v>
      </c>
      <c r="I305" s="189">
        <v>2.2000000000000002</v>
      </c>
      <c r="J305" s="189">
        <v>2.2000000000000002</v>
      </c>
      <c r="K305" s="189">
        <v>2.2000000000000002</v>
      </c>
      <c r="L305" s="189">
        <v>2.2000000000000002</v>
      </c>
      <c r="M305" s="189">
        <v>2.2000000000000002</v>
      </c>
      <c r="N305" s="189">
        <v>2.2000000000000002</v>
      </c>
      <c r="O305" s="189">
        <v>2.2000000000000002</v>
      </c>
      <c r="P305" s="189">
        <v>2.2000000000000002</v>
      </c>
      <c r="Q305" s="189">
        <v>2.2000000000000002</v>
      </c>
      <c r="R305" s="189">
        <v>2.2000000000000002</v>
      </c>
      <c r="Y305" s="150" t="s">
        <v>294</v>
      </c>
      <c r="Z305" s="150" t="s">
        <v>295</v>
      </c>
      <c r="AA305" s="149">
        <v>1.4999999999999999E-2</v>
      </c>
    </row>
    <row r="306" spans="1:27" ht="19.2" x14ac:dyDescent="0.5">
      <c r="A306" s="156"/>
      <c r="B306" s="186" t="s">
        <v>419</v>
      </c>
      <c r="C306" s="186"/>
      <c r="D306" s="187" t="s">
        <v>297</v>
      </c>
      <c r="E306" s="188" t="s">
        <v>114</v>
      </c>
      <c r="F306" s="189">
        <f>3.14*(F305^2)/4</f>
        <v>3.7994000000000008</v>
      </c>
      <c r="G306" s="189">
        <f>3.14*(G305^2)/4</f>
        <v>3.7994000000000008</v>
      </c>
      <c r="H306" s="189">
        <f t="shared" ref="H306:R306" si="207">3.14*(H305^2)/4</f>
        <v>3.7994000000000008</v>
      </c>
      <c r="I306" s="189">
        <f t="shared" si="207"/>
        <v>3.7994000000000008</v>
      </c>
      <c r="J306" s="189">
        <f t="shared" si="207"/>
        <v>3.7994000000000008</v>
      </c>
      <c r="K306" s="189">
        <f t="shared" si="207"/>
        <v>3.7994000000000008</v>
      </c>
      <c r="L306" s="189">
        <f t="shared" si="207"/>
        <v>3.7994000000000008</v>
      </c>
      <c r="M306" s="189">
        <f t="shared" si="207"/>
        <v>3.7994000000000008</v>
      </c>
      <c r="N306" s="189">
        <f t="shared" si="207"/>
        <v>3.7994000000000008</v>
      </c>
      <c r="O306" s="189">
        <f t="shared" si="207"/>
        <v>3.7994000000000008</v>
      </c>
      <c r="P306" s="189">
        <f t="shared" si="207"/>
        <v>3.7994000000000008</v>
      </c>
      <c r="Q306" s="189">
        <f t="shared" si="207"/>
        <v>3.7994000000000008</v>
      </c>
      <c r="R306" s="189">
        <f t="shared" si="207"/>
        <v>3.7994000000000008</v>
      </c>
      <c r="Y306" s="151" t="s">
        <v>296</v>
      </c>
      <c r="Z306" s="151" t="s">
        <v>298</v>
      </c>
      <c r="AA306" s="149">
        <v>1.6E-2</v>
      </c>
    </row>
    <row r="307" spans="1:27" ht="19.2" x14ac:dyDescent="0.5">
      <c r="A307" s="156"/>
      <c r="B307" s="186" t="s">
        <v>420</v>
      </c>
      <c r="C307" s="186"/>
      <c r="D307" s="187" t="s">
        <v>299</v>
      </c>
      <c r="E307" s="188" t="s">
        <v>117</v>
      </c>
      <c r="F307" s="189">
        <f>F303/F306</f>
        <v>3.2899931568142331</v>
      </c>
      <c r="G307" s="189">
        <f>G303/G306</f>
        <v>1.488129704690214</v>
      </c>
      <c r="H307" s="189">
        <f t="shared" ref="H307:R307" si="208">H303/H306</f>
        <v>2.990998578722956</v>
      </c>
      <c r="I307" s="189">
        <f t="shared" si="208"/>
        <v>3.2899931568142331</v>
      </c>
      <c r="J307" s="189">
        <f t="shared" si="208"/>
        <v>3.2899931568142331</v>
      </c>
      <c r="K307" s="189">
        <f t="shared" si="208"/>
        <v>3.2899931568142331</v>
      </c>
      <c r="L307" s="189">
        <f t="shared" si="208"/>
        <v>3.2899931568142331</v>
      </c>
      <c r="M307" s="189">
        <f t="shared" si="208"/>
        <v>3.2899931568142331</v>
      </c>
      <c r="N307" s="189">
        <f t="shared" si="208"/>
        <v>1.7565931462862554</v>
      </c>
      <c r="O307" s="189">
        <f t="shared" si="208"/>
        <v>1.3486339948412904</v>
      </c>
      <c r="P307" s="189">
        <f t="shared" si="208"/>
        <v>1.080170553245249</v>
      </c>
      <c r="Q307" s="189">
        <f t="shared" si="208"/>
        <v>1.0327946517871243</v>
      </c>
      <c r="R307" s="189">
        <f t="shared" si="208"/>
        <v>1.0459546244143811</v>
      </c>
      <c r="Y307" s="151" t="s">
        <v>296</v>
      </c>
      <c r="Z307" s="151" t="s">
        <v>300</v>
      </c>
      <c r="AA307" s="149">
        <v>1.6E-2</v>
      </c>
    </row>
    <row r="308" spans="1:27" ht="19.2" x14ac:dyDescent="0.5">
      <c r="A308" s="156"/>
      <c r="B308" s="186" t="s">
        <v>118</v>
      </c>
      <c r="C308" s="186"/>
      <c r="D308" s="187" t="s">
        <v>435</v>
      </c>
      <c r="E308" s="188" t="s">
        <v>4</v>
      </c>
      <c r="F308" s="194">
        <f>F307^2/(2*9.81)</f>
        <v>0.55168475901551894</v>
      </c>
      <c r="G308" s="194">
        <f>G307^2/(2*9.81)</f>
        <v>0.11287105086551392</v>
      </c>
      <c r="H308" s="194">
        <f t="shared" ref="H308:R308" si="209">H307^2/(2*9.81)</f>
        <v>0.45596699785538958</v>
      </c>
      <c r="I308" s="194">
        <f t="shared" si="209"/>
        <v>0.55168475901551894</v>
      </c>
      <c r="J308" s="194">
        <f t="shared" si="209"/>
        <v>0.55168475901551894</v>
      </c>
      <c r="K308" s="194">
        <f t="shared" si="209"/>
        <v>0.55168475901551894</v>
      </c>
      <c r="L308" s="194">
        <f t="shared" si="209"/>
        <v>0.55168475901551894</v>
      </c>
      <c r="M308" s="194">
        <f t="shared" si="209"/>
        <v>0.55168475901551894</v>
      </c>
      <c r="N308" s="194">
        <f t="shared" si="209"/>
        <v>0.15726908672680151</v>
      </c>
      <c r="O308" s="194">
        <f t="shared" si="209"/>
        <v>9.2702021001099782E-2</v>
      </c>
      <c r="P308" s="194">
        <f t="shared" si="209"/>
        <v>5.9468319271057453E-2</v>
      </c>
      <c r="Q308" s="194">
        <f t="shared" si="209"/>
        <v>5.4366197388383643E-2</v>
      </c>
      <c r="R308" s="194">
        <f t="shared" si="209"/>
        <v>5.5760503380929111E-2</v>
      </c>
    </row>
    <row r="309" spans="1:27" ht="20.399999999999999" x14ac:dyDescent="0.5">
      <c r="A309" s="156"/>
      <c r="B309" s="186" t="s">
        <v>422</v>
      </c>
      <c r="C309" s="186" t="s">
        <v>508</v>
      </c>
      <c r="D309" s="187" t="s">
        <v>421</v>
      </c>
      <c r="E309" s="188" t="s">
        <v>4</v>
      </c>
      <c r="F309" s="194">
        <f>(F302*F304*F307*F307)/(2*9.81*F305)</f>
        <v>1.376679162963317</v>
      </c>
      <c r="G309" s="194">
        <f>(G302*G304*G307*G307)/(2*9.81*G305)</f>
        <v>0.2816594464302658</v>
      </c>
      <c r="H309" s="194">
        <f>(H302*H304*H307*H307)/(2*9.81*H305)</f>
        <v>1.1378241916028646</v>
      </c>
      <c r="I309" s="194">
        <f>(I302*I304*I307*I307)/(2*9.81*I305)</f>
        <v>1.376679162963317</v>
      </c>
      <c r="J309" s="194">
        <f>(J302*J304*J307*J307)/(2*9.81*J305)</f>
        <v>1.376679162963317</v>
      </c>
      <c r="K309" s="194">
        <f>(K302*K304*K307*K307)/(2*9.81*K305)</f>
        <v>1.376679162963317</v>
      </c>
      <c r="L309" s="194">
        <f>(L302*L304*L307*L307)/(2*9.81*L305)</f>
        <v>1.376679162963317</v>
      </c>
      <c r="M309" s="194">
        <f>(M302*M304*M307*M307)/(2*9.81*M305)</f>
        <v>1.376679162963317</v>
      </c>
      <c r="N309" s="194">
        <f>(N302*N304*N307*N307)/(2*9.81*N305)</f>
        <v>0.39245070873703064</v>
      </c>
      <c r="O309" s="194">
        <f>(O302*O304*O307*O307)/(2*9.81*O305)</f>
        <v>0.23132946595178983</v>
      </c>
      <c r="P309" s="194">
        <f>(P302*P304*P307*P307)/(2*9.81*P305)</f>
        <v>0.14839778453008104</v>
      </c>
      <c r="Q309" s="194">
        <f>(Q302*Q304*Q307*Q307)/(2*9.81*Q305)</f>
        <v>0.13566590320113059</v>
      </c>
      <c r="R309" s="194">
        <f>(R302*R304*R307*R307)/(2*9.81*R305)</f>
        <v>0.13914526705043756</v>
      </c>
      <c r="S309" s="142" t="e">
        <f>#REF!-F309</f>
        <v>#REF!</v>
      </c>
      <c r="T309" s="121" t="e">
        <f>S309-F308</f>
        <v>#REF!</v>
      </c>
    </row>
    <row r="310" spans="1:27" ht="19.2" x14ac:dyDescent="0.5">
      <c r="A310" s="238"/>
      <c r="B310" s="239"/>
      <c r="C310" s="186"/>
      <c r="D310" s="187"/>
      <c r="E310" s="188"/>
      <c r="F310" s="194"/>
      <c r="G310" s="194"/>
      <c r="H310" s="194"/>
      <c r="I310" s="194"/>
      <c r="J310" s="194"/>
      <c r="K310" s="194"/>
      <c r="L310" s="194"/>
      <c r="M310" s="194"/>
      <c r="N310" s="194"/>
      <c r="O310" s="194"/>
      <c r="P310" s="194"/>
      <c r="Q310" s="194"/>
      <c r="R310" s="194"/>
      <c r="S310" s="122"/>
      <c r="T310" s="123"/>
    </row>
    <row r="311" spans="1:27" ht="19.2" x14ac:dyDescent="0.5">
      <c r="A311" s="196"/>
      <c r="B311" s="156" t="s">
        <v>425</v>
      </c>
      <c r="C311" s="186"/>
      <c r="D311" s="187"/>
      <c r="E311" s="188"/>
      <c r="F311" s="234"/>
      <c r="G311" s="234"/>
      <c r="H311" s="234"/>
      <c r="I311" s="234"/>
      <c r="J311" s="234"/>
      <c r="K311" s="234"/>
      <c r="L311" s="234"/>
      <c r="M311" s="234"/>
      <c r="N311" s="234"/>
      <c r="O311" s="234"/>
      <c r="P311" s="234"/>
      <c r="Q311" s="234"/>
      <c r="R311" s="234"/>
      <c r="S311" s="122"/>
      <c r="T311" s="123"/>
    </row>
    <row r="312" spans="1:27" ht="19.2" x14ac:dyDescent="0.5">
      <c r="A312" s="196"/>
      <c r="B312" s="156" t="s">
        <v>426</v>
      </c>
      <c r="C312" s="186"/>
      <c r="D312" s="187"/>
      <c r="E312" s="188"/>
      <c r="F312" s="234"/>
      <c r="G312" s="234"/>
      <c r="H312" s="234"/>
      <c r="I312" s="234"/>
      <c r="J312" s="234"/>
      <c r="K312" s="234"/>
      <c r="L312" s="234"/>
      <c r="M312" s="234"/>
      <c r="N312" s="234"/>
      <c r="O312" s="234"/>
      <c r="P312" s="234"/>
      <c r="Q312" s="234"/>
      <c r="R312" s="234"/>
      <c r="S312" s="122"/>
      <c r="T312" s="123"/>
    </row>
    <row r="313" spans="1:27" ht="19.2" x14ac:dyDescent="0.5">
      <c r="A313" s="196"/>
      <c r="B313" s="240" t="s">
        <v>456</v>
      </c>
      <c r="C313" s="186"/>
      <c r="D313" s="187" t="s">
        <v>303</v>
      </c>
      <c r="E313" s="188" t="s">
        <v>4</v>
      </c>
      <c r="F313" s="234">
        <v>6.6</v>
      </c>
      <c r="G313" s="234">
        <f>F313</f>
        <v>6.6</v>
      </c>
      <c r="H313" s="234">
        <f t="shared" ref="H313:R313" si="210">G313</f>
        <v>6.6</v>
      </c>
      <c r="I313" s="234">
        <f t="shared" si="210"/>
        <v>6.6</v>
      </c>
      <c r="J313" s="234">
        <f t="shared" si="210"/>
        <v>6.6</v>
      </c>
      <c r="K313" s="234">
        <f t="shared" si="210"/>
        <v>6.6</v>
      </c>
      <c r="L313" s="234">
        <f t="shared" si="210"/>
        <v>6.6</v>
      </c>
      <c r="M313" s="234">
        <f t="shared" si="210"/>
        <v>6.6</v>
      </c>
      <c r="N313" s="234">
        <f t="shared" si="210"/>
        <v>6.6</v>
      </c>
      <c r="O313" s="234">
        <f t="shared" si="210"/>
        <v>6.6</v>
      </c>
      <c r="P313" s="234">
        <f t="shared" si="210"/>
        <v>6.6</v>
      </c>
      <c r="Q313" s="234">
        <f t="shared" si="210"/>
        <v>6.6</v>
      </c>
      <c r="R313" s="234">
        <f t="shared" si="210"/>
        <v>6.6</v>
      </c>
      <c r="S313" s="122"/>
      <c r="T313" s="123"/>
    </row>
    <row r="314" spans="1:27" ht="19.2" x14ac:dyDescent="0.5">
      <c r="A314" s="196"/>
      <c r="B314" s="240" t="s">
        <v>448</v>
      </c>
      <c r="C314" s="186"/>
      <c r="D314" s="187" t="s">
        <v>448</v>
      </c>
      <c r="E314" s="188"/>
      <c r="F314" s="234">
        <f>F313/F305</f>
        <v>2.9999999999999996</v>
      </c>
      <c r="G314" s="234">
        <f t="shared" ref="G314:R314" si="211">G313/G305</f>
        <v>2.9999999999999996</v>
      </c>
      <c r="H314" s="234">
        <f t="shared" si="211"/>
        <v>2.9999999999999996</v>
      </c>
      <c r="I314" s="234">
        <f t="shared" si="211"/>
        <v>2.9999999999999996</v>
      </c>
      <c r="J314" s="234">
        <f t="shared" si="211"/>
        <v>2.9999999999999996</v>
      </c>
      <c r="K314" s="234">
        <f t="shared" si="211"/>
        <v>2.9999999999999996</v>
      </c>
      <c r="L314" s="234">
        <f t="shared" si="211"/>
        <v>2.9999999999999996</v>
      </c>
      <c r="M314" s="234">
        <f t="shared" si="211"/>
        <v>2.9999999999999996</v>
      </c>
      <c r="N314" s="234">
        <f t="shared" si="211"/>
        <v>2.9999999999999996</v>
      </c>
      <c r="O314" s="234">
        <f t="shared" si="211"/>
        <v>2.9999999999999996</v>
      </c>
      <c r="P314" s="234">
        <f t="shared" si="211"/>
        <v>2.9999999999999996</v>
      </c>
      <c r="Q314" s="234">
        <f t="shared" si="211"/>
        <v>2.9999999999999996</v>
      </c>
      <c r="R314" s="234">
        <f t="shared" si="211"/>
        <v>2.9999999999999996</v>
      </c>
      <c r="S314" s="122"/>
      <c r="T314" s="123"/>
    </row>
    <row r="315" spans="1:27" ht="19.2" x14ac:dyDescent="0.5">
      <c r="A315" s="196"/>
      <c r="B315" s="240" t="s">
        <v>457</v>
      </c>
      <c r="C315" s="186" t="s">
        <v>458</v>
      </c>
      <c r="D315" s="187"/>
      <c r="E315" s="188"/>
      <c r="F315" s="234">
        <v>0.1</v>
      </c>
      <c r="G315" s="234">
        <v>0.1</v>
      </c>
      <c r="H315" s="234">
        <v>0.1</v>
      </c>
      <c r="I315" s="234">
        <v>0.1</v>
      </c>
      <c r="J315" s="234">
        <v>0.1</v>
      </c>
      <c r="K315" s="234">
        <v>0.1</v>
      </c>
      <c r="L315" s="234">
        <v>0.1</v>
      </c>
      <c r="M315" s="234">
        <v>0.1</v>
      </c>
      <c r="N315" s="234">
        <v>0.1</v>
      </c>
      <c r="O315" s="234">
        <v>0.1</v>
      </c>
      <c r="P315" s="234">
        <v>0.1</v>
      </c>
      <c r="Q315" s="234">
        <v>0.1</v>
      </c>
      <c r="R315" s="234">
        <v>0.1</v>
      </c>
      <c r="S315" s="122"/>
      <c r="T315" s="123"/>
    </row>
    <row r="316" spans="1:27" ht="19.2" x14ac:dyDescent="0.5">
      <c r="A316" s="196"/>
      <c r="B316" s="240" t="s">
        <v>459</v>
      </c>
      <c r="C316" s="186" t="s">
        <v>460</v>
      </c>
      <c r="D316" s="187"/>
      <c r="E316" s="188"/>
      <c r="F316" s="234">
        <v>0.5</v>
      </c>
      <c r="G316" s="234">
        <f>F316</f>
        <v>0.5</v>
      </c>
      <c r="H316" s="234">
        <f t="shared" ref="H316:R316" si="212">G316</f>
        <v>0.5</v>
      </c>
      <c r="I316" s="234">
        <f t="shared" si="212"/>
        <v>0.5</v>
      </c>
      <c r="J316" s="234">
        <f t="shared" si="212"/>
        <v>0.5</v>
      </c>
      <c r="K316" s="234">
        <f t="shared" si="212"/>
        <v>0.5</v>
      </c>
      <c r="L316" s="234">
        <f t="shared" si="212"/>
        <v>0.5</v>
      </c>
      <c r="M316" s="234">
        <f t="shared" si="212"/>
        <v>0.5</v>
      </c>
      <c r="N316" s="234">
        <f t="shared" si="212"/>
        <v>0.5</v>
      </c>
      <c r="O316" s="234">
        <f t="shared" si="212"/>
        <v>0.5</v>
      </c>
      <c r="P316" s="234">
        <f t="shared" si="212"/>
        <v>0.5</v>
      </c>
      <c r="Q316" s="234">
        <f t="shared" si="212"/>
        <v>0.5</v>
      </c>
      <c r="R316" s="234">
        <f t="shared" si="212"/>
        <v>0.5</v>
      </c>
      <c r="S316" s="122"/>
      <c r="T316" s="123"/>
    </row>
    <row r="317" spans="1:27" ht="19.2" x14ac:dyDescent="0.5">
      <c r="A317" s="196"/>
      <c r="B317" s="240" t="s">
        <v>343</v>
      </c>
      <c r="C317" s="186"/>
      <c r="D317" s="187"/>
      <c r="E317" s="188"/>
      <c r="F317" s="234">
        <v>30</v>
      </c>
      <c r="G317" s="234">
        <f>+F317</f>
        <v>30</v>
      </c>
      <c r="H317" s="234">
        <f t="shared" ref="H317" si="213">+G317</f>
        <v>30</v>
      </c>
      <c r="I317" s="234">
        <f t="shared" ref="I317" si="214">+H317</f>
        <v>30</v>
      </c>
      <c r="J317" s="234">
        <f t="shared" ref="J317" si="215">+I317</f>
        <v>30</v>
      </c>
      <c r="K317" s="234">
        <f t="shared" ref="K317" si="216">+J317</f>
        <v>30</v>
      </c>
      <c r="L317" s="234">
        <f t="shared" ref="L317" si="217">+K317</f>
        <v>30</v>
      </c>
      <c r="M317" s="234">
        <f t="shared" ref="M317" si="218">+L317</f>
        <v>30</v>
      </c>
      <c r="N317" s="234">
        <f t="shared" ref="N317" si="219">+M317</f>
        <v>30</v>
      </c>
      <c r="O317" s="234">
        <f t="shared" ref="O317" si="220">+N317</f>
        <v>30</v>
      </c>
      <c r="P317" s="234">
        <f t="shared" ref="P317" si="221">+O317</f>
        <v>30</v>
      </c>
      <c r="Q317" s="234">
        <f t="shared" ref="Q317" si="222">+P317</f>
        <v>30</v>
      </c>
      <c r="R317" s="234">
        <f t="shared" ref="R317" si="223">+Q317</f>
        <v>30</v>
      </c>
      <c r="S317" s="122"/>
      <c r="T317" s="123"/>
    </row>
    <row r="318" spans="1:27" ht="19.2" x14ac:dyDescent="0.5">
      <c r="A318" s="196"/>
      <c r="B318" s="186" t="s">
        <v>344</v>
      </c>
      <c r="C318" s="186"/>
      <c r="D318" s="187"/>
      <c r="E318" s="188"/>
      <c r="F318" s="234">
        <f>F315*F316</f>
        <v>0.05</v>
      </c>
      <c r="G318" s="234">
        <f t="shared" ref="G318:R318" si="224">G315*G316</f>
        <v>0.05</v>
      </c>
      <c r="H318" s="234">
        <f t="shared" si="224"/>
        <v>0.05</v>
      </c>
      <c r="I318" s="234">
        <f t="shared" si="224"/>
        <v>0.05</v>
      </c>
      <c r="J318" s="234">
        <f t="shared" si="224"/>
        <v>0.05</v>
      </c>
      <c r="K318" s="234">
        <f t="shared" si="224"/>
        <v>0.05</v>
      </c>
      <c r="L318" s="234">
        <f t="shared" si="224"/>
        <v>0.05</v>
      </c>
      <c r="M318" s="234">
        <f t="shared" si="224"/>
        <v>0.05</v>
      </c>
      <c r="N318" s="234">
        <f t="shared" si="224"/>
        <v>0.05</v>
      </c>
      <c r="O318" s="234">
        <f t="shared" si="224"/>
        <v>0.05</v>
      </c>
      <c r="P318" s="234">
        <f t="shared" si="224"/>
        <v>0.05</v>
      </c>
      <c r="Q318" s="234">
        <f t="shared" si="224"/>
        <v>0.05</v>
      </c>
      <c r="R318" s="234">
        <f t="shared" si="224"/>
        <v>0.05</v>
      </c>
      <c r="S318" s="122"/>
      <c r="T318" s="123"/>
    </row>
    <row r="319" spans="1:27" ht="19.2" x14ac:dyDescent="0.5">
      <c r="A319" s="196"/>
      <c r="B319" s="241" t="s">
        <v>345</v>
      </c>
      <c r="C319" s="186"/>
      <c r="D319" s="187"/>
      <c r="E319" s="188" t="s">
        <v>4</v>
      </c>
      <c r="F319" s="233">
        <f>F318*F308</f>
        <v>2.7584237950775949E-2</v>
      </c>
      <c r="G319" s="233">
        <f>G318*G308</f>
        <v>5.6435525432756966E-3</v>
      </c>
      <c r="H319" s="233">
        <f t="shared" ref="H319:R319" si="225">H318*H308</f>
        <v>2.2798349892769479E-2</v>
      </c>
      <c r="I319" s="233">
        <f t="shared" si="225"/>
        <v>2.7584237950775949E-2</v>
      </c>
      <c r="J319" s="233">
        <f t="shared" si="225"/>
        <v>2.7584237950775949E-2</v>
      </c>
      <c r="K319" s="233">
        <f t="shared" si="225"/>
        <v>2.7584237950775949E-2</v>
      </c>
      <c r="L319" s="233">
        <f t="shared" si="225"/>
        <v>2.7584237950775949E-2</v>
      </c>
      <c r="M319" s="233">
        <f t="shared" si="225"/>
        <v>2.7584237950775949E-2</v>
      </c>
      <c r="N319" s="233">
        <f t="shared" si="225"/>
        <v>7.8634543363400762E-3</v>
      </c>
      <c r="O319" s="233">
        <f t="shared" si="225"/>
        <v>4.6351010500549896E-3</v>
      </c>
      <c r="P319" s="233">
        <f t="shared" si="225"/>
        <v>2.973415963552873E-3</v>
      </c>
      <c r="Q319" s="233">
        <f t="shared" si="225"/>
        <v>2.7183098694191824E-3</v>
      </c>
      <c r="R319" s="233">
        <f t="shared" si="225"/>
        <v>2.7880251690464556E-3</v>
      </c>
      <c r="S319" s="122"/>
      <c r="T319" s="123"/>
    </row>
    <row r="320" spans="1:27" ht="19.2" x14ac:dyDescent="0.5">
      <c r="A320" s="196"/>
      <c r="B320" s="241"/>
      <c r="C320" s="186"/>
      <c r="D320" s="187"/>
      <c r="E320" s="188"/>
      <c r="F320" s="233"/>
      <c r="G320" s="233"/>
      <c r="H320" s="233"/>
      <c r="I320" s="233"/>
      <c r="J320" s="233"/>
      <c r="K320" s="233"/>
      <c r="L320" s="233"/>
      <c r="M320" s="233"/>
      <c r="N320" s="233"/>
      <c r="O320" s="233"/>
      <c r="P320" s="233"/>
      <c r="Q320" s="233"/>
      <c r="R320" s="233"/>
      <c r="S320" s="122"/>
      <c r="T320" s="123"/>
    </row>
    <row r="321" spans="1:20" ht="19.2" x14ac:dyDescent="0.5">
      <c r="A321" s="196"/>
      <c r="B321" s="156" t="s">
        <v>427</v>
      </c>
      <c r="C321" s="186"/>
      <c r="D321" s="187"/>
      <c r="E321" s="188"/>
      <c r="F321" s="234"/>
      <c r="G321" s="234"/>
      <c r="H321" s="234"/>
      <c r="I321" s="234"/>
      <c r="J321" s="234"/>
      <c r="K321" s="234"/>
      <c r="L321" s="234"/>
      <c r="M321" s="234"/>
      <c r="N321" s="234"/>
      <c r="O321" s="234"/>
      <c r="P321" s="234"/>
      <c r="Q321" s="234"/>
      <c r="R321" s="234"/>
      <c r="S321" s="122"/>
      <c r="T321" s="123"/>
    </row>
    <row r="322" spans="1:20" ht="19.2" x14ac:dyDescent="0.5">
      <c r="A322" s="196"/>
      <c r="B322" s="240" t="s">
        <v>456</v>
      </c>
      <c r="C322" s="186"/>
      <c r="D322" s="187" t="s">
        <v>303</v>
      </c>
      <c r="E322" s="188" t="s">
        <v>4</v>
      </c>
      <c r="F322" s="234">
        <v>6.6</v>
      </c>
      <c r="G322" s="234">
        <f>F322</f>
        <v>6.6</v>
      </c>
      <c r="H322" s="234">
        <f t="shared" ref="H322:R322" si="226">G322</f>
        <v>6.6</v>
      </c>
      <c r="I322" s="234">
        <f t="shared" si="226"/>
        <v>6.6</v>
      </c>
      <c r="J322" s="234">
        <f t="shared" si="226"/>
        <v>6.6</v>
      </c>
      <c r="K322" s="234">
        <f t="shared" si="226"/>
        <v>6.6</v>
      </c>
      <c r="L322" s="234">
        <f t="shared" si="226"/>
        <v>6.6</v>
      </c>
      <c r="M322" s="234">
        <f t="shared" si="226"/>
        <v>6.6</v>
      </c>
      <c r="N322" s="234">
        <f t="shared" si="226"/>
        <v>6.6</v>
      </c>
      <c r="O322" s="234">
        <f t="shared" si="226"/>
        <v>6.6</v>
      </c>
      <c r="P322" s="234">
        <f t="shared" si="226"/>
        <v>6.6</v>
      </c>
      <c r="Q322" s="234">
        <f t="shared" si="226"/>
        <v>6.6</v>
      </c>
      <c r="R322" s="234">
        <f t="shared" si="226"/>
        <v>6.6</v>
      </c>
      <c r="S322" s="122"/>
      <c r="T322" s="123"/>
    </row>
    <row r="323" spans="1:20" ht="19.2" x14ac:dyDescent="0.5">
      <c r="A323" s="196"/>
      <c r="B323" s="240" t="s">
        <v>448</v>
      </c>
      <c r="C323" s="186"/>
      <c r="D323" s="187" t="s">
        <v>448</v>
      </c>
      <c r="E323" s="188"/>
      <c r="F323" s="234">
        <f>F322/F314</f>
        <v>2.2000000000000002</v>
      </c>
      <c r="G323" s="234">
        <f t="shared" ref="G323" si="227">G322/G314</f>
        <v>2.2000000000000002</v>
      </c>
      <c r="H323" s="234">
        <f t="shared" ref="H323" si="228">H322/H314</f>
        <v>2.2000000000000002</v>
      </c>
      <c r="I323" s="234">
        <f t="shared" ref="I323" si="229">I322/I314</f>
        <v>2.2000000000000002</v>
      </c>
      <c r="J323" s="234">
        <f t="shared" ref="J323" si="230">J322/J314</f>
        <v>2.2000000000000002</v>
      </c>
      <c r="K323" s="234">
        <f t="shared" ref="K323" si="231">K322/K314</f>
        <v>2.2000000000000002</v>
      </c>
      <c r="L323" s="234">
        <f t="shared" ref="L323" si="232">L322/L314</f>
        <v>2.2000000000000002</v>
      </c>
      <c r="M323" s="234">
        <f t="shared" ref="M323" si="233">M322/M314</f>
        <v>2.2000000000000002</v>
      </c>
      <c r="N323" s="234">
        <f t="shared" ref="N323" si="234">N322/N314</f>
        <v>2.2000000000000002</v>
      </c>
      <c r="O323" s="234">
        <f t="shared" ref="O323" si="235">O322/O314</f>
        <v>2.2000000000000002</v>
      </c>
      <c r="P323" s="234">
        <f t="shared" ref="P323" si="236">P322/P314</f>
        <v>2.2000000000000002</v>
      </c>
      <c r="Q323" s="234">
        <f t="shared" ref="Q323" si="237">Q322/Q314</f>
        <v>2.2000000000000002</v>
      </c>
      <c r="R323" s="234">
        <f t="shared" ref="R323" si="238">R322/R314</f>
        <v>2.2000000000000002</v>
      </c>
      <c r="S323" s="122"/>
      <c r="T323" s="123"/>
    </row>
    <row r="324" spans="1:20" ht="19.2" x14ac:dyDescent="0.5">
      <c r="A324" s="196"/>
      <c r="B324" s="240" t="s">
        <v>457</v>
      </c>
      <c r="C324" s="186" t="s">
        <v>458</v>
      </c>
      <c r="D324" s="187"/>
      <c r="E324" s="188"/>
      <c r="F324" s="234">
        <v>0.1</v>
      </c>
      <c r="G324" s="234">
        <v>0.1</v>
      </c>
      <c r="H324" s="234">
        <v>0.1</v>
      </c>
      <c r="I324" s="234">
        <v>0.1</v>
      </c>
      <c r="J324" s="234">
        <v>0.1</v>
      </c>
      <c r="K324" s="234">
        <v>0.1</v>
      </c>
      <c r="L324" s="234">
        <v>0.1</v>
      </c>
      <c r="M324" s="234">
        <v>0.1</v>
      </c>
      <c r="N324" s="234">
        <v>0.1</v>
      </c>
      <c r="O324" s="234">
        <v>0.1</v>
      </c>
      <c r="P324" s="234">
        <v>0.1</v>
      </c>
      <c r="Q324" s="234">
        <v>0.1</v>
      </c>
      <c r="R324" s="234">
        <v>0.1</v>
      </c>
      <c r="S324" s="122"/>
      <c r="T324" s="123"/>
    </row>
    <row r="325" spans="1:20" ht="19.2" x14ac:dyDescent="0.5">
      <c r="A325" s="196"/>
      <c r="B325" s="240" t="s">
        <v>459</v>
      </c>
      <c r="C325" s="186" t="s">
        <v>460</v>
      </c>
      <c r="D325" s="187"/>
      <c r="E325" s="188"/>
      <c r="F325" s="234">
        <v>0.36</v>
      </c>
      <c r="G325" s="234">
        <f>F325</f>
        <v>0.36</v>
      </c>
      <c r="H325" s="234">
        <f t="shared" ref="H325:R325" si="239">G325</f>
        <v>0.36</v>
      </c>
      <c r="I325" s="234">
        <f t="shared" si="239"/>
        <v>0.36</v>
      </c>
      <c r="J325" s="234">
        <f t="shared" si="239"/>
        <v>0.36</v>
      </c>
      <c r="K325" s="234">
        <f t="shared" si="239"/>
        <v>0.36</v>
      </c>
      <c r="L325" s="234">
        <f t="shared" si="239"/>
        <v>0.36</v>
      </c>
      <c r="M325" s="234">
        <f t="shared" si="239"/>
        <v>0.36</v>
      </c>
      <c r="N325" s="234">
        <f t="shared" si="239"/>
        <v>0.36</v>
      </c>
      <c r="O325" s="234">
        <f t="shared" si="239"/>
        <v>0.36</v>
      </c>
      <c r="P325" s="234">
        <f t="shared" si="239"/>
        <v>0.36</v>
      </c>
      <c r="Q325" s="234">
        <f t="shared" si="239"/>
        <v>0.36</v>
      </c>
      <c r="R325" s="234">
        <f t="shared" si="239"/>
        <v>0.36</v>
      </c>
      <c r="S325" s="122"/>
      <c r="T325" s="123"/>
    </row>
    <row r="326" spans="1:20" ht="19.2" x14ac:dyDescent="0.5">
      <c r="A326" s="196"/>
      <c r="B326" s="240" t="s">
        <v>343</v>
      </c>
      <c r="C326" s="186"/>
      <c r="D326" s="187"/>
      <c r="E326" s="188"/>
      <c r="F326" s="234">
        <v>21</v>
      </c>
      <c r="G326" s="234">
        <f>+F326</f>
        <v>21</v>
      </c>
      <c r="H326" s="234">
        <f t="shared" ref="H326" si="240">+G326</f>
        <v>21</v>
      </c>
      <c r="I326" s="234">
        <f t="shared" ref="I326" si="241">+H326</f>
        <v>21</v>
      </c>
      <c r="J326" s="234">
        <f t="shared" ref="J326" si="242">+I326</f>
        <v>21</v>
      </c>
      <c r="K326" s="234">
        <f t="shared" ref="K326" si="243">+J326</f>
        <v>21</v>
      </c>
      <c r="L326" s="234">
        <f t="shared" ref="L326" si="244">+K326</f>
        <v>21</v>
      </c>
      <c r="M326" s="234">
        <f t="shared" ref="M326" si="245">+L326</f>
        <v>21</v>
      </c>
      <c r="N326" s="234">
        <f t="shared" ref="N326" si="246">+M326</f>
        <v>21</v>
      </c>
      <c r="O326" s="234">
        <f t="shared" ref="O326" si="247">+N326</f>
        <v>21</v>
      </c>
      <c r="P326" s="234">
        <f t="shared" ref="P326" si="248">+O326</f>
        <v>21</v>
      </c>
      <c r="Q326" s="234">
        <f t="shared" ref="Q326" si="249">+P326</f>
        <v>21</v>
      </c>
      <c r="R326" s="234">
        <f t="shared" ref="R326" si="250">+Q326</f>
        <v>21</v>
      </c>
      <c r="S326" s="122"/>
      <c r="T326" s="123"/>
    </row>
    <row r="327" spans="1:20" ht="19.2" x14ac:dyDescent="0.5">
      <c r="A327" s="196"/>
      <c r="B327" s="186" t="s">
        <v>344</v>
      </c>
      <c r="C327" s="186"/>
      <c r="D327" s="187"/>
      <c r="E327" s="188"/>
      <c r="F327" s="234">
        <f>F324*F325</f>
        <v>3.5999999999999997E-2</v>
      </c>
      <c r="G327" s="234">
        <f t="shared" ref="G327:R327" si="251">G324*G325</f>
        <v>3.5999999999999997E-2</v>
      </c>
      <c r="H327" s="234">
        <f t="shared" si="251"/>
        <v>3.5999999999999997E-2</v>
      </c>
      <c r="I327" s="234">
        <f t="shared" si="251"/>
        <v>3.5999999999999997E-2</v>
      </c>
      <c r="J327" s="234">
        <f t="shared" si="251"/>
        <v>3.5999999999999997E-2</v>
      </c>
      <c r="K327" s="234">
        <f t="shared" si="251"/>
        <v>3.5999999999999997E-2</v>
      </c>
      <c r="L327" s="234">
        <f t="shared" si="251"/>
        <v>3.5999999999999997E-2</v>
      </c>
      <c r="M327" s="234">
        <f t="shared" si="251"/>
        <v>3.5999999999999997E-2</v>
      </c>
      <c r="N327" s="234">
        <f t="shared" si="251"/>
        <v>3.5999999999999997E-2</v>
      </c>
      <c r="O327" s="234">
        <f t="shared" si="251"/>
        <v>3.5999999999999997E-2</v>
      </c>
      <c r="P327" s="234">
        <f t="shared" si="251"/>
        <v>3.5999999999999997E-2</v>
      </c>
      <c r="Q327" s="234">
        <f t="shared" si="251"/>
        <v>3.5999999999999997E-2</v>
      </c>
      <c r="R327" s="234">
        <f t="shared" si="251"/>
        <v>3.5999999999999997E-2</v>
      </c>
      <c r="S327" s="122"/>
      <c r="T327" s="123"/>
    </row>
    <row r="328" spans="1:20" ht="19.2" x14ac:dyDescent="0.5">
      <c r="A328" s="196"/>
      <c r="B328" s="241" t="s">
        <v>345</v>
      </c>
      <c r="C328" s="186"/>
      <c r="D328" s="187"/>
      <c r="E328" s="188" t="s">
        <v>4</v>
      </c>
      <c r="F328" s="233">
        <f>F308*F327</f>
        <v>1.9860651324558682E-2</v>
      </c>
      <c r="G328" s="233">
        <f t="shared" ref="G328:R328" si="252">G308*G327</f>
        <v>4.0633578311585006E-3</v>
      </c>
      <c r="H328" s="233">
        <f t="shared" si="252"/>
        <v>1.6414811922794023E-2</v>
      </c>
      <c r="I328" s="233">
        <f t="shared" si="252"/>
        <v>1.9860651324558682E-2</v>
      </c>
      <c r="J328" s="233">
        <f t="shared" si="252"/>
        <v>1.9860651324558682E-2</v>
      </c>
      <c r="K328" s="233">
        <f t="shared" si="252"/>
        <v>1.9860651324558682E-2</v>
      </c>
      <c r="L328" s="233">
        <f t="shared" si="252"/>
        <v>1.9860651324558682E-2</v>
      </c>
      <c r="M328" s="233">
        <f t="shared" si="252"/>
        <v>1.9860651324558682E-2</v>
      </c>
      <c r="N328" s="233">
        <f t="shared" si="252"/>
        <v>5.6616871221648541E-3</v>
      </c>
      <c r="O328" s="233">
        <f t="shared" si="252"/>
        <v>3.3372727560395921E-3</v>
      </c>
      <c r="P328" s="233">
        <f t="shared" si="252"/>
        <v>2.140859493758068E-3</v>
      </c>
      <c r="Q328" s="233">
        <f t="shared" si="252"/>
        <v>1.9571831059818109E-3</v>
      </c>
      <c r="R328" s="233">
        <f t="shared" si="252"/>
        <v>2.0073781217134477E-3</v>
      </c>
      <c r="S328" s="122"/>
      <c r="T328" s="123"/>
    </row>
    <row r="329" spans="1:20" ht="19.2" x14ac:dyDescent="0.5">
      <c r="A329" s="196"/>
      <c r="B329" s="241"/>
      <c r="C329" s="186"/>
      <c r="D329" s="187"/>
      <c r="E329" s="188"/>
      <c r="F329" s="233"/>
      <c r="G329" s="233"/>
      <c r="H329" s="233"/>
      <c r="I329" s="233"/>
      <c r="J329" s="233"/>
      <c r="K329" s="233"/>
      <c r="L329" s="233"/>
      <c r="M329" s="233"/>
      <c r="N329" s="233"/>
      <c r="O329" s="233"/>
      <c r="P329" s="233"/>
      <c r="Q329" s="233"/>
      <c r="R329" s="233"/>
      <c r="S329" s="122"/>
      <c r="T329" s="123"/>
    </row>
    <row r="330" spans="1:20" ht="19.2" x14ac:dyDescent="0.5">
      <c r="A330" s="196"/>
      <c r="B330" s="156" t="s">
        <v>428</v>
      </c>
      <c r="C330" s="186"/>
      <c r="D330" s="187"/>
      <c r="E330" s="188"/>
      <c r="F330" s="234"/>
      <c r="G330" s="234"/>
      <c r="H330" s="234"/>
      <c r="I330" s="234"/>
      <c r="J330" s="234"/>
      <c r="K330" s="234"/>
      <c r="L330" s="234"/>
      <c r="M330" s="234"/>
      <c r="N330" s="234"/>
      <c r="O330" s="234"/>
      <c r="P330" s="234"/>
      <c r="Q330" s="234"/>
      <c r="R330" s="234"/>
      <c r="S330" s="122"/>
      <c r="T330" s="123"/>
    </row>
    <row r="331" spans="1:20" ht="19.2" x14ac:dyDescent="0.5">
      <c r="A331" s="196"/>
      <c r="B331" s="240" t="s">
        <v>456</v>
      </c>
      <c r="C331" s="186"/>
      <c r="D331" s="187" t="s">
        <v>303</v>
      </c>
      <c r="E331" s="188" t="s">
        <v>4</v>
      </c>
      <c r="F331" s="234">
        <v>6.6</v>
      </c>
      <c r="G331" s="234">
        <f>F331</f>
        <v>6.6</v>
      </c>
      <c r="H331" s="234">
        <f t="shared" ref="H331:R331" si="253">G331</f>
        <v>6.6</v>
      </c>
      <c r="I331" s="234">
        <f t="shared" si="253"/>
        <v>6.6</v>
      </c>
      <c r="J331" s="234">
        <f t="shared" si="253"/>
        <v>6.6</v>
      </c>
      <c r="K331" s="234">
        <f t="shared" si="253"/>
        <v>6.6</v>
      </c>
      <c r="L331" s="234">
        <f t="shared" si="253"/>
        <v>6.6</v>
      </c>
      <c r="M331" s="234">
        <f t="shared" si="253"/>
        <v>6.6</v>
      </c>
      <c r="N331" s="234">
        <f t="shared" si="253"/>
        <v>6.6</v>
      </c>
      <c r="O331" s="234">
        <f t="shared" si="253"/>
        <v>6.6</v>
      </c>
      <c r="P331" s="234">
        <f t="shared" si="253"/>
        <v>6.6</v>
      </c>
      <c r="Q331" s="234">
        <f t="shared" si="253"/>
        <v>6.6</v>
      </c>
      <c r="R331" s="234">
        <f t="shared" si="253"/>
        <v>6.6</v>
      </c>
      <c r="S331" s="122"/>
      <c r="T331" s="123"/>
    </row>
    <row r="332" spans="1:20" ht="19.2" x14ac:dyDescent="0.5">
      <c r="A332" s="196"/>
      <c r="B332" s="240" t="s">
        <v>448</v>
      </c>
      <c r="C332" s="186"/>
      <c r="D332" s="187" t="s">
        <v>448</v>
      </c>
      <c r="E332" s="188"/>
      <c r="F332" s="234">
        <f>F331/F323</f>
        <v>2.9999999999999996</v>
      </c>
      <c r="G332" s="234">
        <f t="shared" ref="G332" si="254">G331/G323</f>
        <v>2.9999999999999996</v>
      </c>
      <c r="H332" s="234">
        <f t="shared" ref="H332" si="255">H331/H323</f>
        <v>2.9999999999999996</v>
      </c>
      <c r="I332" s="234">
        <f t="shared" ref="I332" si="256">I331/I323</f>
        <v>2.9999999999999996</v>
      </c>
      <c r="J332" s="234">
        <f t="shared" ref="J332" si="257">J331/J323</f>
        <v>2.9999999999999996</v>
      </c>
      <c r="K332" s="234">
        <f t="shared" ref="K332" si="258">K331/K323</f>
        <v>2.9999999999999996</v>
      </c>
      <c r="L332" s="234">
        <f t="shared" ref="L332" si="259">L331/L323</f>
        <v>2.9999999999999996</v>
      </c>
      <c r="M332" s="234">
        <f t="shared" ref="M332" si="260">M331/M323</f>
        <v>2.9999999999999996</v>
      </c>
      <c r="N332" s="234">
        <f t="shared" ref="N332" si="261">N331/N323</f>
        <v>2.9999999999999996</v>
      </c>
      <c r="O332" s="234">
        <f t="shared" ref="O332" si="262">O331/O323</f>
        <v>2.9999999999999996</v>
      </c>
      <c r="P332" s="234">
        <f t="shared" ref="P332" si="263">P331/P323</f>
        <v>2.9999999999999996</v>
      </c>
      <c r="Q332" s="234">
        <f t="shared" ref="Q332" si="264">Q331/Q323</f>
        <v>2.9999999999999996</v>
      </c>
      <c r="R332" s="234">
        <f t="shared" ref="R332" si="265">R331/R323</f>
        <v>2.9999999999999996</v>
      </c>
      <c r="S332" s="122"/>
      <c r="T332" s="123"/>
    </row>
    <row r="333" spans="1:20" ht="19.2" x14ac:dyDescent="0.5">
      <c r="A333" s="196"/>
      <c r="B333" s="240" t="s">
        <v>457</v>
      </c>
      <c r="C333" s="186" t="s">
        <v>458</v>
      </c>
      <c r="D333" s="187"/>
      <c r="E333" s="188"/>
      <c r="F333" s="234">
        <v>0.1</v>
      </c>
      <c r="G333" s="234">
        <v>0.1</v>
      </c>
      <c r="H333" s="234">
        <v>0.1</v>
      </c>
      <c r="I333" s="234">
        <v>0.1</v>
      </c>
      <c r="J333" s="234">
        <v>0.1</v>
      </c>
      <c r="K333" s="234">
        <v>0.1</v>
      </c>
      <c r="L333" s="234">
        <v>0.1</v>
      </c>
      <c r="M333" s="234">
        <v>0.1</v>
      </c>
      <c r="N333" s="234">
        <v>0.1</v>
      </c>
      <c r="O333" s="234">
        <v>0.1</v>
      </c>
      <c r="P333" s="234">
        <v>0.1</v>
      </c>
      <c r="Q333" s="234">
        <v>0.1</v>
      </c>
      <c r="R333" s="234">
        <v>0.1</v>
      </c>
      <c r="S333" s="122"/>
      <c r="T333" s="123"/>
    </row>
    <row r="334" spans="1:20" ht="19.2" x14ac:dyDescent="0.5">
      <c r="A334" s="196"/>
      <c r="B334" s="240" t="s">
        <v>459</v>
      </c>
      <c r="C334" s="186" t="s">
        <v>460</v>
      </c>
      <c r="D334" s="187"/>
      <c r="E334" s="188"/>
      <c r="F334" s="234">
        <v>0.75</v>
      </c>
      <c r="G334" s="234">
        <f>F334</f>
        <v>0.75</v>
      </c>
      <c r="H334" s="234">
        <f t="shared" ref="H334:R334" si="266">G334</f>
        <v>0.75</v>
      </c>
      <c r="I334" s="234">
        <f t="shared" si="266"/>
        <v>0.75</v>
      </c>
      <c r="J334" s="234">
        <f t="shared" si="266"/>
        <v>0.75</v>
      </c>
      <c r="K334" s="234">
        <f t="shared" si="266"/>
        <v>0.75</v>
      </c>
      <c r="L334" s="234">
        <f t="shared" si="266"/>
        <v>0.75</v>
      </c>
      <c r="M334" s="234">
        <f t="shared" si="266"/>
        <v>0.75</v>
      </c>
      <c r="N334" s="234">
        <f t="shared" si="266"/>
        <v>0.75</v>
      </c>
      <c r="O334" s="234">
        <f t="shared" si="266"/>
        <v>0.75</v>
      </c>
      <c r="P334" s="234">
        <f t="shared" si="266"/>
        <v>0.75</v>
      </c>
      <c r="Q334" s="234">
        <f t="shared" si="266"/>
        <v>0.75</v>
      </c>
      <c r="R334" s="234">
        <f t="shared" si="266"/>
        <v>0.75</v>
      </c>
      <c r="S334" s="122"/>
      <c r="T334" s="123"/>
    </row>
    <row r="335" spans="1:20" ht="19.2" x14ac:dyDescent="0.5">
      <c r="A335" s="196"/>
      <c r="B335" s="240" t="s">
        <v>343</v>
      </c>
      <c r="C335" s="186"/>
      <c r="D335" s="187"/>
      <c r="E335" s="188"/>
      <c r="F335" s="234">
        <v>50</v>
      </c>
      <c r="G335" s="234">
        <f>+F335</f>
        <v>50</v>
      </c>
      <c r="H335" s="234">
        <f t="shared" ref="H335" si="267">+G335</f>
        <v>50</v>
      </c>
      <c r="I335" s="234">
        <f t="shared" ref="I335" si="268">+H335</f>
        <v>50</v>
      </c>
      <c r="J335" s="234">
        <f t="shared" ref="J335" si="269">+I335</f>
        <v>50</v>
      </c>
      <c r="K335" s="234">
        <f t="shared" ref="K335" si="270">+J335</f>
        <v>50</v>
      </c>
      <c r="L335" s="234">
        <f t="shared" ref="L335" si="271">+K335</f>
        <v>50</v>
      </c>
      <c r="M335" s="234">
        <f t="shared" ref="M335" si="272">+L335</f>
        <v>50</v>
      </c>
      <c r="N335" s="234">
        <f t="shared" ref="N335" si="273">+M335</f>
        <v>50</v>
      </c>
      <c r="O335" s="234">
        <f t="shared" ref="O335" si="274">+N335</f>
        <v>50</v>
      </c>
      <c r="P335" s="234">
        <f t="shared" ref="P335" si="275">+O335</f>
        <v>50</v>
      </c>
      <c r="Q335" s="234">
        <f t="shared" ref="Q335" si="276">+P335</f>
        <v>50</v>
      </c>
      <c r="R335" s="234">
        <f t="shared" ref="R335" si="277">+Q335</f>
        <v>50</v>
      </c>
      <c r="S335" s="122"/>
      <c r="T335" s="123"/>
    </row>
    <row r="336" spans="1:20" ht="19.2" x14ac:dyDescent="0.5">
      <c r="A336" s="196"/>
      <c r="B336" s="186" t="s">
        <v>344</v>
      </c>
      <c r="C336" s="186"/>
      <c r="D336" s="187"/>
      <c r="E336" s="188"/>
      <c r="F336" s="234">
        <f>F334*F333</f>
        <v>7.5000000000000011E-2</v>
      </c>
      <c r="G336" s="234">
        <f t="shared" ref="G336:R336" si="278">G334*G333</f>
        <v>7.5000000000000011E-2</v>
      </c>
      <c r="H336" s="234">
        <f t="shared" si="278"/>
        <v>7.5000000000000011E-2</v>
      </c>
      <c r="I336" s="234">
        <f t="shared" si="278"/>
        <v>7.5000000000000011E-2</v>
      </c>
      <c r="J336" s="234">
        <f t="shared" si="278"/>
        <v>7.5000000000000011E-2</v>
      </c>
      <c r="K336" s="234">
        <f t="shared" si="278"/>
        <v>7.5000000000000011E-2</v>
      </c>
      <c r="L336" s="234">
        <f t="shared" si="278"/>
        <v>7.5000000000000011E-2</v>
      </c>
      <c r="M336" s="234">
        <f t="shared" si="278"/>
        <v>7.5000000000000011E-2</v>
      </c>
      <c r="N336" s="234">
        <f t="shared" si="278"/>
        <v>7.5000000000000011E-2</v>
      </c>
      <c r="O336" s="234">
        <f t="shared" si="278"/>
        <v>7.5000000000000011E-2</v>
      </c>
      <c r="P336" s="234">
        <f t="shared" si="278"/>
        <v>7.5000000000000011E-2</v>
      </c>
      <c r="Q336" s="234">
        <f t="shared" si="278"/>
        <v>7.5000000000000011E-2</v>
      </c>
      <c r="R336" s="234">
        <f t="shared" si="278"/>
        <v>7.5000000000000011E-2</v>
      </c>
      <c r="S336" s="122"/>
      <c r="T336" s="123"/>
    </row>
    <row r="337" spans="1:20" ht="19.2" x14ac:dyDescent="0.5">
      <c r="A337" s="196"/>
      <c r="B337" s="241" t="s">
        <v>345</v>
      </c>
      <c r="C337" s="186"/>
      <c r="D337" s="187"/>
      <c r="E337" s="188" t="s">
        <v>4</v>
      </c>
      <c r="F337" s="233">
        <f t="shared" ref="F337:R337" si="279">F336*F308</f>
        <v>4.1376356926163926E-2</v>
      </c>
      <c r="G337" s="233">
        <f t="shared" si="279"/>
        <v>8.4653288149135458E-3</v>
      </c>
      <c r="H337" s="233">
        <f t="shared" si="279"/>
        <v>3.4197524839154225E-2</v>
      </c>
      <c r="I337" s="233">
        <f t="shared" si="279"/>
        <v>4.1376356926163926E-2</v>
      </c>
      <c r="J337" s="233">
        <f t="shared" si="279"/>
        <v>4.1376356926163926E-2</v>
      </c>
      <c r="K337" s="233">
        <f t="shared" si="279"/>
        <v>4.1376356926163926E-2</v>
      </c>
      <c r="L337" s="233">
        <f t="shared" si="279"/>
        <v>4.1376356926163926E-2</v>
      </c>
      <c r="M337" s="233">
        <f t="shared" si="279"/>
        <v>4.1376356926163926E-2</v>
      </c>
      <c r="N337" s="233">
        <f t="shared" si="279"/>
        <v>1.1795181504510114E-2</v>
      </c>
      <c r="O337" s="233">
        <f t="shared" si="279"/>
        <v>6.9526515750824849E-3</v>
      </c>
      <c r="P337" s="233">
        <f t="shared" si="279"/>
        <v>4.4601239453293095E-3</v>
      </c>
      <c r="Q337" s="233">
        <f t="shared" si="279"/>
        <v>4.0774648041287734E-3</v>
      </c>
      <c r="R337" s="233">
        <f t="shared" si="279"/>
        <v>4.1820377535696836E-3</v>
      </c>
      <c r="S337" s="122"/>
      <c r="T337" s="123"/>
    </row>
    <row r="338" spans="1:20" ht="19.2" x14ac:dyDescent="0.5">
      <c r="A338" s="196"/>
      <c r="B338" s="241"/>
      <c r="C338" s="186"/>
      <c r="D338" s="187"/>
      <c r="E338" s="188"/>
      <c r="F338" s="233"/>
      <c r="G338" s="233"/>
      <c r="H338" s="233"/>
      <c r="I338" s="233"/>
      <c r="J338" s="233"/>
      <c r="K338" s="233"/>
      <c r="L338" s="233"/>
      <c r="M338" s="233"/>
      <c r="N338" s="233"/>
      <c r="O338" s="233"/>
      <c r="P338" s="233"/>
      <c r="Q338" s="233"/>
      <c r="R338" s="233"/>
      <c r="S338" s="122"/>
      <c r="T338" s="123"/>
    </row>
    <row r="339" spans="1:20" ht="19.2" x14ac:dyDescent="0.5">
      <c r="A339" s="196"/>
      <c r="B339" s="156" t="s">
        <v>429</v>
      </c>
      <c r="C339" s="186"/>
      <c r="D339" s="187"/>
      <c r="E339" s="188"/>
      <c r="F339" s="234"/>
      <c r="G339" s="234"/>
      <c r="H339" s="234"/>
      <c r="I339" s="234"/>
      <c r="J339" s="234"/>
      <c r="K339" s="234"/>
      <c r="L339" s="234"/>
      <c r="M339" s="234"/>
      <c r="N339" s="234"/>
      <c r="O339" s="234"/>
      <c r="P339" s="234"/>
      <c r="Q339" s="234"/>
      <c r="R339" s="234"/>
      <c r="S339" s="122"/>
      <c r="T339" s="123"/>
    </row>
    <row r="340" spans="1:20" ht="19.2" x14ac:dyDescent="0.5">
      <c r="A340" s="196"/>
      <c r="B340" s="240" t="s">
        <v>456</v>
      </c>
      <c r="C340" s="186"/>
      <c r="D340" s="187" t="s">
        <v>303</v>
      </c>
      <c r="E340" s="188" t="s">
        <v>4</v>
      </c>
      <c r="F340" s="234">
        <v>6.6</v>
      </c>
      <c r="G340" s="234">
        <f>F340</f>
        <v>6.6</v>
      </c>
      <c r="H340" s="234">
        <f t="shared" ref="H340:R340" si="280">G340</f>
        <v>6.6</v>
      </c>
      <c r="I340" s="234">
        <f t="shared" si="280"/>
        <v>6.6</v>
      </c>
      <c r="J340" s="234">
        <f t="shared" si="280"/>
        <v>6.6</v>
      </c>
      <c r="K340" s="234">
        <f t="shared" si="280"/>
        <v>6.6</v>
      </c>
      <c r="L340" s="234">
        <f t="shared" si="280"/>
        <v>6.6</v>
      </c>
      <c r="M340" s="234">
        <f t="shared" si="280"/>
        <v>6.6</v>
      </c>
      <c r="N340" s="234">
        <f t="shared" si="280"/>
        <v>6.6</v>
      </c>
      <c r="O340" s="234">
        <f t="shared" si="280"/>
        <v>6.6</v>
      </c>
      <c r="P340" s="234">
        <f t="shared" si="280"/>
        <v>6.6</v>
      </c>
      <c r="Q340" s="234">
        <f t="shared" si="280"/>
        <v>6.6</v>
      </c>
      <c r="R340" s="234">
        <f t="shared" si="280"/>
        <v>6.6</v>
      </c>
      <c r="S340" s="122"/>
      <c r="T340" s="123"/>
    </row>
    <row r="341" spans="1:20" ht="19.2" x14ac:dyDescent="0.5">
      <c r="A341" s="196"/>
      <c r="B341" s="240" t="s">
        <v>448</v>
      </c>
      <c r="C341" s="186"/>
      <c r="D341" s="187" t="s">
        <v>448</v>
      </c>
      <c r="E341" s="188"/>
      <c r="F341" s="234">
        <f>F340/F332</f>
        <v>2.2000000000000002</v>
      </c>
      <c r="G341" s="234">
        <f t="shared" ref="G341" si="281">G340/G332</f>
        <v>2.2000000000000002</v>
      </c>
      <c r="H341" s="234">
        <f t="shared" ref="H341" si="282">H340/H332</f>
        <v>2.2000000000000002</v>
      </c>
      <c r="I341" s="234">
        <f t="shared" ref="I341" si="283">I340/I332</f>
        <v>2.2000000000000002</v>
      </c>
      <c r="J341" s="234">
        <f t="shared" ref="J341" si="284">J340/J332</f>
        <v>2.2000000000000002</v>
      </c>
      <c r="K341" s="234">
        <f t="shared" ref="K341" si="285">K340/K332</f>
        <v>2.2000000000000002</v>
      </c>
      <c r="L341" s="234">
        <f t="shared" ref="L341" si="286">L340/L332</f>
        <v>2.2000000000000002</v>
      </c>
      <c r="M341" s="234">
        <f t="shared" ref="M341" si="287">M340/M332</f>
        <v>2.2000000000000002</v>
      </c>
      <c r="N341" s="234">
        <f t="shared" ref="N341" si="288">N340/N332</f>
        <v>2.2000000000000002</v>
      </c>
      <c r="O341" s="234">
        <f t="shared" ref="O341" si="289">O340/O332</f>
        <v>2.2000000000000002</v>
      </c>
      <c r="P341" s="234">
        <f t="shared" ref="P341" si="290">P340/P332</f>
        <v>2.2000000000000002</v>
      </c>
      <c r="Q341" s="234">
        <f t="shared" ref="Q341" si="291">Q340/Q332</f>
        <v>2.2000000000000002</v>
      </c>
      <c r="R341" s="234">
        <f t="shared" ref="R341" si="292">R340/R332</f>
        <v>2.2000000000000002</v>
      </c>
      <c r="S341" s="122"/>
      <c r="T341" s="123"/>
    </row>
    <row r="342" spans="1:20" ht="19.2" x14ac:dyDescent="0.5">
      <c r="A342" s="196"/>
      <c r="B342" s="240" t="s">
        <v>457</v>
      </c>
      <c r="C342" s="186" t="s">
        <v>458</v>
      </c>
      <c r="D342" s="187"/>
      <c r="E342" s="188"/>
      <c r="F342" s="234">
        <v>0.1</v>
      </c>
      <c r="G342" s="234">
        <v>0.1</v>
      </c>
      <c r="H342" s="234">
        <v>0.1</v>
      </c>
      <c r="I342" s="234">
        <v>0.1</v>
      </c>
      <c r="J342" s="234">
        <v>0.1</v>
      </c>
      <c r="K342" s="234">
        <v>0.1</v>
      </c>
      <c r="L342" s="234">
        <v>0.1</v>
      </c>
      <c r="M342" s="234">
        <v>0.1</v>
      </c>
      <c r="N342" s="234">
        <v>0.1</v>
      </c>
      <c r="O342" s="234">
        <v>0.1</v>
      </c>
      <c r="P342" s="234">
        <v>0.1</v>
      </c>
      <c r="Q342" s="234">
        <v>0.1</v>
      </c>
      <c r="R342" s="234">
        <v>0.1</v>
      </c>
      <c r="S342" s="122"/>
      <c r="T342" s="123"/>
    </row>
    <row r="343" spans="1:20" ht="19.2" x14ac:dyDescent="0.5">
      <c r="A343" s="196"/>
      <c r="B343" s="240" t="s">
        <v>459</v>
      </c>
      <c r="C343" s="186" t="s">
        <v>460</v>
      </c>
      <c r="D343" s="187"/>
      <c r="E343" s="188"/>
      <c r="F343" s="234">
        <v>0.75</v>
      </c>
      <c r="G343" s="234">
        <f>F343</f>
        <v>0.75</v>
      </c>
      <c r="H343" s="234">
        <f t="shared" ref="H343:R343" si="293">G343</f>
        <v>0.75</v>
      </c>
      <c r="I343" s="234">
        <f t="shared" si="293"/>
        <v>0.75</v>
      </c>
      <c r="J343" s="234">
        <f t="shared" si="293"/>
        <v>0.75</v>
      </c>
      <c r="K343" s="234">
        <f t="shared" si="293"/>
        <v>0.75</v>
      </c>
      <c r="L343" s="234">
        <f t="shared" si="293"/>
        <v>0.75</v>
      </c>
      <c r="M343" s="234">
        <f t="shared" si="293"/>
        <v>0.75</v>
      </c>
      <c r="N343" s="234">
        <f t="shared" si="293"/>
        <v>0.75</v>
      </c>
      <c r="O343" s="234">
        <f t="shared" si="293"/>
        <v>0.75</v>
      </c>
      <c r="P343" s="234">
        <f t="shared" si="293"/>
        <v>0.75</v>
      </c>
      <c r="Q343" s="234">
        <f t="shared" si="293"/>
        <v>0.75</v>
      </c>
      <c r="R343" s="234">
        <f t="shared" si="293"/>
        <v>0.75</v>
      </c>
      <c r="S343" s="122"/>
      <c r="T343" s="123"/>
    </row>
    <row r="344" spans="1:20" ht="19.2" x14ac:dyDescent="0.5">
      <c r="A344" s="196"/>
      <c r="B344" s="240" t="s">
        <v>343</v>
      </c>
      <c r="C344" s="186"/>
      <c r="D344" s="187"/>
      <c r="E344" s="188"/>
      <c r="F344" s="234">
        <v>50</v>
      </c>
      <c r="G344" s="234">
        <f>+F344</f>
        <v>50</v>
      </c>
      <c r="H344" s="234">
        <f t="shared" ref="H344" si="294">+G344</f>
        <v>50</v>
      </c>
      <c r="I344" s="234">
        <f t="shared" ref="I344" si="295">+H344</f>
        <v>50</v>
      </c>
      <c r="J344" s="234">
        <f t="shared" ref="J344" si="296">+I344</f>
        <v>50</v>
      </c>
      <c r="K344" s="234">
        <f t="shared" ref="K344" si="297">+J344</f>
        <v>50</v>
      </c>
      <c r="L344" s="234">
        <f t="shared" ref="L344" si="298">+K344</f>
        <v>50</v>
      </c>
      <c r="M344" s="234">
        <f t="shared" ref="M344" si="299">+L344</f>
        <v>50</v>
      </c>
      <c r="N344" s="234">
        <f t="shared" ref="N344" si="300">+M344</f>
        <v>50</v>
      </c>
      <c r="O344" s="234">
        <f t="shared" ref="O344" si="301">+N344</f>
        <v>50</v>
      </c>
      <c r="P344" s="234">
        <f t="shared" ref="P344" si="302">+O344</f>
        <v>50</v>
      </c>
      <c r="Q344" s="234">
        <f t="shared" ref="Q344" si="303">+P344</f>
        <v>50</v>
      </c>
      <c r="R344" s="234">
        <f t="shared" ref="R344" si="304">+Q344</f>
        <v>50</v>
      </c>
      <c r="S344" s="122"/>
      <c r="T344" s="123"/>
    </row>
    <row r="345" spans="1:20" ht="19.2" x14ac:dyDescent="0.5">
      <c r="A345" s="196"/>
      <c r="B345" s="186" t="s">
        <v>344</v>
      </c>
      <c r="C345" s="186"/>
      <c r="D345" s="187"/>
      <c r="E345" s="188"/>
      <c r="F345" s="234">
        <f>F342*F343</f>
        <v>7.5000000000000011E-2</v>
      </c>
      <c r="G345" s="234">
        <f t="shared" ref="G345:R345" si="305">G342*G343</f>
        <v>7.5000000000000011E-2</v>
      </c>
      <c r="H345" s="234">
        <f t="shared" si="305"/>
        <v>7.5000000000000011E-2</v>
      </c>
      <c r="I345" s="234">
        <f t="shared" si="305"/>
        <v>7.5000000000000011E-2</v>
      </c>
      <c r="J345" s="234">
        <f t="shared" si="305"/>
        <v>7.5000000000000011E-2</v>
      </c>
      <c r="K345" s="234">
        <f t="shared" si="305"/>
        <v>7.5000000000000011E-2</v>
      </c>
      <c r="L345" s="234">
        <f t="shared" si="305"/>
        <v>7.5000000000000011E-2</v>
      </c>
      <c r="M345" s="234">
        <f t="shared" si="305"/>
        <v>7.5000000000000011E-2</v>
      </c>
      <c r="N345" s="234">
        <f t="shared" si="305"/>
        <v>7.5000000000000011E-2</v>
      </c>
      <c r="O345" s="234">
        <f t="shared" si="305"/>
        <v>7.5000000000000011E-2</v>
      </c>
      <c r="P345" s="234">
        <f t="shared" si="305"/>
        <v>7.5000000000000011E-2</v>
      </c>
      <c r="Q345" s="234">
        <f t="shared" si="305"/>
        <v>7.5000000000000011E-2</v>
      </c>
      <c r="R345" s="234">
        <f t="shared" si="305"/>
        <v>7.5000000000000011E-2</v>
      </c>
      <c r="S345" s="122"/>
      <c r="T345" s="123"/>
    </row>
    <row r="346" spans="1:20" ht="19.2" x14ac:dyDescent="0.5">
      <c r="A346" s="196"/>
      <c r="B346" s="241" t="s">
        <v>345</v>
      </c>
      <c r="C346" s="186"/>
      <c r="D346" s="187"/>
      <c r="E346" s="188" t="s">
        <v>4</v>
      </c>
      <c r="F346" s="233">
        <f t="shared" ref="F346:R346" si="306">F345*F308</f>
        <v>4.1376356926163926E-2</v>
      </c>
      <c r="G346" s="233">
        <f t="shared" si="306"/>
        <v>8.4653288149135458E-3</v>
      </c>
      <c r="H346" s="233">
        <f t="shared" si="306"/>
        <v>3.4197524839154225E-2</v>
      </c>
      <c r="I346" s="233">
        <f t="shared" si="306"/>
        <v>4.1376356926163926E-2</v>
      </c>
      <c r="J346" s="233">
        <f t="shared" si="306"/>
        <v>4.1376356926163926E-2</v>
      </c>
      <c r="K346" s="233">
        <f t="shared" si="306"/>
        <v>4.1376356926163926E-2</v>
      </c>
      <c r="L346" s="233">
        <f t="shared" si="306"/>
        <v>4.1376356926163926E-2</v>
      </c>
      <c r="M346" s="233">
        <f t="shared" si="306"/>
        <v>4.1376356926163926E-2</v>
      </c>
      <c r="N346" s="233">
        <f t="shared" si="306"/>
        <v>1.1795181504510114E-2</v>
      </c>
      <c r="O346" s="233">
        <f t="shared" si="306"/>
        <v>6.9526515750824849E-3</v>
      </c>
      <c r="P346" s="233">
        <f t="shared" si="306"/>
        <v>4.4601239453293095E-3</v>
      </c>
      <c r="Q346" s="233">
        <f t="shared" si="306"/>
        <v>4.0774648041287734E-3</v>
      </c>
      <c r="R346" s="233">
        <f t="shared" si="306"/>
        <v>4.1820377535696836E-3</v>
      </c>
      <c r="S346" s="122"/>
      <c r="T346" s="123"/>
    </row>
    <row r="347" spans="1:20" ht="19.2" x14ac:dyDescent="0.5">
      <c r="A347" s="196"/>
      <c r="B347" s="241" t="s">
        <v>430</v>
      </c>
      <c r="C347" s="186"/>
      <c r="D347" s="187"/>
      <c r="E347" s="188"/>
      <c r="F347" s="233">
        <f t="shared" ref="F347:R347" si="307">F346+F337+F328+F319</f>
        <v>0.13019760312766249</v>
      </c>
      <c r="G347" s="233">
        <f t="shared" si="307"/>
        <v>2.6637568004261286E-2</v>
      </c>
      <c r="H347" s="233">
        <f t="shared" si="307"/>
        <v>0.10760821149387195</v>
      </c>
      <c r="I347" s="233">
        <f t="shared" si="307"/>
        <v>0.13019760312766249</v>
      </c>
      <c r="J347" s="233">
        <f t="shared" si="307"/>
        <v>0.13019760312766249</v>
      </c>
      <c r="K347" s="233">
        <f t="shared" si="307"/>
        <v>0.13019760312766249</v>
      </c>
      <c r="L347" s="233">
        <f t="shared" si="307"/>
        <v>0.13019760312766249</v>
      </c>
      <c r="M347" s="233">
        <f t="shared" si="307"/>
        <v>0.13019760312766249</v>
      </c>
      <c r="N347" s="233">
        <f t="shared" si="307"/>
        <v>3.7115504467525158E-2</v>
      </c>
      <c r="O347" s="233">
        <f t="shared" si="307"/>
        <v>2.1877676956259553E-2</v>
      </c>
      <c r="P347" s="233">
        <f t="shared" si="307"/>
        <v>1.403452334796956E-2</v>
      </c>
      <c r="Q347" s="233">
        <f t="shared" si="307"/>
        <v>1.2830422583658541E-2</v>
      </c>
      <c r="R347" s="233">
        <f t="shared" si="307"/>
        <v>1.315947879789927E-2</v>
      </c>
      <c r="S347" s="122"/>
      <c r="T347" s="123"/>
    </row>
    <row r="348" spans="1:20" s="172" customFormat="1" ht="19.2" x14ac:dyDescent="0.5">
      <c r="A348" s="242"/>
      <c r="B348" s="243" t="s">
        <v>431</v>
      </c>
      <c r="C348" s="210"/>
      <c r="D348" s="211"/>
      <c r="E348" s="212"/>
      <c r="F348" s="244">
        <f t="shared" ref="F348:R348" si="308">F347+F309</f>
        <v>1.5068767660909796</v>
      </c>
      <c r="G348" s="244">
        <f t="shared" si="308"/>
        <v>0.30829701443452706</v>
      </c>
      <c r="H348" s="244">
        <f t="shared" si="308"/>
        <v>1.2454324030967365</v>
      </c>
      <c r="I348" s="244">
        <f t="shared" si="308"/>
        <v>1.5068767660909796</v>
      </c>
      <c r="J348" s="244">
        <f t="shared" si="308"/>
        <v>1.5068767660909796</v>
      </c>
      <c r="K348" s="244">
        <f t="shared" si="308"/>
        <v>1.5068767660909796</v>
      </c>
      <c r="L348" s="244">
        <f t="shared" si="308"/>
        <v>1.5068767660909796</v>
      </c>
      <c r="M348" s="244">
        <f t="shared" si="308"/>
        <v>1.5068767660909796</v>
      </c>
      <c r="N348" s="244">
        <f t="shared" si="308"/>
        <v>0.42956621320455579</v>
      </c>
      <c r="O348" s="244">
        <f t="shared" si="308"/>
        <v>0.25320714290804935</v>
      </c>
      <c r="P348" s="244">
        <f t="shared" si="308"/>
        <v>0.1624323078780506</v>
      </c>
      <c r="Q348" s="244">
        <f t="shared" si="308"/>
        <v>0.14849632578478913</v>
      </c>
      <c r="R348" s="244">
        <f t="shared" si="308"/>
        <v>0.15230474584833684</v>
      </c>
      <c r="S348" s="173"/>
      <c r="T348" s="174"/>
    </row>
    <row r="349" spans="1:20" s="155" customFormat="1" ht="19.2" x14ac:dyDescent="0.5">
      <c r="A349" s="245"/>
      <c r="B349" s="191" t="s">
        <v>226</v>
      </c>
      <c r="C349" s="191"/>
      <c r="D349" s="192"/>
      <c r="E349" s="183"/>
      <c r="F349" s="193">
        <f>F288-F348</f>
        <v>2478.4896845177145</v>
      </c>
      <c r="G349" s="193">
        <f>G288-G348</f>
        <v>2481.2818126821876</v>
      </c>
      <c r="H349" s="193">
        <f>H288-H348</f>
        <v>2479.098727152008</v>
      </c>
      <c r="I349" s="193">
        <f>I288-I348</f>
        <v>2478.4896845177145</v>
      </c>
      <c r="J349" s="193">
        <f>J288-J348</f>
        <v>2478.4896845177145</v>
      </c>
      <c r="K349" s="193">
        <f>K288-K348</f>
        <v>2478.4896845177145</v>
      </c>
      <c r="L349" s="193">
        <f>L288-L348</f>
        <v>2478.4896845177145</v>
      </c>
      <c r="M349" s="193">
        <f>M288-M348</f>
        <v>2478.4896845177145</v>
      </c>
      <c r="N349" s="193">
        <f>N288-N348</f>
        <v>2480.9993123772233</v>
      </c>
      <c r="O349" s="193">
        <f>O288-O348</f>
        <v>2481.4101462216577</v>
      </c>
      <c r="P349" s="193">
        <f>P288-P348</f>
        <v>2481.6216089742716</v>
      </c>
      <c r="Q349" s="193">
        <f>Q288-Q348</f>
        <v>2481.6540732704921</v>
      </c>
      <c r="R349" s="193">
        <f>R288-R348</f>
        <v>2481.645201439555</v>
      </c>
      <c r="S349" s="157"/>
      <c r="T349" s="158"/>
    </row>
    <row r="350" spans="1:20" s="155" customFormat="1" ht="19.2" x14ac:dyDescent="0.5">
      <c r="A350" s="246"/>
      <c r="B350" s="191" t="s">
        <v>145</v>
      </c>
      <c r="C350" s="191"/>
      <c r="D350" s="192"/>
      <c r="E350" s="183"/>
      <c r="F350" s="247">
        <f>F349-F308</f>
        <v>2477.9379997586989</v>
      </c>
      <c r="G350" s="247">
        <f t="shared" ref="G350:R350" si="309">G349-G308</f>
        <v>2481.168941631322</v>
      </c>
      <c r="H350" s="247">
        <f t="shared" si="309"/>
        <v>2478.6427601541527</v>
      </c>
      <c r="I350" s="247">
        <f t="shared" si="309"/>
        <v>2477.9379997586989</v>
      </c>
      <c r="J350" s="247">
        <f t="shared" si="309"/>
        <v>2477.9379997586989</v>
      </c>
      <c r="K350" s="247">
        <f t="shared" si="309"/>
        <v>2477.9379997586989</v>
      </c>
      <c r="L350" s="247">
        <f t="shared" si="309"/>
        <v>2477.9379997586989</v>
      </c>
      <c r="M350" s="247">
        <f t="shared" si="309"/>
        <v>2477.9379997586989</v>
      </c>
      <c r="N350" s="247">
        <f t="shared" si="309"/>
        <v>2480.8420432904963</v>
      </c>
      <c r="O350" s="247">
        <f t="shared" si="309"/>
        <v>2481.3174442006566</v>
      </c>
      <c r="P350" s="247">
        <f t="shared" si="309"/>
        <v>2481.5621406550003</v>
      </c>
      <c r="Q350" s="247">
        <f t="shared" si="309"/>
        <v>2481.5997070731037</v>
      </c>
      <c r="R350" s="247">
        <f t="shared" si="309"/>
        <v>2481.589440936174</v>
      </c>
      <c r="S350" s="163"/>
    </row>
    <row r="351" spans="1:20" ht="19.2" x14ac:dyDescent="0.5">
      <c r="A351" s="156"/>
      <c r="B351" s="186"/>
      <c r="C351" s="186"/>
      <c r="D351" s="187"/>
      <c r="E351" s="188"/>
      <c r="F351" s="234"/>
      <c r="G351" s="234"/>
      <c r="H351" s="234"/>
      <c r="I351" s="234"/>
      <c r="J351" s="234"/>
      <c r="K351" s="234"/>
      <c r="L351" s="234"/>
      <c r="M351" s="234"/>
      <c r="N351" s="234"/>
      <c r="O351" s="234"/>
      <c r="P351" s="234"/>
      <c r="Q351" s="234"/>
      <c r="R351" s="234"/>
    </row>
    <row r="352" spans="1:20" ht="19.2" x14ac:dyDescent="0.5">
      <c r="A352" s="156">
        <v>2.1</v>
      </c>
      <c r="B352" s="156" t="s">
        <v>306</v>
      </c>
      <c r="C352" s="186"/>
      <c r="D352" s="187"/>
      <c r="E352" s="188"/>
      <c r="F352" s="233"/>
      <c r="G352" s="233"/>
      <c r="H352" s="233"/>
      <c r="I352" s="233"/>
      <c r="J352" s="233"/>
      <c r="K352" s="233"/>
      <c r="L352" s="233"/>
      <c r="M352" s="233"/>
      <c r="N352" s="233"/>
      <c r="O352" s="233"/>
      <c r="P352" s="233"/>
      <c r="Q352" s="233"/>
      <c r="R352" s="233"/>
    </row>
    <row r="353" spans="1:37" ht="19.2" x14ac:dyDescent="0.5">
      <c r="A353" s="156"/>
      <c r="B353" s="186" t="s">
        <v>218</v>
      </c>
      <c r="C353" s="186"/>
      <c r="D353" s="187" t="s">
        <v>219</v>
      </c>
      <c r="E353" s="188" t="s">
        <v>289</v>
      </c>
      <c r="F353" s="189">
        <f>F9</f>
        <v>12.5</v>
      </c>
      <c r="G353" s="189">
        <f>G9</f>
        <v>5.6539999999999999</v>
      </c>
      <c r="H353" s="189">
        <f>H9</f>
        <v>11.364000000000001</v>
      </c>
      <c r="I353" s="189">
        <f>I9</f>
        <v>12.5</v>
      </c>
      <c r="J353" s="189">
        <f>J9</f>
        <v>12.5</v>
      </c>
      <c r="K353" s="189">
        <f>K9</f>
        <v>12.5</v>
      </c>
      <c r="L353" s="189">
        <f>L9</f>
        <v>12.5</v>
      </c>
      <c r="M353" s="189">
        <f>M9</f>
        <v>12.5</v>
      </c>
      <c r="N353" s="189">
        <f>N9</f>
        <v>6.6740000000000004</v>
      </c>
      <c r="O353" s="189">
        <f>O9</f>
        <v>5.1239999999999997</v>
      </c>
      <c r="P353" s="189">
        <f>P9</f>
        <v>4.1040000000000001</v>
      </c>
      <c r="Q353" s="189">
        <f>Q9</f>
        <v>3.9240000000000004</v>
      </c>
      <c r="R353" s="189">
        <f>R9</f>
        <v>3.9740000000000002</v>
      </c>
    </row>
    <row r="354" spans="1:37" s="115" customFormat="1" ht="19.2" x14ac:dyDescent="0.5">
      <c r="A354" s="248"/>
      <c r="B354" s="206" t="s">
        <v>307</v>
      </c>
      <c r="C354" s="206"/>
      <c r="D354" s="207" t="s">
        <v>204</v>
      </c>
      <c r="E354" s="208"/>
      <c r="F354" s="249">
        <v>2.7E-2</v>
      </c>
      <c r="G354" s="249">
        <f t="shared" ref="G354:R362" si="310">+F354</f>
        <v>2.7E-2</v>
      </c>
      <c r="H354" s="249">
        <f t="shared" si="310"/>
        <v>2.7E-2</v>
      </c>
      <c r="I354" s="249">
        <f t="shared" si="310"/>
        <v>2.7E-2</v>
      </c>
      <c r="J354" s="249">
        <f t="shared" si="310"/>
        <v>2.7E-2</v>
      </c>
      <c r="K354" s="249">
        <f t="shared" si="310"/>
        <v>2.7E-2</v>
      </c>
      <c r="L354" s="249">
        <f t="shared" si="310"/>
        <v>2.7E-2</v>
      </c>
      <c r="M354" s="249">
        <f t="shared" si="310"/>
        <v>2.7E-2</v>
      </c>
      <c r="N354" s="249">
        <f t="shared" si="310"/>
        <v>2.7E-2</v>
      </c>
      <c r="O354" s="249">
        <f t="shared" si="310"/>
        <v>2.7E-2</v>
      </c>
      <c r="P354" s="249">
        <f t="shared" si="310"/>
        <v>2.7E-2</v>
      </c>
      <c r="Q354" s="249">
        <f t="shared" si="310"/>
        <v>2.7E-2</v>
      </c>
      <c r="R354" s="249">
        <f t="shared" si="310"/>
        <v>2.7E-2</v>
      </c>
      <c r="S354" s="116"/>
    </row>
    <row r="355" spans="1:37" s="115" customFormat="1" ht="19.2" x14ac:dyDescent="0.5">
      <c r="A355" s="248"/>
      <c r="B355" s="206" t="s">
        <v>308</v>
      </c>
      <c r="C355" s="206"/>
      <c r="D355" s="207" t="s">
        <v>204</v>
      </c>
      <c r="E355" s="208"/>
      <c r="F355" s="249">
        <v>1.4999999999999999E-2</v>
      </c>
      <c r="G355" s="249">
        <f t="shared" si="310"/>
        <v>1.4999999999999999E-2</v>
      </c>
      <c r="H355" s="249">
        <f t="shared" si="310"/>
        <v>1.4999999999999999E-2</v>
      </c>
      <c r="I355" s="249">
        <f t="shared" si="310"/>
        <v>1.4999999999999999E-2</v>
      </c>
      <c r="J355" s="249">
        <f t="shared" si="310"/>
        <v>1.4999999999999999E-2</v>
      </c>
      <c r="K355" s="249">
        <f t="shared" si="310"/>
        <v>1.4999999999999999E-2</v>
      </c>
      <c r="L355" s="249">
        <f t="shared" si="310"/>
        <v>1.4999999999999999E-2</v>
      </c>
      <c r="M355" s="249">
        <f t="shared" si="310"/>
        <v>1.4999999999999999E-2</v>
      </c>
      <c r="N355" s="249">
        <f t="shared" si="310"/>
        <v>1.4999999999999999E-2</v>
      </c>
      <c r="O355" s="249">
        <f t="shared" si="310"/>
        <v>1.4999999999999999E-2</v>
      </c>
      <c r="P355" s="249">
        <f t="shared" si="310"/>
        <v>1.4999999999999999E-2</v>
      </c>
      <c r="Q355" s="249">
        <f t="shared" si="310"/>
        <v>1.4999999999999999E-2</v>
      </c>
      <c r="R355" s="249">
        <f t="shared" si="310"/>
        <v>1.4999999999999999E-2</v>
      </c>
      <c r="S355" s="116"/>
    </row>
    <row r="356" spans="1:37" s="115" customFormat="1" ht="19.2" x14ac:dyDescent="0.5">
      <c r="A356" s="248"/>
      <c r="B356" s="206" t="s">
        <v>309</v>
      </c>
      <c r="C356" s="206"/>
      <c r="D356" s="207" t="s">
        <v>4</v>
      </c>
      <c r="E356" s="208"/>
      <c r="F356" s="198">
        <v>6110</v>
      </c>
      <c r="G356" s="198">
        <f t="shared" si="310"/>
        <v>6110</v>
      </c>
      <c r="H356" s="198">
        <f t="shared" si="310"/>
        <v>6110</v>
      </c>
      <c r="I356" s="198">
        <f t="shared" si="310"/>
        <v>6110</v>
      </c>
      <c r="J356" s="198">
        <f t="shared" si="310"/>
        <v>6110</v>
      </c>
      <c r="K356" s="198">
        <f t="shared" si="310"/>
        <v>6110</v>
      </c>
      <c r="L356" s="198">
        <f t="shared" si="310"/>
        <v>6110</v>
      </c>
      <c r="M356" s="198">
        <f t="shared" si="310"/>
        <v>6110</v>
      </c>
      <c r="N356" s="198">
        <f t="shared" si="310"/>
        <v>6110</v>
      </c>
      <c r="O356" s="198">
        <f t="shared" si="310"/>
        <v>6110</v>
      </c>
      <c r="P356" s="198">
        <f t="shared" si="310"/>
        <v>6110</v>
      </c>
      <c r="Q356" s="198">
        <f t="shared" si="310"/>
        <v>6110</v>
      </c>
      <c r="R356" s="198">
        <f t="shared" si="310"/>
        <v>6110</v>
      </c>
      <c r="S356" s="116"/>
      <c r="AB356" s="125"/>
    </row>
    <row r="357" spans="1:37" s="115" customFormat="1" ht="19.2" x14ac:dyDescent="0.5">
      <c r="A357" s="248"/>
      <c r="B357" s="206" t="s">
        <v>310</v>
      </c>
      <c r="C357" s="206"/>
      <c r="D357" s="207" t="s">
        <v>252</v>
      </c>
      <c r="E357" s="208" t="s">
        <v>4</v>
      </c>
      <c r="F357" s="198">
        <f>+F356-F358</f>
        <v>5110</v>
      </c>
      <c r="G357" s="198">
        <f t="shared" si="310"/>
        <v>5110</v>
      </c>
      <c r="H357" s="198">
        <f t="shared" si="310"/>
        <v>5110</v>
      </c>
      <c r="I357" s="198">
        <f t="shared" si="310"/>
        <v>5110</v>
      </c>
      <c r="J357" s="198">
        <f t="shared" si="310"/>
        <v>5110</v>
      </c>
      <c r="K357" s="198">
        <f t="shared" si="310"/>
        <v>5110</v>
      </c>
      <c r="L357" s="198">
        <f t="shared" si="310"/>
        <v>5110</v>
      </c>
      <c r="M357" s="198">
        <f t="shared" si="310"/>
        <v>5110</v>
      </c>
      <c r="N357" s="198">
        <f t="shared" si="310"/>
        <v>5110</v>
      </c>
      <c r="O357" s="198">
        <f t="shared" si="310"/>
        <v>5110</v>
      </c>
      <c r="P357" s="198">
        <f t="shared" si="310"/>
        <v>5110</v>
      </c>
      <c r="Q357" s="198">
        <f t="shared" si="310"/>
        <v>5110</v>
      </c>
      <c r="R357" s="198">
        <f t="shared" si="310"/>
        <v>5110</v>
      </c>
      <c r="S357" s="116"/>
      <c r="AA357" s="137"/>
    </row>
    <row r="358" spans="1:37" s="115" customFormat="1" ht="19.2" x14ac:dyDescent="0.5">
      <c r="A358" s="248"/>
      <c r="B358" s="206" t="s">
        <v>311</v>
      </c>
      <c r="C358" s="206"/>
      <c r="D358" s="207" t="s">
        <v>208</v>
      </c>
      <c r="E358" s="208" t="s">
        <v>4</v>
      </c>
      <c r="F358" s="198">
        <v>1000</v>
      </c>
      <c r="G358" s="198">
        <f t="shared" si="310"/>
        <v>1000</v>
      </c>
      <c r="H358" s="198">
        <f t="shared" si="310"/>
        <v>1000</v>
      </c>
      <c r="I358" s="198">
        <f t="shared" si="310"/>
        <v>1000</v>
      </c>
      <c r="J358" s="198">
        <f t="shared" si="310"/>
        <v>1000</v>
      </c>
      <c r="K358" s="198">
        <f t="shared" si="310"/>
        <v>1000</v>
      </c>
      <c r="L358" s="198">
        <f t="shared" si="310"/>
        <v>1000</v>
      </c>
      <c r="M358" s="198">
        <f t="shared" si="310"/>
        <v>1000</v>
      </c>
      <c r="N358" s="198">
        <f t="shared" si="310"/>
        <v>1000</v>
      </c>
      <c r="O358" s="198">
        <f t="shared" si="310"/>
        <v>1000</v>
      </c>
      <c r="P358" s="198">
        <f t="shared" si="310"/>
        <v>1000</v>
      </c>
      <c r="Q358" s="198">
        <f t="shared" si="310"/>
        <v>1000</v>
      </c>
      <c r="R358" s="198">
        <f t="shared" si="310"/>
        <v>1000</v>
      </c>
      <c r="S358" s="116"/>
      <c r="Z358" s="125"/>
    </row>
    <row r="359" spans="1:37" s="115" customFormat="1" ht="19.2" x14ac:dyDescent="0.5">
      <c r="A359" s="248"/>
      <c r="B359" s="206" t="s">
        <v>312</v>
      </c>
      <c r="C359" s="206"/>
      <c r="D359" s="207" t="s">
        <v>313</v>
      </c>
      <c r="E359" s="208" t="s">
        <v>4</v>
      </c>
      <c r="F359" s="198">
        <v>2.8</v>
      </c>
      <c r="G359" s="198">
        <f t="shared" si="310"/>
        <v>2.8</v>
      </c>
      <c r="H359" s="198">
        <f>+G359</f>
        <v>2.8</v>
      </c>
      <c r="I359" s="198">
        <f t="shared" si="310"/>
        <v>2.8</v>
      </c>
      <c r="J359" s="198">
        <f t="shared" si="310"/>
        <v>2.8</v>
      </c>
      <c r="K359" s="198">
        <f t="shared" si="310"/>
        <v>2.8</v>
      </c>
      <c r="L359" s="198">
        <f t="shared" si="310"/>
        <v>2.8</v>
      </c>
      <c r="M359" s="198">
        <f t="shared" si="310"/>
        <v>2.8</v>
      </c>
      <c r="N359" s="198">
        <f t="shared" si="310"/>
        <v>2.8</v>
      </c>
      <c r="O359" s="198">
        <f t="shared" si="310"/>
        <v>2.8</v>
      </c>
      <c r="P359" s="198">
        <f t="shared" si="310"/>
        <v>2.8</v>
      </c>
      <c r="Q359" s="198">
        <f t="shared" si="310"/>
        <v>2.8</v>
      </c>
      <c r="R359" s="198">
        <f t="shared" si="310"/>
        <v>2.8</v>
      </c>
      <c r="S359" s="116"/>
    </row>
    <row r="360" spans="1:37" s="115" customFormat="1" ht="19.2" x14ac:dyDescent="0.5">
      <c r="A360" s="248"/>
      <c r="B360" s="206" t="s">
        <v>314</v>
      </c>
      <c r="C360" s="206"/>
      <c r="D360" s="207"/>
      <c r="E360" s="208" t="s">
        <v>4</v>
      </c>
      <c r="F360" s="198">
        <v>3.2</v>
      </c>
      <c r="G360" s="198">
        <f t="shared" si="310"/>
        <v>3.2</v>
      </c>
      <c r="H360" s="198">
        <f t="shared" si="310"/>
        <v>3.2</v>
      </c>
      <c r="I360" s="198">
        <f t="shared" si="310"/>
        <v>3.2</v>
      </c>
      <c r="J360" s="198">
        <f t="shared" si="310"/>
        <v>3.2</v>
      </c>
      <c r="K360" s="198">
        <f t="shared" si="310"/>
        <v>3.2</v>
      </c>
      <c r="L360" s="198">
        <f t="shared" si="310"/>
        <v>3.2</v>
      </c>
      <c r="M360" s="198">
        <f t="shared" si="310"/>
        <v>3.2</v>
      </c>
      <c r="N360" s="198">
        <f t="shared" si="310"/>
        <v>3.2</v>
      </c>
      <c r="O360" s="198">
        <f t="shared" si="310"/>
        <v>3.2</v>
      </c>
      <c r="P360" s="198">
        <f t="shared" si="310"/>
        <v>3.2</v>
      </c>
      <c r="Q360" s="198">
        <f t="shared" si="310"/>
        <v>3.2</v>
      </c>
      <c r="R360" s="198">
        <f t="shared" si="310"/>
        <v>3.2</v>
      </c>
      <c r="S360" s="116"/>
    </row>
    <row r="361" spans="1:37" s="115" customFormat="1" ht="19.2" x14ac:dyDescent="0.5">
      <c r="A361" s="248"/>
      <c r="B361" s="206" t="s">
        <v>315</v>
      </c>
      <c r="C361" s="206"/>
      <c r="D361" s="207"/>
      <c r="E361" s="208" t="s">
        <v>4</v>
      </c>
      <c r="F361" s="198">
        <v>1.9</v>
      </c>
      <c r="G361" s="198">
        <f t="shared" si="310"/>
        <v>1.9</v>
      </c>
      <c r="H361" s="198">
        <f t="shared" si="310"/>
        <v>1.9</v>
      </c>
      <c r="I361" s="198">
        <f t="shared" si="310"/>
        <v>1.9</v>
      </c>
      <c r="J361" s="198">
        <f t="shared" si="310"/>
        <v>1.9</v>
      </c>
      <c r="K361" s="198">
        <f t="shared" si="310"/>
        <v>1.9</v>
      </c>
      <c r="L361" s="198">
        <f t="shared" si="310"/>
        <v>1.9</v>
      </c>
      <c r="M361" s="198">
        <f t="shared" si="310"/>
        <v>1.9</v>
      </c>
      <c r="N361" s="198">
        <f t="shared" si="310"/>
        <v>1.9</v>
      </c>
      <c r="O361" s="198">
        <f t="shared" si="310"/>
        <v>1.9</v>
      </c>
      <c r="P361" s="198">
        <f t="shared" si="310"/>
        <v>1.9</v>
      </c>
      <c r="Q361" s="198">
        <f t="shared" si="310"/>
        <v>1.9</v>
      </c>
      <c r="R361" s="198">
        <f t="shared" si="310"/>
        <v>1.9</v>
      </c>
      <c r="S361" s="116"/>
    </row>
    <row r="362" spans="1:37" s="115" customFormat="1" ht="19.2" x14ac:dyDescent="0.5">
      <c r="A362" s="248"/>
      <c r="B362" s="206" t="s">
        <v>316</v>
      </c>
      <c r="C362" s="206"/>
      <c r="D362" s="207"/>
      <c r="E362" s="208"/>
      <c r="F362" s="198">
        <v>1.85</v>
      </c>
      <c r="G362" s="198">
        <f t="shared" si="310"/>
        <v>1.85</v>
      </c>
      <c r="H362" s="198">
        <f t="shared" si="310"/>
        <v>1.85</v>
      </c>
      <c r="I362" s="198">
        <f t="shared" si="310"/>
        <v>1.85</v>
      </c>
      <c r="J362" s="198">
        <f t="shared" si="310"/>
        <v>1.85</v>
      </c>
      <c r="K362" s="198">
        <f t="shared" si="310"/>
        <v>1.85</v>
      </c>
      <c r="L362" s="198">
        <f t="shared" si="310"/>
        <v>1.85</v>
      </c>
      <c r="M362" s="198">
        <f t="shared" si="310"/>
        <v>1.85</v>
      </c>
      <c r="N362" s="198">
        <f t="shared" si="310"/>
        <v>1.85</v>
      </c>
      <c r="O362" s="198">
        <f t="shared" si="310"/>
        <v>1.85</v>
      </c>
      <c r="P362" s="198">
        <f t="shared" si="310"/>
        <v>1.85</v>
      </c>
      <c r="Q362" s="198">
        <f t="shared" si="310"/>
        <v>1.85</v>
      </c>
      <c r="R362" s="198">
        <f t="shared" si="310"/>
        <v>1.85</v>
      </c>
      <c r="S362" s="116"/>
    </row>
    <row r="363" spans="1:37" ht="19.2" x14ac:dyDescent="0.5">
      <c r="A363" s="156"/>
      <c r="B363" s="156" t="s">
        <v>317</v>
      </c>
      <c r="C363" s="186"/>
      <c r="D363" s="187"/>
      <c r="E363" s="188"/>
      <c r="F363" s="250"/>
      <c r="G363" s="250"/>
      <c r="H363" s="250"/>
      <c r="I363" s="250"/>
      <c r="J363" s="250"/>
      <c r="K363" s="250"/>
      <c r="L363" s="250"/>
      <c r="M363" s="250"/>
      <c r="N363" s="250"/>
      <c r="O363" s="250"/>
      <c r="P363" s="250"/>
      <c r="Q363" s="250"/>
      <c r="R363" s="250"/>
      <c r="S363" s="119" t="e">
        <f>F357+#REF!</f>
        <v>#REF!</v>
      </c>
    </row>
    <row r="364" spans="1:37" ht="20.399999999999999" x14ac:dyDescent="0.5">
      <c r="A364" s="156"/>
      <c r="B364" s="186" t="s">
        <v>318</v>
      </c>
      <c r="C364" s="186" t="s">
        <v>509</v>
      </c>
      <c r="D364" s="187" t="s">
        <v>319</v>
      </c>
      <c r="E364" s="188" t="s">
        <v>114</v>
      </c>
      <c r="F364" s="189">
        <f>F359*F362+PI()*F359^2/8</f>
        <v>8.2587608005179973</v>
      </c>
      <c r="G364" s="189">
        <f t="shared" ref="G364:R364" si="311">G359*G362+PI()*G359^2/8</f>
        <v>8.2587608005179973</v>
      </c>
      <c r="H364" s="189">
        <f t="shared" si="311"/>
        <v>8.2587608005179973</v>
      </c>
      <c r="I364" s="189">
        <f t="shared" si="311"/>
        <v>8.2587608005179973</v>
      </c>
      <c r="J364" s="189">
        <f t="shared" si="311"/>
        <v>8.2587608005179973</v>
      </c>
      <c r="K364" s="189">
        <f t="shared" si="311"/>
        <v>8.2587608005179973</v>
      </c>
      <c r="L364" s="189">
        <f t="shared" si="311"/>
        <v>8.2587608005179973</v>
      </c>
      <c r="M364" s="189">
        <f t="shared" si="311"/>
        <v>8.2587608005179973</v>
      </c>
      <c r="N364" s="189">
        <f t="shared" si="311"/>
        <v>8.2587608005179973</v>
      </c>
      <c r="O364" s="189">
        <f t="shared" si="311"/>
        <v>8.2587608005179973</v>
      </c>
      <c r="P364" s="189">
        <f t="shared" si="311"/>
        <v>8.2587608005179973</v>
      </c>
      <c r="Q364" s="189">
        <f t="shared" si="311"/>
        <v>8.2587608005179973</v>
      </c>
      <c r="R364" s="189">
        <f t="shared" si="311"/>
        <v>8.2587608005179973</v>
      </c>
    </row>
    <row r="365" spans="1:37" ht="19.2" x14ac:dyDescent="0.5">
      <c r="A365" s="156"/>
      <c r="B365" s="186" t="s">
        <v>320</v>
      </c>
      <c r="C365" s="186"/>
      <c r="D365" s="187" t="s">
        <v>321</v>
      </c>
      <c r="E365" s="188" t="s">
        <v>117</v>
      </c>
      <c r="F365" s="190">
        <f>F353/F364</f>
        <v>1.5135442594748583</v>
      </c>
      <c r="G365" s="190">
        <f t="shared" ref="G365:R365" si="312">G353/G364</f>
        <v>0.68460633944566784</v>
      </c>
      <c r="H365" s="190">
        <f t="shared" si="312"/>
        <v>1.3759933571737832</v>
      </c>
      <c r="I365" s="190">
        <f t="shared" si="312"/>
        <v>1.5135442594748583</v>
      </c>
      <c r="J365" s="190">
        <f t="shared" si="312"/>
        <v>1.5135442594748583</v>
      </c>
      <c r="K365" s="190">
        <f t="shared" si="312"/>
        <v>1.5135442594748583</v>
      </c>
      <c r="L365" s="190">
        <f t="shared" si="312"/>
        <v>1.5135442594748583</v>
      </c>
      <c r="M365" s="190">
        <f t="shared" si="312"/>
        <v>1.5135442594748583</v>
      </c>
      <c r="N365" s="190">
        <f t="shared" si="312"/>
        <v>0.80811155101881638</v>
      </c>
      <c r="O365" s="190">
        <f t="shared" si="312"/>
        <v>0.62043206284393382</v>
      </c>
      <c r="P365" s="190">
        <f t="shared" si="312"/>
        <v>0.49692685127078551</v>
      </c>
      <c r="Q365" s="190">
        <f t="shared" si="312"/>
        <v>0.47513181393434756</v>
      </c>
      <c r="R365" s="190">
        <f t="shared" si="312"/>
        <v>0.48118599097224696</v>
      </c>
      <c r="Y365" s="126" t="s">
        <v>322</v>
      </c>
      <c r="AA365" s="121"/>
    </row>
    <row r="366" spans="1:37" ht="19.2" x14ac:dyDescent="0.5">
      <c r="A366" s="156"/>
      <c r="B366" s="186" t="s">
        <v>301</v>
      </c>
      <c r="C366" s="186" t="s">
        <v>323</v>
      </c>
      <c r="D366" s="187" t="s">
        <v>324</v>
      </c>
      <c r="E366" s="188" t="s">
        <v>4</v>
      </c>
      <c r="F366" s="189">
        <f>(F359+2*F361)+((PI()*F359)/2)</f>
        <v>10.99822971502571</v>
      </c>
      <c r="G366" s="189">
        <f t="shared" ref="G366:R366" si="313">(G359+2*G361)+((PI()*G359)/2)</f>
        <v>10.99822971502571</v>
      </c>
      <c r="H366" s="189">
        <f t="shared" si="313"/>
        <v>10.99822971502571</v>
      </c>
      <c r="I366" s="189">
        <f t="shared" si="313"/>
        <v>10.99822971502571</v>
      </c>
      <c r="J366" s="189">
        <f t="shared" si="313"/>
        <v>10.99822971502571</v>
      </c>
      <c r="K366" s="189">
        <f t="shared" si="313"/>
        <v>10.99822971502571</v>
      </c>
      <c r="L366" s="189">
        <f t="shared" si="313"/>
        <v>10.99822971502571</v>
      </c>
      <c r="M366" s="189">
        <f t="shared" si="313"/>
        <v>10.99822971502571</v>
      </c>
      <c r="N366" s="189">
        <f t="shared" si="313"/>
        <v>10.99822971502571</v>
      </c>
      <c r="O366" s="189">
        <f t="shared" si="313"/>
        <v>10.99822971502571</v>
      </c>
      <c r="P366" s="189">
        <f t="shared" si="313"/>
        <v>10.99822971502571</v>
      </c>
      <c r="Q366" s="189">
        <f t="shared" si="313"/>
        <v>10.99822971502571</v>
      </c>
      <c r="R366" s="189">
        <f t="shared" si="313"/>
        <v>10.99822971502571</v>
      </c>
      <c r="Y366" s="111" t="s">
        <v>325</v>
      </c>
      <c r="AA366" s="121"/>
    </row>
    <row r="367" spans="1:37" ht="19.2" x14ac:dyDescent="0.5">
      <c r="A367" s="186"/>
      <c r="B367" s="186" t="s">
        <v>302</v>
      </c>
      <c r="C367" s="186"/>
      <c r="D367" s="187" t="s">
        <v>303</v>
      </c>
      <c r="E367" s="188" t="s">
        <v>4</v>
      </c>
      <c r="F367" s="189">
        <f>F364/F366</f>
        <v>0.75091728528227886</v>
      </c>
      <c r="G367" s="189">
        <f t="shared" ref="G367:R367" si="314">G364/G366</f>
        <v>0.75091728528227886</v>
      </c>
      <c r="H367" s="189">
        <f t="shared" si="314"/>
        <v>0.75091728528227886</v>
      </c>
      <c r="I367" s="189">
        <f t="shared" si="314"/>
        <v>0.75091728528227886</v>
      </c>
      <c r="J367" s="189">
        <f t="shared" si="314"/>
        <v>0.75091728528227886</v>
      </c>
      <c r="K367" s="189">
        <f t="shared" si="314"/>
        <v>0.75091728528227886</v>
      </c>
      <c r="L367" s="189">
        <f t="shared" si="314"/>
        <v>0.75091728528227886</v>
      </c>
      <c r="M367" s="189">
        <f t="shared" si="314"/>
        <v>0.75091728528227886</v>
      </c>
      <c r="N367" s="189">
        <f t="shared" si="314"/>
        <v>0.75091728528227886</v>
      </c>
      <c r="O367" s="189">
        <f t="shared" si="314"/>
        <v>0.75091728528227886</v>
      </c>
      <c r="P367" s="189">
        <f t="shared" si="314"/>
        <v>0.75091728528227886</v>
      </c>
      <c r="Q367" s="189">
        <f t="shared" si="314"/>
        <v>0.75091728528227886</v>
      </c>
      <c r="R367" s="189">
        <f t="shared" si="314"/>
        <v>0.75091728528227886</v>
      </c>
      <c r="Z367" s="111" t="s">
        <v>326</v>
      </c>
      <c r="AA367" s="121"/>
    </row>
    <row r="368" spans="1:37" ht="19.2" x14ac:dyDescent="0.5">
      <c r="A368" s="186"/>
      <c r="B368" s="156" t="s">
        <v>327</v>
      </c>
      <c r="C368" s="186"/>
      <c r="D368" s="187"/>
      <c r="E368" s="188"/>
      <c r="F368" s="189"/>
      <c r="G368" s="189"/>
      <c r="H368" s="189"/>
      <c r="I368" s="189"/>
      <c r="J368" s="189"/>
      <c r="K368" s="189"/>
      <c r="L368" s="189"/>
      <c r="M368" s="189"/>
      <c r="N368" s="189"/>
      <c r="O368" s="189"/>
      <c r="P368" s="189"/>
      <c r="Q368" s="189"/>
      <c r="R368" s="189"/>
      <c r="Y368" s="131" t="s">
        <v>328</v>
      </c>
      <c r="Z368" s="152">
        <v>10</v>
      </c>
      <c r="AA368" s="152">
        <v>20</v>
      </c>
      <c r="AB368" s="152">
        <v>30</v>
      </c>
      <c r="AC368" s="152">
        <v>40</v>
      </c>
      <c r="AD368" s="152">
        <v>50</v>
      </c>
      <c r="AE368" s="152">
        <v>60</v>
      </c>
      <c r="AF368" s="152">
        <v>70</v>
      </c>
      <c r="AG368" s="152">
        <v>80</v>
      </c>
      <c r="AH368" s="152">
        <v>90</v>
      </c>
      <c r="AI368" s="152">
        <v>100</v>
      </c>
      <c r="AJ368" s="152">
        <v>110</v>
      </c>
      <c r="AK368" s="152">
        <v>120</v>
      </c>
    </row>
    <row r="369" spans="1:37" ht="19.2" x14ac:dyDescent="0.5">
      <c r="A369" s="186"/>
      <c r="B369" s="186" t="s">
        <v>318</v>
      </c>
      <c r="C369" s="186"/>
      <c r="D369" s="187" t="s">
        <v>319</v>
      </c>
      <c r="E369" s="188"/>
      <c r="F369" s="189">
        <f>F360*F361+PI()*F360^2/8</f>
        <v>10.101238596594936</v>
      </c>
      <c r="G369" s="189">
        <f t="shared" ref="G369:R369" si="315">G360*G361+PI()*G360^2/8</f>
        <v>10.101238596594936</v>
      </c>
      <c r="H369" s="189">
        <f t="shared" si="315"/>
        <v>10.101238596594936</v>
      </c>
      <c r="I369" s="189">
        <f t="shared" si="315"/>
        <v>10.101238596594936</v>
      </c>
      <c r="J369" s="189">
        <f t="shared" si="315"/>
        <v>10.101238596594936</v>
      </c>
      <c r="K369" s="189">
        <f t="shared" si="315"/>
        <v>10.101238596594936</v>
      </c>
      <c r="L369" s="189">
        <f t="shared" si="315"/>
        <v>10.101238596594936</v>
      </c>
      <c r="M369" s="189">
        <f t="shared" si="315"/>
        <v>10.101238596594936</v>
      </c>
      <c r="N369" s="189">
        <f t="shared" si="315"/>
        <v>10.101238596594936</v>
      </c>
      <c r="O369" s="189">
        <f t="shared" si="315"/>
        <v>10.101238596594936</v>
      </c>
      <c r="P369" s="189">
        <f t="shared" si="315"/>
        <v>10.101238596594936</v>
      </c>
      <c r="Q369" s="189">
        <f t="shared" si="315"/>
        <v>10.101238596594936</v>
      </c>
      <c r="R369" s="189">
        <f t="shared" si="315"/>
        <v>10.101238596594936</v>
      </c>
      <c r="Y369" s="131" t="s">
        <v>162</v>
      </c>
      <c r="Z369" s="131">
        <v>0.2</v>
      </c>
      <c r="AA369" s="153">
        <v>0.36</v>
      </c>
      <c r="AB369" s="131">
        <v>0.5</v>
      </c>
      <c r="AC369" s="131">
        <v>0.63</v>
      </c>
      <c r="AD369" s="131">
        <v>0.74</v>
      </c>
      <c r="AE369" s="131">
        <v>0.82</v>
      </c>
      <c r="AF369" s="131">
        <v>0.89</v>
      </c>
      <c r="AG369" s="131">
        <v>0.95</v>
      </c>
      <c r="AH369" s="131">
        <v>1</v>
      </c>
      <c r="AI369" s="131">
        <v>1.05</v>
      </c>
      <c r="AJ369" s="131">
        <v>1.0900000000000001</v>
      </c>
      <c r="AK369" s="131">
        <v>1.1200000000000001</v>
      </c>
    </row>
    <row r="370" spans="1:37" ht="15.75" customHeight="1" x14ac:dyDescent="0.5">
      <c r="A370" s="186"/>
      <c r="B370" s="186" t="s">
        <v>320</v>
      </c>
      <c r="C370" s="186"/>
      <c r="D370" s="187" t="s">
        <v>329</v>
      </c>
      <c r="E370" s="188"/>
      <c r="F370" s="189">
        <f t="shared" ref="F370:R370" si="316">IFERROR(F353/F369,0)</f>
        <v>1.2374720070678928</v>
      </c>
      <c r="G370" s="189">
        <f t="shared" si="316"/>
        <v>0.55973333823694926</v>
      </c>
      <c r="H370" s="189">
        <f t="shared" si="316"/>
        <v>1.1250105510655628</v>
      </c>
      <c r="I370" s="189">
        <f t="shared" si="316"/>
        <v>1.2374720070678928</v>
      </c>
      <c r="J370" s="189">
        <f t="shared" si="316"/>
        <v>1.2374720070678928</v>
      </c>
      <c r="K370" s="189">
        <f t="shared" si="316"/>
        <v>1.2374720070678928</v>
      </c>
      <c r="L370" s="189">
        <f t="shared" si="316"/>
        <v>1.2374720070678928</v>
      </c>
      <c r="M370" s="189">
        <f t="shared" si="316"/>
        <v>1.2374720070678928</v>
      </c>
      <c r="N370" s="189">
        <f t="shared" si="316"/>
        <v>0.66071105401368935</v>
      </c>
      <c r="O370" s="189">
        <f t="shared" si="316"/>
        <v>0.50726452513727061</v>
      </c>
      <c r="P370" s="189">
        <f t="shared" si="316"/>
        <v>0.40628680936053058</v>
      </c>
      <c r="Q370" s="189">
        <f t="shared" si="316"/>
        <v>0.38846721245875293</v>
      </c>
      <c r="R370" s="189">
        <f t="shared" si="316"/>
        <v>0.3934171004870245</v>
      </c>
      <c r="AA370" s="121"/>
    </row>
    <row r="371" spans="1:37" ht="19.2" x14ac:dyDescent="0.5">
      <c r="A371" s="186"/>
      <c r="B371" s="186" t="s">
        <v>301</v>
      </c>
      <c r="C371" s="186"/>
      <c r="D371" s="187" t="s">
        <v>324</v>
      </c>
      <c r="E371" s="188"/>
      <c r="F371" s="189">
        <f>(F360+2*F361)+(PI()*F360)/2</f>
        <v>12.026548245743669</v>
      </c>
      <c r="G371" s="189">
        <f t="shared" ref="G371:R371" si="317">(G360+2*G361)+(PI()*G360)/2</f>
        <v>12.026548245743669</v>
      </c>
      <c r="H371" s="189">
        <f t="shared" si="317"/>
        <v>12.026548245743669</v>
      </c>
      <c r="I371" s="189">
        <f t="shared" si="317"/>
        <v>12.026548245743669</v>
      </c>
      <c r="J371" s="189">
        <f t="shared" si="317"/>
        <v>12.026548245743669</v>
      </c>
      <c r="K371" s="189">
        <f t="shared" si="317"/>
        <v>12.026548245743669</v>
      </c>
      <c r="L371" s="189">
        <f t="shared" si="317"/>
        <v>12.026548245743669</v>
      </c>
      <c r="M371" s="189">
        <f t="shared" si="317"/>
        <v>12.026548245743669</v>
      </c>
      <c r="N371" s="189">
        <f t="shared" si="317"/>
        <v>12.026548245743669</v>
      </c>
      <c r="O371" s="189">
        <f t="shared" si="317"/>
        <v>12.026548245743669</v>
      </c>
      <c r="P371" s="189">
        <f t="shared" si="317"/>
        <v>12.026548245743669</v>
      </c>
      <c r="Q371" s="189">
        <f t="shared" si="317"/>
        <v>12.026548245743669</v>
      </c>
      <c r="R371" s="189">
        <f t="shared" si="317"/>
        <v>12.026548245743669</v>
      </c>
      <c r="Y371" s="111" t="s">
        <v>330</v>
      </c>
      <c r="AA371" s="121"/>
    </row>
    <row r="372" spans="1:37" ht="19.2" x14ac:dyDescent="0.5">
      <c r="A372" s="186"/>
      <c r="B372" s="186" t="s">
        <v>302</v>
      </c>
      <c r="C372" s="186"/>
      <c r="D372" s="187" t="s">
        <v>303</v>
      </c>
      <c r="E372" s="188"/>
      <c r="F372" s="189">
        <f>IFERROR(F369/F371,0)</f>
        <v>0.83991170119571734</v>
      </c>
      <c r="G372" s="189">
        <f t="shared" ref="G372:R372" si="318">IFERROR(G369/G371,0)</f>
        <v>0.83991170119571734</v>
      </c>
      <c r="H372" s="189">
        <f t="shared" si="318"/>
        <v>0.83991170119571734</v>
      </c>
      <c r="I372" s="189">
        <f t="shared" si="318"/>
        <v>0.83991170119571734</v>
      </c>
      <c r="J372" s="189">
        <f t="shared" si="318"/>
        <v>0.83991170119571734</v>
      </c>
      <c r="K372" s="189">
        <f t="shared" si="318"/>
        <v>0.83991170119571734</v>
      </c>
      <c r="L372" s="189">
        <f t="shared" si="318"/>
        <v>0.83991170119571734</v>
      </c>
      <c r="M372" s="189">
        <f t="shared" si="318"/>
        <v>0.83991170119571734</v>
      </c>
      <c r="N372" s="189">
        <f t="shared" si="318"/>
        <v>0.83991170119571734</v>
      </c>
      <c r="O372" s="189">
        <f t="shared" si="318"/>
        <v>0.83991170119571734</v>
      </c>
      <c r="P372" s="189">
        <f t="shared" si="318"/>
        <v>0.83991170119571734</v>
      </c>
      <c r="Q372" s="189">
        <f t="shared" si="318"/>
        <v>0.83991170119571734</v>
      </c>
      <c r="R372" s="189">
        <f t="shared" si="318"/>
        <v>0.83991170119571734</v>
      </c>
      <c r="Y372" s="111" t="s">
        <v>331</v>
      </c>
      <c r="AA372" s="121"/>
    </row>
    <row r="373" spans="1:37" ht="20.399999999999999" hidden="1" x14ac:dyDescent="0.5">
      <c r="A373" s="156"/>
      <c r="B373" s="186" t="s">
        <v>304</v>
      </c>
      <c r="C373" s="186" t="s">
        <v>510</v>
      </c>
      <c r="D373" s="187"/>
      <c r="E373" s="188"/>
      <c r="F373" s="234"/>
      <c r="G373" s="234"/>
      <c r="H373" s="234"/>
      <c r="I373" s="234"/>
      <c r="J373" s="234"/>
      <c r="K373" s="234"/>
      <c r="L373" s="234"/>
      <c r="M373" s="234"/>
      <c r="N373" s="234"/>
      <c r="O373" s="234"/>
      <c r="P373" s="234"/>
      <c r="Q373" s="234"/>
      <c r="R373" s="234"/>
      <c r="Y373" s="111" t="s">
        <v>332</v>
      </c>
      <c r="AA373" s="121"/>
    </row>
    <row r="374" spans="1:37" ht="19.2" hidden="1" x14ac:dyDescent="0.5">
      <c r="A374" s="156"/>
      <c r="B374" s="186" t="s">
        <v>327</v>
      </c>
      <c r="C374" s="186"/>
      <c r="D374" s="187" t="s">
        <v>333</v>
      </c>
      <c r="E374" s="188" t="s">
        <v>4</v>
      </c>
      <c r="F374" s="189">
        <f>((F353/F364)^2*F354^2*F357)/(F367^(4/3))</f>
        <v>12.503047382945299</v>
      </c>
      <c r="G374" s="189"/>
      <c r="H374" s="189"/>
      <c r="I374" s="189"/>
      <c r="J374" s="189"/>
      <c r="K374" s="189"/>
      <c r="L374" s="189"/>
      <c r="M374" s="189"/>
      <c r="N374" s="189"/>
      <c r="O374" s="189"/>
      <c r="P374" s="189"/>
      <c r="Q374" s="189"/>
      <c r="R374" s="189"/>
      <c r="Y374" s="111" t="s">
        <v>334</v>
      </c>
      <c r="AA374" s="121"/>
    </row>
    <row r="375" spans="1:37" ht="19.2" hidden="1" x14ac:dyDescent="0.5">
      <c r="A375" s="156"/>
      <c r="B375" s="186" t="s">
        <v>317</v>
      </c>
      <c r="C375" s="186"/>
      <c r="D375" s="187" t="s">
        <v>335</v>
      </c>
      <c r="E375" s="188" t="s">
        <v>4</v>
      </c>
      <c r="F375" s="189">
        <f>IFERROR((F353/F369)^2*F355^2*F358/F372^(4/3),0)</f>
        <v>0.43478555762895821</v>
      </c>
      <c r="G375" s="189"/>
      <c r="H375" s="189"/>
      <c r="I375" s="189"/>
      <c r="J375" s="189"/>
      <c r="K375" s="189"/>
      <c r="L375" s="189"/>
      <c r="M375" s="189"/>
      <c r="N375" s="189"/>
      <c r="O375" s="189"/>
      <c r="P375" s="189"/>
      <c r="Q375" s="189"/>
      <c r="R375" s="189"/>
      <c r="Y375" s="111" t="s">
        <v>336</v>
      </c>
      <c r="AA375" s="121"/>
    </row>
    <row r="376" spans="1:37" ht="19.2" hidden="1" x14ac:dyDescent="0.5">
      <c r="A376" s="156"/>
      <c r="B376" s="186"/>
      <c r="C376" s="186"/>
      <c r="D376" s="187"/>
      <c r="E376" s="188"/>
      <c r="F376" s="190"/>
      <c r="G376" s="190"/>
      <c r="H376" s="190"/>
      <c r="I376" s="190"/>
      <c r="J376" s="190"/>
      <c r="K376" s="190"/>
      <c r="L376" s="190"/>
      <c r="M376" s="190"/>
      <c r="N376" s="190"/>
      <c r="O376" s="190"/>
      <c r="P376" s="190"/>
      <c r="Q376" s="190"/>
      <c r="R376" s="190"/>
    </row>
    <row r="377" spans="1:37" ht="19.2" hidden="1" x14ac:dyDescent="0.5">
      <c r="A377" s="156"/>
      <c r="B377" s="186"/>
      <c r="C377" s="186"/>
      <c r="D377" s="187"/>
      <c r="E377" s="188"/>
      <c r="F377" s="190"/>
      <c r="G377" s="190"/>
      <c r="H377" s="190"/>
      <c r="I377" s="190"/>
      <c r="J377" s="190"/>
      <c r="K377" s="190"/>
      <c r="L377" s="190"/>
      <c r="M377" s="190"/>
      <c r="N377" s="190"/>
      <c r="O377" s="190"/>
      <c r="P377" s="190"/>
      <c r="Q377" s="190"/>
      <c r="R377" s="190"/>
      <c r="Y377" s="120" t="e">
        <f>#REF!+#REF!</f>
        <v>#REF!</v>
      </c>
      <c r="AA377" s="121"/>
    </row>
    <row r="378" spans="1:37" ht="19.2" hidden="1" x14ac:dyDescent="0.5">
      <c r="A378" s="156"/>
      <c r="B378" s="186" t="s">
        <v>143</v>
      </c>
      <c r="C378" s="186" t="s">
        <v>337</v>
      </c>
      <c r="D378" s="187"/>
      <c r="E378" s="188" t="s">
        <v>4</v>
      </c>
      <c r="F378" s="234">
        <f>F374+F375</f>
        <v>12.937832940574257</v>
      </c>
      <c r="G378" s="234"/>
      <c r="H378" s="234"/>
      <c r="I378" s="234"/>
      <c r="J378" s="234"/>
      <c r="K378" s="234"/>
      <c r="L378" s="234"/>
      <c r="M378" s="234"/>
      <c r="N378" s="234"/>
      <c r="O378" s="234"/>
      <c r="P378" s="234"/>
      <c r="Q378" s="234"/>
      <c r="R378" s="234"/>
      <c r="Y378" s="121" t="e">
        <f>Y377/2</f>
        <v>#REF!</v>
      </c>
      <c r="Z378" s="111" t="s">
        <v>338</v>
      </c>
      <c r="AA378" s="121"/>
    </row>
    <row r="379" spans="1:37" ht="19.2" hidden="1" x14ac:dyDescent="0.5">
      <c r="A379" s="156"/>
      <c r="B379" s="186"/>
      <c r="C379" s="186"/>
      <c r="D379" s="187"/>
      <c r="E379" s="188"/>
      <c r="F379" s="234"/>
      <c r="G379" s="234"/>
      <c r="H379" s="234"/>
      <c r="I379" s="234"/>
      <c r="J379" s="234"/>
      <c r="K379" s="234"/>
      <c r="L379" s="234"/>
      <c r="M379" s="234"/>
      <c r="N379" s="234"/>
      <c r="O379" s="234"/>
      <c r="P379" s="234"/>
      <c r="Q379" s="234"/>
      <c r="R379" s="234"/>
      <c r="Y379" s="128">
        <f>(4.7+4.2)/2</f>
        <v>4.45</v>
      </c>
      <c r="Z379" s="111" t="s">
        <v>339</v>
      </c>
      <c r="AA379" s="121"/>
    </row>
    <row r="380" spans="1:37" ht="19.2" x14ac:dyDescent="0.5">
      <c r="A380" s="156"/>
      <c r="B380" s="186"/>
      <c r="C380" s="186"/>
      <c r="D380" s="187"/>
      <c r="E380" s="188"/>
      <c r="F380" s="234"/>
      <c r="G380" s="234"/>
      <c r="H380" s="234"/>
      <c r="I380" s="234"/>
      <c r="J380" s="234"/>
      <c r="K380" s="234"/>
      <c r="L380" s="234"/>
      <c r="M380" s="234"/>
      <c r="N380" s="234"/>
      <c r="O380" s="234"/>
      <c r="P380" s="234"/>
      <c r="Q380" s="234"/>
      <c r="R380" s="234"/>
      <c r="Y380" s="128"/>
      <c r="AA380" s="121"/>
    </row>
    <row r="381" spans="1:37" ht="20.399999999999999" x14ac:dyDescent="0.5">
      <c r="A381" s="156"/>
      <c r="B381" s="186" t="s">
        <v>461</v>
      </c>
      <c r="C381" s="186" t="s">
        <v>494</v>
      </c>
      <c r="D381" s="187" t="s">
        <v>463</v>
      </c>
      <c r="E381" s="188" t="s">
        <v>4</v>
      </c>
      <c r="F381" s="234">
        <f>F354^2*F370^2*F357/F372^(4/3)</f>
        <v>7.1984836063280842</v>
      </c>
      <c r="G381" s="234">
        <f t="shared" ref="G381:R381" si="319">G354^2*G370^2*G357/G372^(4/3)</f>
        <v>1.4727621091696126</v>
      </c>
      <c r="H381" s="234">
        <f t="shared" si="319"/>
        <v>5.9495407575620955</v>
      </c>
      <c r="I381" s="234">
        <f t="shared" si="319"/>
        <v>7.1984836063280842</v>
      </c>
      <c r="J381" s="234">
        <f t="shared" si="319"/>
        <v>7.1984836063280842</v>
      </c>
      <c r="K381" s="234">
        <f t="shared" si="319"/>
        <v>7.1984836063280842</v>
      </c>
      <c r="L381" s="234">
        <f t="shared" si="319"/>
        <v>7.1984836063280842</v>
      </c>
      <c r="M381" s="234">
        <f t="shared" si="319"/>
        <v>7.1984836063280842</v>
      </c>
      <c r="N381" s="234">
        <f t="shared" si="319"/>
        <v>2.0520757988770613</v>
      </c>
      <c r="O381" s="234">
        <f t="shared" si="319"/>
        <v>1.2095929197694706</v>
      </c>
      <c r="P381" s="234">
        <f t="shared" si="319"/>
        <v>0.77595350310656219</v>
      </c>
      <c r="Q381" s="234">
        <f t="shared" si="319"/>
        <v>0.70938008390343688</v>
      </c>
      <c r="R381" s="234">
        <f t="shared" si="319"/>
        <v>0.72757324343072605</v>
      </c>
      <c r="Y381" s="128"/>
      <c r="AA381" s="121"/>
    </row>
    <row r="382" spans="1:37" ht="20.399999999999999" x14ac:dyDescent="0.5">
      <c r="A382" s="156"/>
      <c r="B382" s="186" t="s">
        <v>462</v>
      </c>
      <c r="C382" s="186" t="s">
        <v>494</v>
      </c>
      <c r="D382" s="187" t="s">
        <v>464</v>
      </c>
      <c r="E382" s="188" t="s">
        <v>4</v>
      </c>
      <c r="F382" s="234">
        <f>F355^2*F365^2*F358/F367^(4/3)</f>
        <v>0.75517910795494791</v>
      </c>
      <c r="G382" s="234">
        <f t="shared" ref="G382:R382" si="320">G355^2*G365^2*G358/G367^(4/3)</f>
        <v>0.15450464801431754</v>
      </c>
      <c r="H382" s="234">
        <f t="shared" si="320"/>
        <v>0.62415490924889305</v>
      </c>
      <c r="I382" s="234">
        <f t="shared" si="320"/>
        <v>0.75517910795494791</v>
      </c>
      <c r="J382" s="234">
        <f t="shared" si="320"/>
        <v>0.75517910795494791</v>
      </c>
      <c r="K382" s="234">
        <f t="shared" si="320"/>
        <v>0.75517910795494791</v>
      </c>
      <c r="L382" s="234">
        <f t="shared" si="320"/>
        <v>0.75517910795494791</v>
      </c>
      <c r="M382" s="234">
        <f t="shared" si="320"/>
        <v>0.75517910795494791</v>
      </c>
      <c r="N382" s="234">
        <f t="shared" si="320"/>
        <v>0.21527933603816377</v>
      </c>
      <c r="O382" s="234">
        <f t="shared" si="320"/>
        <v>0.12689607313089116</v>
      </c>
      <c r="P382" s="234">
        <f t="shared" si="320"/>
        <v>8.1403793678907682E-2</v>
      </c>
      <c r="Q382" s="234">
        <f t="shared" si="320"/>
        <v>7.4419703962688696E-2</v>
      </c>
      <c r="R382" s="234">
        <f t="shared" si="320"/>
        <v>7.6328313432969697E-2</v>
      </c>
      <c r="Y382" s="128"/>
      <c r="AA382" s="121"/>
    </row>
    <row r="383" spans="1:37" ht="19.2" x14ac:dyDescent="0.5">
      <c r="A383" s="156"/>
      <c r="B383" s="186"/>
      <c r="C383" s="186"/>
      <c r="D383" s="187"/>
      <c r="E383" s="188"/>
      <c r="F383" s="234"/>
      <c r="G383" s="234"/>
      <c r="H383" s="234"/>
      <c r="I383" s="234"/>
      <c r="J383" s="234"/>
      <c r="K383" s="234"/>
      <c r="L383" s="234"/>
      <c r="M383" s="234"/>
      <c r="N383" s="234"/>
      <c r="O383" s="234"/>
      <c r="P383" s="234"/>
      <c r="Q383" s="234"/>
      <c r="R383" s="234"/>
      <c r="Y383" s="128"/>
      <c r="AA383" s="121"/>
    </row>
    <row r="384" spans="1:37" ht="19.2" x14ac:dyDescent="0.5">
      <c r="A384" s="156"/>
      <c r="B384" s="186"/>
      <c r="C384" s="186"/>
      <c r="D384" s="187"/>
      <c r="E384" s="188"/>
      <c r="F384" s="234"/>
      <c r="G384" s="234"/>
      <c r="H384" s="234"/>
      <c r="I384" s="234"/>
      <c r="J384" s="234"/>
      <c r="K384" s="234"/>
      <c r="L384" s="234"/>
      <c r="M384" s="234"/>
      <c r="N384" s="234"/>
      <c r="O384" s="234"/>
      <c r="P384" s="234"/>
      <c r="Q384" s="234"/>
      <c r="R384" s="234"/>
    </row>
    <row r="385" spans="1:27" s="172" customFormat="1" ht="19.2" x14ac:dyDescent="0.5">
      <c r="A385" s="251"/>
      <c r="B385" s="210" t="s">
        <v>465</v>
      </c>
      <c r="C385" s="210"/>
      <c r="D385" s="211"/>
      <c r="E385" s="212" t="s">
        <v>4</v>
      </c>
      <c r="F385" s="252">
        <f t="shared" ref="F385:R385" si="321">F381+F382</f>
        <v>7.9536627142830323</v>
      </c>
      <c r="G385" s="252">
        <f t="shared" si="321"/>
        <v>1.6272667571839301</v>
      </c>
      <c r="H385" s="252">
        <f t="shared" si="321"/>
        <v>6.5736956668109885</v>
      </c>
      <c r="I385" s="252">
        <f t="shared" si="321"/>
        <v>7.9536627142830323</v>
      </c>
      <c r="J385" s="252">
        <f t="shared" si="321"/>
        <v>7.9536627142830323</v>
      </c>
      <c r="K385" s="252">
        <f t="shared" si="321"/>
        <v>7.9536627142830323</v>
      </c>
      <c r="L385" s="252">
        <f t="shared" si="321"/>
        <v>7.9536627142830323</v>
      </c>
      <c r="M385" s="252">
        <f t="shared" si="321"/>
        <v>7.9536627142830323</v>
      </c>
      <c r="N385" s="252">
        <f t="shared" si="321"/>
        <v>2.267355134915225</v>
      </c>
      <c r="O385" s="252">
        <f t="shared" si="321"/>
        <v>1.3364889929003618</v>
      </c>
      <c r="P385" s="252">
        <f t="shared" si="321"/>
        <v>0.8573572967854699</v>
      </c>
      <c r="Q385" s="252">
        <f t="shared" si="321"/>
        <v>0.78379978786612559</v>
      </c>
      <c r="R385" s="252">
        <f t="shared" si="321"/>
        <v>0.8039015568636958</v>
      </c>
      <c r="S385" s="170"/>
    </row>
    <row r="386" spans="1:27" ht="19.2" x14ac:dyDescent="0.5">
      <c r="A386" s="156"/>
      <c r="B386" s="186"/>
      <c r="C386" s="186"/>
      <c r="D386" s="187"/>
      <c r="E386" s="188"/>
      <c r="F386" s="234"/>
      <c r="G386" s="234"/>
      <c r="H386" s="234"/>
      <c r="I386" s="234"/>
      <c r="J386" s="234"/>
      <c r="K386" s="234"/>
      <c r="L386" s="234"/>
      <c r="M386" s="234"/>
      <c r="N386" s="234"/>
      <c r="O386" s="234"/>
      <c r="P386" s="234"/>
      <c r="Q386" s="234"/>
      <c r="R386" s="234"/>
    </row>
    <row r="387" spans="1:27" ht="19.2" x14ac:dyDescent="0.5">
      <c r="A387" s="156"/>
      <c r="B387" s="186" t="s">
        <v>423</v>
      </c>
      <c r="C387" s="186"/>
      <c r="D387" s="187"/>
      <c r="E387" s="188" t="s">
        <v>4</v>
      </c>
      <c r="F387" s="234">
        <f t="shared" ref="F387:R387" si="322">F370^2/(2*9.81)</f>
        <v>7.8049794509512688E-2</v>
      </c>
      <c r="G387" s="234">
        <f t="shared" si="322"/>
        <v>1.5968471454326148E-2</v>
      </c>
      <c r="H387" s="234">
        <f t="shared" si="322"/>
        <v>6.4508090724201897E-2</v>
      </c>
      <c r="I387" s="234">
        <f t="shared" si="322"/>
        <v>7.8049794509512688E-2</v>
      </c>
      <c r="J387" s="234">
        <f t="shared" si="322"/>
        <v>7.8049794509512688E-2</v>
      </c>
      <c r="K387" s="234">
        <f t="shared" si="322"/>
        <v>7.8049794509512688E-2</v>
      </c>
      <c r="L387" s="234">
        <f t="shared" si="322"/>
        <v>7.8049794509512688E-2</v>
      </c>
      <c r="M387" s="234">
        <f t="shared" si="322"/>
        <v>7.8049794509512688E-2</v>
      </c>
      <c r="N387" s="234">
        <f t="shared" si="322"/>
        <v>2.2249699128230393E-2</v>
      </c>
      <c r="O387" s="234">
        <f t="shared" si="322"/>
        <v>1.3115050890047943E-2</v>
      </c>
      <c r="P387" s="234">
        <f t="shared" si="322"/>
        <v>8.4133012976738072E-3</v>
      </c>
      <c r="Q387" s="234">
        <f t="shared" si="322"/>
        <v>7.6914768173024402E-3</v>
      </c>
      <c r="R387" s="234">
        <f t="shared" si="322"/>
        <v>7.8887367459540021E-3</v>
      </c>
      <c r="S387" s="122" t="e">
        <f>S309-#REF!</f>
        <v>#REF!</v>
      </c>
      <c r="T387" s="123" t="e">
        <f>T309-F387</f>
        <v>#REF!</v>
      </c>
    </row>
    <row r="388" spans="1:27" ht="19.2" x14ac:dyDescent="0.5">
      <c r="A388" s="156"/>
      <c r="B388" s="186" t="s">
        <v>424</v>
      </c>
      <c r="C388" s="186"/>
      <c r="D388" s="187"/>
      <c r="E388" s="188" t="s">
        <v>4</v>
      </c>
      <c r="F388" s="234">
        <f t="shared" ref="F388:R388" si="323">F365^2/(2*9.81)</f>
        <v>0.11675923676805794</v>
      </c>
      <c r="G388" s="234">
        <f t="shared" si="323"/>
        <v>2.3888167176819419E-2</v>
      </c>
      <c r="H388" s="234">
        <f t="shared" si="323"/>
        <v>9.6501412792374036E-2</v>
      </c>
      <c r="I388" s="234">
        <f t="shared" si="323"/>
        <v>0.11675923676805794</v>
      </c>
      <c r="J388" s="234">
        <f t="shared" si="323"/>
        <v>0.11675923676805794</v>
      </c>
      <c r="K388" s="234">
        <f t="shared" si="323"/>
        <v>0.11675923676805794</v>
      </c>
      <c r="L388" s="234">
        <f t="shared" si="323"/>
        <v>0.11675923676805794</v>
      </c>
      <c r="M388" s="234">
        <f t="shared" si="323"/>
        <v>0.11675923676805794</v>
      </c>
      <c r="N388" s="234">
        <f t="shared" si="323"/>
        <v>3.3284621757901985E-2</v>
      </c>
      <c r="O388" s="234">
        <f t="shared" si="323"/>
        <v>1.9619569042037665E-2</v>
      </c>
      <c r="P388" s="234">
        <f t="shared" si="323"/>
        <v>1.2585947783582943E-2</v>
      </c>
      <c r="Q388" s="234">
        <f t="shared" si="323"/>
        <v>1.1506128471587333E-2</v>
      </c>
      <c r="R388" s="234">
        <f t="shared" si="323"/>
        <v>1.1801221096225448E-2</v>
      </c>
      <c r="AA388" s="121"/>
    </row>
    <row r="389" spans="1:27" ht="19.2" x14ac:dyDescent="0.5">
      <c r="A389" s="196" t="s">
        <v>341</v>
      </c>
      <c r="B389" s="156" t="s">
        <v>342</v>
      </c>
      <c r="C389" s="186"/>
      <c r="D389" s="187"/>
      <c r="E389" s="188"/>
      <c r="F389" s="234"/>
      <c r="G389" s="234"/>
      <c r="H389" s="234"/>
      <c r="I389" s="234"/>
      <c r="J389" s="234"/>
      <c r="K389" s="234"/>
      <c r="L389" s="234"/>
      <c r="M389" s="234"/>
      <c r="N389" s="234"/>
      <c r="O389" s="234"/>
      <c r="P389" s="234"/>
      <c r="Q389" s="234"/>
      <c r="R389" s="234"/>
      <c r="AA389" s="121"/>
    </row>
    <row r="390" spans="1:27" ht="19.2" x14ac:dyDescent="0.5">
      <c r="A390" s="196"/>
      <c r="B390" s="240" t="s">
        <v>456</v>
      </c>
      <c r="C390" s="186"/>
      <c r="D390" s="187" t="s">
        <v>303</v>
      </c>
      <c r="E390" s="188" t="s">
        <v>4</v>
      </c>
      <c r="F390" s="234">
        <v>20</v>
      </c>
      <c r="G390" s="234">
        <f>F390</f>
        <v>20</v>
      </c>
      <c r="H390" s="234">
        <f t="shared" ref="H390:R390" si="324">G390</f>
        <v>20</v>
      </c>
      <c r="I390" s="234">
        <f t="shared" si="324"/>
        <v>20</v>
      </c>
      <c r="J390" s="234">
        <f t="shared" si="324"/>
        <v>20</v>
      </c>
      <c r="K390" s="234">
        <f t="shared" si="324"/>
        <v>20</v>
      </c>
      <c r="L390" s="234">
        <f t="shared" si="324"/>
        <v>20</v>
      </c>
      <c r="M390" s="234">
        <f t="shared" si="324"/>
        <v>20</v>
      </c>
      <c r="N390" s="234">
        <f t="shared" si="324"/>
        <v>20</v>
      </c>
      <c r="O390" s="234">
        <f t="shared" si="324"/>
        <v>20</v>
      </c>
      <c r="P390" s="234">
        <f t="shared" si="324"/>
        <v>20</v>
      </c>
      <c r="Q390" s="234">
        <f t="shared" si="324"/>
        <v>20</v>
      </c>
      <c r="R390" s="234">
        <f t="shared" si="324"/>
        <v>20</v>
      </c>
      <c r="S390" s="122"/>
      <c r="T390" s="123"/>
    </row>
    <row r="391" spans="1:27" ht="19.2" x14ac:dyDescent="0.5">
      <c r="A391" s="196"/>
      <c r="B391" s="240" t="s">
        <v>448</v>
      </c>
      <c r="C391" s="186"/>
      <c r="D391" s="187" t="s">
        <v>448</v>
      </c>
      <c r="E391" s="188"/>
      <c r="F391" s="234">
        <f>F390/F360</f>
        <v>6.25</v>
      </c>
      <c r="G391" s="234">
        <f t="shared" ref="G391:R391" si="325">G390/G360</f>
        <v>6.25</v>
      </c>
      <c r="H391" s="234">
        <f t="shared" si="325"/>
        <v>6.25</v>
      </c>
      <c r="I391" s="234">
        <f t="shared" si="325"/>
        <v>6.25</v>
      </c>
      <c r="J391" s="234">
        <f t="shared" si="325"/>
        <v>6.25</v>
      </c>
      <c r="K391" s="234">
        <f t="shared" si="325"/>
        <v>6.25</v>
      </c>
      <c r="L391" s="234">
        <f t="shared" si="325"/>
        <v>6.25</v>
      </c>
      <c r="M391" s="234">
        <f t="shared" si="325"/>
        <v>6.25</v>
      </c>
      <c r="N391" s="234">
        <f t="shared" si="325"/>
        <v>6.25</v>
      </c>
      <c r="O391" s="234">
        <f t="shared" si="325"/>
        <v>6.25</v>
      </c>
      <c r="P391" s="234">
        <f t="shared" si="325"/>
        <v>6.25</v>
      </c>
      <c r="Q391" s="234">
        <f t="shared" si="325"/>
        <v>6.25</v>
      </c>
      <c r="R391" s="234">
        <f t="shared" si="325"/>
        <v>6.25</v>
      </c>
      <c r="S391" s="122"/>
      <c r="T391" s="123"/>
    </row>
    <row r="392" spans="1:27" ht="19.2" x14ac:dyDescent="0.5">
      <c r="A392" s="196"/>
      <c r="B392" s="240" t="s">
        <v>457</v>
      </c>
      <c r="C392" s="186" t="s">
        <v>458</v>
      </c>
      <c r="D392" s="187"/>
      <c r="E392" s="188"/>
      <c r="F392" s="234">
        <v>0.08</v>
      </c>
      <c r="G392" s="234">
        <v>0.1</v>
      </c>
      <c r="H392" s="234">
        <v>0.1</v>
      </c>
      <c r="I392" s="234">
        <v>0.1</v>
      </c>
      <c r="J392" s="234">
        <v>0.1</v>
      </c>
      <c r="K392" s="234">
        <v>0.1</v>
      </c>
      <c r="L392" s="234">
        <v>0.1</v>
      </c>
      <c r="M392" s="234">
        <v>0.1</v>
      </c>
      <c r="N392" s="234">
        <v>0.1</v>
      </c>
      <c r="O392" s="234">
        <v>0.1</v>
      </c>
      <c r="P392" s="234">
        <v>0.1</v>
      </c>
      <c r="Q392" s="234">
        <v>0.1</v>
      </c>
      <c r="R392" s="234">
        <v>0.1</v>
      </c>
      <c r="S392" s="122"/>
      <c r="T392" s="123"/>
    </row>
    <row r="393" spans="1:27" ht="19.2" x14ac:dyDescent="0.5">
      <c r="A393" s="196"/>
      <c r="B393" s="240" t="s">
        <v>459</v>
      </c>
      <c r="C393" s="186" t="s">
        <v>460</v>
      </c>
      <c r="D393" s="187"/>
      <c r="E393" s="188"/>
      <c r="F393" s="234">
        <v>0.4</v>
      </c>
      <c r="G393" s="234">
        <f>F393</f>
        <v>0.4</v>
      </c>
      <c r="H393" s="234">
        <f t="shared" ref="H393:R393" si="326">G393</f>
        <v>0.4</v>
      </c>
      <c r="I393" s="234">
        <f t="shared" si="326"/>
        <v>0.4</v>
      </c>
      <c r="J393" s="234">
        <f t="shared" si="326"/>
        <v>0.4</v>
      </c>
      <c r="K393" s="234">
        <f t="shared" si="326"/>
        <v>0.4</v>
      </c>
      <c r="L393" s="234">
        <f t="shared" si="326"/>
        <v>0.4</v>
      </c>
      <c r="M393" s="234">
        <f t="shared" si="326"/>
        <v>0.4</v>
      </c>
      <c r="N393" s="234">
        <f t="shared" si="326"/>
        <v>0.4</v>
      </c>
      <c r="O393" s="234">
        <f t="shared" si="326"/>
        <v>0.4</v>
      </c>
      <c r="P393" s="234">
        <f t="shared" si="326"/>
        <v>0.4</v>
      </c>
      <c r="Q393" s="234">
        <f t="shared" si="326"/>
        <v>0.4</v>
      </c>
      <c r="R393" s="234">
        <f t="shared" si="326"/>
        <v>0.4</v>
      </c>
      <c r="S393" s="122"/>
      <c r="T393" s="123"/>
    </row>
    <row r="394" spans="1:27" ht="19.2" x14ac:dyDescent="0.5">
      <c r="A394" s="196"/>
      <c r="B394" s="240" t="s">
        <v>343</v>
      </c>
      <c r="C394" s="186"/>
      <c r="D394" s="187"/>
      <c r="E394" s="188"/>
      <c r="F394" s="234">
        <v>22</v>
      </c>
      <c r="G394" s="234">
        <f>+F394</f>
        <v>22</v>
      </c>
      <c r="H394" s="234">
        <f t="shared" ref="H394:R394" si="327">+G394</f>
        <v>22</v>
      </c>
      <c r="I394" s="234">
        <f t="shared" si="327"/>
        <v>22</v>
      </c>
      <c r="J394" s="234">
        <f t="shared" si="327"/>
        <v>22</v>
      </c>
      <c r="K394" s="234">
        <f t="shared" si="327"/>
        <v>22</v>
      </c>
      <c r="L394" s="234">
        <f t="shared" si="327"/>
        <v>22</v>
      </c>
      <c r="M394" s="234">
        <f t="shared" si="327"/>
        <v>22</v>
      </c>
      <c r="N394" s="234">
        <f t="shared" si="327"/>
        <v>22</v>
      </c>
      <c r="O394" s="234">
        <f t="shared" si="327"/>
        <v>22</v>
      </c>
      <c r="P394" s="234">
        <f t="shared" si="327"/>
        <v>22</v>
      </c>
      <c r="Q394" s="234">
        <f t="shared" si="327"/>
        <v>22</v>
      </c>
      <c r="R394" s="234">
        <f t="shared" si="327"/>
        <v>22</v>
      </c>
      <c r="AA394" s="121"/>
    </row>
    <row r="395" spans="1:27" ht="19.2" x14ac:dyDescent="0.5">
      <c r="A395" s="196"/>
      <c r="B395" s="186" t="s">
        <v>344</v>
      </c>
      <c r="C395" s="186"/>
      <c r="D395" s="187"/>
      <c r="E395" s="188"/>
      <c r="F395" s="234">
        <f>F392*F393</f>
        <v>3.2000000000000001E-2</v>
      </c>
      <c r="G395" s="234">
        <f t="shared" ref="G395:R395" si="328">G392*G393</f>
        <v>4.0000000000000008E-2</v>
      </c>
      <c r="H395" s="234">
        <f t="shared" si="328"/>
        <v>4.0000000000000008E-2</v>
      </c>
      <c r="I395" s="234">
        <f t="shared" si="328"/>
        <v>4.0000000000000008E-2</v>
      </c>
      <c r="J395" s="234">
        <f t="shared" si="328"/>
        <v>4.0000000000000008E-2</v>
      </c>
      <c r="K395" s="234">
        <f t="shared" si="328"/>
        <v>4.0000000000000008E-2</v>
      </c>
      <c r="L395" s="234">
        <f t="shared" si="328"/>
        <v>4.0000000000000008E-2</v>
      </c>
      <c r="M395" s="234">
        <f t="shared" si="328"/>
        <v>4.0000000000000008E-2</v>
      </c>
      <c r="N395" s="234">
        <f t="shared" si="328"/>
        <v>4.0000000000000008E-2</v>
      </c>
      <c r="O395" s="234">
        <f t="shared" si="328"/>
        <v>4.0000000000000008E-2</v>
      </c>
      <c r="P395" s="234">
        <f t="shared" si="328"/>
        <v>4.0000000000000008E-2</v>
      </c>
      <c r="Q395" s="234">
        <f t="shared" si="328"/>
        <v>4.0000000000000008E-2</v>
      </c>
      <c r="R395" s="234">
        <f t="shared" si="328"/>
        <v>4.0000000000000008E-2</v>
      </c>
      <c r="AA395" s="121"/>
    </row>
    <row r="396" spans="1:27" ht="19.2" x14ac:dyDescent="0.5">
      <c r="A396" s="196"/>
      <c r="B396" s="241" t="s">
        <v>345</v>
      </c>
      <c r="C396" s="186"/>
      <c r="D396" s="187"/>
      <c r="E396" s="188" t="s">
        <v>4</v>
      </c>
      <c r="F396" s="233">
        <f t="shared" ref="F396:R396" si="329">F395*F387</f>
        <v>2.4975934243044061E-3</v>
      </c>
      <c r="G396" s="233">
        <f t="shared" si="329"/>
        <v>6.3873885817304599E-4</v>
      </c>
      <c r="H396" s="233">
        <f t="shared" si="329"/>
        <v>2.5803236289680762E-3</v>
      </c>
      <c r="I396" s="233">
        <f t="shared" si="329"/>
        <v>3.1219917803805082E-3</v>
      </c>
      <c r="J396" s="233">
        <f t="shared" si="329"/>
        <v>3.1219917803805082E-3</v>
      </c>
      <c r="K396" s="233">
        <f t="shared" si="329"/>
        <v>3.1219917803805082E-3</v>
      </c>
      <c r="L396" s="233">
        <f t="shared" si="329"/>
        <v>3.1219917803805082E-3</v>
      </c>
      <c r="M396" s="233">
        <f t="shared" si="329"/>
        <v>3.1219917803805082E-3</v>
      </c>
      <c r="N396" s="233">
        <f t="shared" si="329"/>
        <v>8.8998796512921587E-4</v>
      </c>
      <c r="O396" s="233">
        <f t="shared" si="329"/>
        <v>5.2460203560191778E-4</v>
      </c>
      <c r="P396" s="233">
        <f t="shared" si="329"/>
        <v>3.3653205190695238E-4</v>
      </c>
      <c r="Q396" s="233">
        <f t="shared" si="329"/>
        <v>3.0765907269209768E-4</v>
      </c>
      <c r="R396" s="233">
        <f t="shared" si="329"/>
        <v>3.1554946983816017E-4</v>
      </c>
      <c r="S396" s="122" t="e">
        <f>S387-F396</f>
        <v>#REF!</v>
      </c>
      <c r="T396" s="123" t="e">
        <f>S396-F387</f>
        <v>#REF!</v>
      </c>
      <c r="AA396" s="121"/>
    </row>
    <row r="397" spans="1:27" ht="19.2" x14ac:dyDescent="0.5">
      <c r="A397" s="196"/>
      <c r="B397" s="241"/>
      <c r="C397" s="186"/>
      <c r="D397" s="187"/>
      <c r="E397" s="188"/>
      <c r="F397" s="233"/>
      <c r="G397" s="233"/>
      <c r="H397" s="233"/>
      <c r="I397" s="233"/>
      <c r="J397" s="233"/>
      <c r="K397" s="233"/>
      <c r="L397" s="233"/>
      <c r="M397" s="233"/>
      <c r="N397" s="233"/>
      <c r="O397" s="233"/>
      <c r="P397" s="233"/>
      <c r="Q397" s="233"/>
      <c r="R397" s="233"/>
      <c r="S397" s="122"/>
      <c r="T397" s="123"/>
      <c r="AA397" s="121"/>
    </row>
    <row r="398" spans="1:27" ht="19.2" x14ac:dyDescent="0.5">
      <c r="A398" s="196"/>
      <c r="B398" s="240" t="s">
        <v>456</v>
      </c>
      <c r="C398" s="186"/>
      <c r="D398" s="187" t="s">
        <v>303</v>
      </c>
      <c r="E398" s="188" t="s">
        <v>4</v>
      </c>
      <c r="F398" s="234">
        <v>50</v>
      </c>
      <c r="G398" s="234">
        <f>F398</f>
        <v>50</v>
      </c>
      <c r="H398" s="234">
        <f t="shared" ref="H398:R398" si="330">G398</f>
        <v>50</v>
      </c>
      <c r="I398" s="234">
        <f t="shared" si="330"/>
        <v>50</v>
      </c>
      <c r="J398" s="234">
        <f t="shared" si="330"/>
        <v>50</v>
      </c>
      <c r="K398" s="234">
        <f t="shared" si="330"/>
        <v>50</v>
      </c>
      <c r="L398" s="234">
        <f t="shared" si="330"/>
        <v>50</v>
      </c>
      <c r="M398" s="234">
        <f t="shared" si="330"/>
        <v>50</v>
      </c>
      <c r="N398" s="234">
        <f t="shared" si="330"/>
        <v>50</v>
      </c>
      <c r="O398" s="234">
        <f t="shared" si="330"/>
        <v>50</v>
      </c>
      <c r="P398" s="234">
        <f t="shared" si="330"/>
        <v>50</v>
      </c>
      <c r="Q398" s="234">
        <f t="shared" si="330"/>
        <v>50</v>
      </c>
      <c r="R398" s="234">
        <f t="shared" si="330"/>
        <v>50</v>
      </c>
      <c r="S398" s="122"/>
      <c r="T398" s="123"/>
    </row>
    <row r="399" spans="1:27" ht="19.2" x14ac:dyDescent="0.5">
      <c r="A399" s="196"/>
      <c r="B399" s="240" t="s">
        <v>448</v>
      </c>
      <c r="C399" s="186"/>
      <c r="D399" s="187" t="s">
        <v>448</v>
      </c>
      <c r="E399" s="188"/>
      <c r="F399" s="234">
        <f>F398/F360</f>
        <v>15.625</v>
      </c>
      <c r="G399" s="234">
        <f t="shared" ref="G399:R399" si="331">G398/G360</f>
        <v>15.625</v>
      </c>
      <c r="H399" s="234">
        <f t="shared" si="331"/>
        <v>15.625</v>
      </c>
      <c r="I399" s="234">
        <f t="shared" si="331"/>
        <v>15.625</v>
      </c>
      <c r="J399" s="234">
        <f t="shared" si="331"/>
        <v>15.625</v>
      </c>
      <c r="K399" s="234">
        <f t="shared" si="331"/>
        <v>15.625</v>
      </c>
      <c r="L399" s="234">
        <f t="shared" si="331"/>
        <v>15.625</v>
      </c>
      <c r="M399" s="234">
        <f t="shared" si="331"/>
        <v>15.625</v>
      </c>
      <c r="N399" s="234">
        <f t="shared" si="331"/>
        <v>15.625</v>
      </c>
      <c r="O399" s="234">
        <f t="shared" si="331"/>
        <v>15.625</v>
      </c>
      <c r="P399" s="234">
        <f t="shared" si="331"/>
        <v>15.625</v>
      </c>
      <c r="Q399" s="234">
        <f t="shared" si="331"/>
        <v>15.625</v>
      </c>
      <c r="R399" s="234">
        <f t="shared" si="331"/>
        <v>15.625</v>
      </c>
      <c r="S399" s="122"/>
      <c r="T399" s="123"/>
    </row>
    <row r="400" spans="1:27" ht="19.2" x14ac:dyDescent="0.5">
      <c r="A400" s="196"/>
      <c r="B400" s="240" t="s">
        <v>457</v>
      </c>
      <c r="C400" s="186" t="s">
        <v>458</v>
      </c>
      <c r="D400" s="187"/>
      <c r="E400" s="188"/>
      <c r="F400" s="234">
        <v>0.08</v>
      </c>
      <c r="G400" s="234">
        <v>0.1</v>
      </c>
      <c r="H400" s="234">
        <v>0.1</v>
      </c>
      <c r="I400" s="234">
        <v>0.1</v>
      </c>
      <c r="J400" s="234">
        <v>0.1</v>
      </c>
      <c r="K400" s="234">
        <v>0.1</v>
      </c>
      <c r="L400" s="234">
        <v>0.1</v>
      </c>
      <c r="M400" s="234">
        <v>0.1</v>
      </c>
      <c r="N400" s="234">
        <v>0.1</v>
      </c>
      <c r="O400" s="234">
        <v>0.1</v>
      </c>
      <c r="P400" s="234">
        <v>0.1</v>
      </c>
      <c r="Q400" s="234">
        <v>0.1</v>
      </c>
      <c r="R400" s="234">
        <v>0.1</v>
      </c>
      <c r="S400" s="122"/>
      <c r="T400" s="123"/>
    </row>
    <row r="401" spans="1:27" ht="19.2" x14ac:dyDescent="0.5">
      <c r="A401" s="196"/>
      <c r="B401" s="240" t="s">
        <v>459</v>
      </c>
      <c r="C401" s="186" t="s">
        <v>460</v>
      </c>
      <c r="D401" s="187"/>
      <c r="E401" s="188"/>
      <c r="F401" s="234">
        <v>0.65</v>
      </c>
      <c r="G401" s="234">
        <f>F401</f>
        <v>0.65</v>
      </c>
      <c r="H401" s="234">
        <f t="shared" ref="H401:R401" si="332">G401</f>
        <v>0.65</v>
      </c>
      <c r="I401" s="234">
        <f t="shared" si="332"/>
        <v>0.65</v>
      </c>
      <c r="J401" s="234">
        <f t="shared" si="332"/>
        <v>0.65</v>
      </c>
      <c r="K401" s="234">
        <f t="shared" si="332"/>
        <v>0.65</v>
      </c>
      <c r="L401" s="234">
        <f t="shared" si="332"/>
        <v>0.65</v>
      </c>
      <c r="M401" s="234">
        <f t="shared" si="332"/>
        <v>0.65</v>
      </c>
      <c r="N401" s="234">
        <f t="shared" si="332"/>
        <v>0.65</v>
      </c>
      <c r="O401" s="234">
        <f t="shared" si="332"/>
        <v>0.65</v>
      </c>
      <c r="P401" s="234">
        <f t="shared" si="332"/>
        <v>0.65</v>
      </c>
      <c r="Q401" s="234">
        <f t="shared" si="332"/>
        <v>0.65</v>
      </c>
      <c r="R401" s="234">
        <f t="shared" si="332"/>
        <v>0.65</v>
      </c>
      <c r="S401" s="122"/>
      <c r="T401" s="123"/>
    </row>
    <row r="402" spans="1:27" ht="19.2" x14ac:dyDescent="0.5">
      <c r="A402" s="196"/>
      <c r="B402" s="240" t="s">
        <v>343</v>
      </c>
      <c r="C402" s="186"/>
      <c r="D402" s="187"/>
      <c r="E402" s="188"/>
      <c r="F402" s="234">
        <v>42</v>
      </c>
      <c r="G402" s="234">
        <f>+F402</f>
        <v>42</v>
      </c>
      <c r="H402" s="234">
        <f t="shared" ref="H402:R402" si="333">+G402</f>
        <v>42</v>
      </c>
      <c r="I402" s="234">
        <f t="shared" si="333"/>
        <v>42</v>
      </c>
      <c r="J402" s="234">
        <f t="shared" si="333"/>
        <v>42</v>
      </c>
      <c r="K402" s="234">
        <f t="shared" si="333"/>
        <v>42</v>
      </c>
      <c r="L402" s="234">
        <f t="shared" si="333"/>
        <v>42</v>
      </c>
      <c r="M402" s="234">
        <f t="shared" si="333"/>
        <v>42</v>
      </c>
      <c r="N402" s="234">
        <f t="shared" si="333"/>
        <v>42</v>
      </c>
      <c r="O402" s="234">
        <f t="shared" si="333"/>
        <v>42</v>
      </c>
      <c r="P402" s="234">
        <f t="shared" si="333"/>
        <v>42</v>
      </c>
      <c r="Q402" s="234">
        <f t="shared" si="333"/>
        <v>42</v>
      </c>
      <c r="R402" s="234">
        <f t="shared" si="333"/>
        <v>42</v>
      </c>
      <c r="AA402" s="121"/>
    </row>
    <row r="403" spans="1:27" ht="19.2" x14ac:dyDescent="0.5">
      <c r="A403" s="196"/>
      <c r="B403" s="186" t="s">
        <v>344</v>
      </c>
      <c r="C403" s="186"/>
      <c r="D403" s="187"/>
      <c r="E403" s="188"/>
      <c r="F403" s="234">
        <f>F400*F401</f>
        <v>5.2000000000000005E-2</v>
      </c>
      <c r="G403" s="234">
        <f t="shared" ref="G403:R403" si="334">G400*G401</f>
        <v>6.5000000000000002E-2</v>
      </c>
      <c r="H403" s="234">
        <f t="shared" si="334"/>
        <v>6.5000000000000002E-2</v>
      </c>
      <c r="I403" s="234">
        <f t="shared" si="334"/>
        <v>6.5000000000000002E-2</v>
      </c>
      <c r="J403" s="234">
        <f t="shared" si="334"/>
        <v>6.5000000000000002E-2</v>
      </c>
      <c r="K403" s="234">
        <f t="shared" si="334"/>
        <v>6.5000000000000002E-2</v>
      </c>
      <c r="L403" s="234">
        <f t="shared" si="334"/>
        <v>6.5000000000000002E-2</v>
      </c>
      <c r="M403" s="234">
        <f t="shared" si="334"/>
        <v>6.5000000000000002E-2</v>
      </c>
      <c r="N403" s="234">
        <f t="shared" si="334"/>
        <v>6.5000000000000002E-2</v>
      </c>
      <c r="O403" s="234">
        <f t="shared" si="334"/>
        <v>6.5000000000000002E-2</v>
      </c>
      <c r="P403" s="234">
        <f t="shared" si="334"/>
        <v>6.5000000000000002E-2</v>
      </c>
      <c r="Q403" s="234">
        <f t="shared" si="334"/>
        <v>6.5000000000000002E-2</v>
      </c>
      <c r="R403" s="234">
        <f t="shared" si="334"/>
        <v>6.5000000000000002E-2</v>
      </c>
      <c r="AA403" s="121"/>
    </row>
    <row r="404" spans="1:27" ht="19.2" x14ac:dyDescent="0.5">
      <c r="A404" s="196"/>
      <c r="B404" s="241" t="s">
        <v>345</v>
      </c>
      <c r="C404" s="186"/>
      <c r="D404" s="187"/>
      <c r="E404" s="188" t="s">
        <v>4</v>
      </c>
      <c r="F404" s="233">
        <f t="shared" ref="F404:R404" si="335">F403*F387</f>
        <v>4.0585893144946599E-3</v>
      </c>
      <c r="G404" s="233">
        <f t="shared" si="335"/>
        <v>1.0379506445311996E-3</v>
      </c>
      <c r="H404" s="233">
        <f t="shared" si="335"/>
        <v>4.1930258970731236E-3</v>
      </c>
      <c r="I404" s="233">
        <f t="shared" si="335"/>
        <v>5.0732366431183252E-3</v>
      </c>
      <c r="J404" s="233">
        <f t="shared" si="335"/>
        <v>5.0732366431183252E-3</v>
      </c>
      <c r="K404" s="233">
        <f t="shared" si="335"/>
        <v>5.0732366431183252E-3</v>
      </c>
      <c r="L404" s="233">
        <f t="shared" si="335"/>
        <v>5.0732366431183252E-3</v>
      </c>
      <c r="M404" s="233">
        <f t="shared" si="335"/>
        <v>5.0732366431183252E-3</v>
      </c>
      <c r="N404" s="233">
        <f t="shared" si="335"/>
        <v>1.4462304433349757E-3</v>
      </c>
      <c r="O404" s="233">
        <f t="shared" si="335"/>
        <v>8.5247830785311631E-4</v>
      </c>
      <c r="P404" s="233">
        <f t="shared" si="335"/>
        <v>5.4686458434879753E-4</v>
      </c>
      <c r="Q404" s="233">
        <f t="shared" si="335"/>
        <v>4.9994599312465859E-4</v>
      </c>
      <c r="R404" s="233">
        <f t="shared" si="335"/>
        <v>5.1276788848701011E-4</v>
      </c>
      <c r="S404" s="122">
        <f>S394-F404</f>
        <v>-4.0585893144946599E-3</v>
      </c>
      <c r="T404" s="123">
        <f>S404-F394</f>
        <v>-22.004058589314496</v>
      </c>
      <c r="AA404" s="121"/>
    </row>
    <row r="405" spans="1:27" ht="19.2" x14ac:dyDescent="0.5">
      <c r="A405" s="196"/>
      <c r="B405" s="241"/>
      <c r="C405" s="186"/>
      <c r="D405" s="187"/>
      <c r="E405" s="188"/>
      <c r="F405" s="233"/>
      <c r="G405" s="233"/>
      <c r="H405" s="233"/>
      <c r="I405" s="233"/>
      <c r="J405" s="233"/>
      <c r="K405" s="233"/>
      <c r="L405" s="233"/>
      <c r="M405" s="233"/>
      <c r="N405" s="233"/>
      <c r="O405" s="233"/>
      <c r="P405" s="233"/>
      <c r="Q405" s="233"/>
      <c r="R405" s="233"/>
      <c r="S405" s="122"/>
      <c r="T405" s="123"/>
      <c r="AA405" s="121"/>
    </row>
    <row r="406" spans="1:27" s="172" customFormat="1" ht="19.2" x14ac:dyDescent="0.5">
      <c r="A406" s="242"/>
      <c r="B406" s="253" t="s">
        <v>432</v>
      </c>
      <c r="C406" s="210"/>
      <c r="D406" s="211"/>
      <c r="E406" s="212"/>
      <c r="F406" s="244">
        <f>F404+F396</f>
        <v>6.556182738799066E-3</v>
      </c>
      <c r="G406" s="244">
        <f t="shared" ref="G406:R406" si="336">G404+G396</f>
        <v>1.6766895027042457E-3</v>
      </c>
      <c r="H406" s="244">
        <f t="shared" si="336"/>
        <v>6.7733495260411999E-3</v>
      </c>
      <c r="I406" s="244">
        <f t="shared" si="336"/>
        <v>8.1952284234988338E-3</v>
      </c>
      <c r="J406" s="244">
        <f t="shared" si="336"/>
        <v>8.1952284234988338E-3</v>
      </c>
      <c r="K406" s="244">
        <f t="shared" si="336"/>
        <v>8.1952284234988338E-3</v>
      </c>
      <c r="L406" s="244">
        <f t="shared" si="336"/>
        <v>8.1952284234988338E-3</v>
      </c>
      <c r="M406" s="244">
        <f t="shared" si="336"/>
        <v>8.1952284234988338E-3</v>
      </c>
      <c r="N406" s="244">
        <f t="shared" si="336"/>
        <v>2.3362184084641914E-3</v>
      </c>
      <c r="O406" s="244">
        <f t="shared" si="336"/>
        <v>1.3770803434550341E-3</v>
      </c>
      <c r="P406" s="244">
        <f t="shared" si="336"/>
        <v>8.8339663625574996E-4</v>
      </c>
      <c r="Q406" s="244">
        <f t="shared" si="336"/>
        <v>8.0760506581675621E-4</v>
      </c>
      <c r="R406" s="244">
        <f t="shared" si="336"/>
        <v>8.2831735832517028E-4</v>
      </c>
      <c r="S406" s="173"/>
      <c r="T406" s="174"/>
      <c r="AA406" s="175"/>
    </row>
    <row r="407" spans="1:27" s="172" customFormat="1" ht="19.2" x14ac:dyDescent="0.5">
      <c r="A407" s="242"/>
      <c r="B407" s="254" t="s">
        <v>346</v>
      </c>
      <c r="C407" s="253"/>
      <c r="D407" s="211"/>
      <c r="E407" s="212"/>
      <c r="F407" s="255">
        <f t="shared" ref="F407:R407" si="337">F396+F385+F404</f>
        <v>7.9602188970218313</v>
      </c>
      <c r="G407" s="255">
        <f t="shared" si="337"/>
        <v>1.6289434466866344</v>
      </c>
      <c r="H407" s="255">
        <f t="shared" si="337"/>
        <v>6.5804690163370294</v>
      </c>
      <c r="I407" s="255">
        <f t="shared" si="337"/>
        <v>7.9618579427065317</v>
      </c>
      <c r="J407" s="255">
        <f t="shared" si="337"/>
        <v>7.9618579427065317</v>
      </c>
      <c r="K407" s="255">
        <f t="shared" si="337"/>
        <v>7.9618579427065317</v>
      </c>
      <c r="L407" s="255">
        <f t="shared" si="337"/>
        <v>7.9618579427065317</v>
      </c>
      <c r="M407" s="255">
        <f t="shared" si="337"/>
        <v>7.9618579427065317</v>
      </c>
      <c r="N407" s="255">
        <f t="shared" si="337"/>
        <v>2.2696913533236893</v>
      </c>
      <c r="O407" s="255">
        <f t="shared" si="337"/>
        <v>1.337866073243817</v>
      </c>
      <c r="P407" s="255">
        <f t="shared" si="337"/>
        <v>0.85824069342172571</v>
      </c>
      <c r="Q407" s="255">
        <f t="shared" si="337"/>
        <v>0.78460739293194237</v>
      </c>
      <c r="R407" s="255">
        <f t="shared" si="337"/>
        <v>0.80472987422202091</v>
      </c>
      <c r="S407" s="173"/>
      <c r="T407" s="174"/>
      <c r="AA407" s="175"/>
    </row>
    <row r="408" spans="1:27" s="155" customFormat="1" ht="19.2" x14ac:dyDescent="0.5">
      <c r="A408" s="256"/>
      <c r="B408" s="191" t="s">
        <v>226</v>
      </c>
      <c r="C408" s="191"/>
      <c r="D408" s="192"/>
      <c r="E408" s="183" t="s">
        <v>2</v>
      </c>
      <c r="F408" s="247">
        <f t="shared" ref="F408:R408" si="338">F349-F407</f>
        <v>2470.5294656206929</v>
      </c>
      <c r="G408" s="247">
        <f t="shared" si="338"/>
        <v>2479.6528692355009</v>
      </c>
      <c r="H408" s="247">
        <f t="shared" si="338"/>
        <v>2472.5182581356707</v>
      </c>
      <c r="I408" s="247">
        <f t="shared" si="338"/>
        <v>2470.527826575008</v>
      </c>
      <c r="J408" s="247">
        <f t="shared" si="338"/>
        <v>2470.527826575008</v>
      </c>
      <c r="K408" s="247">
        <f t="shared" si="338"/>
        <v>2470.527826575008</v>
      </c>
      <c r="L408" s="247">
        <f t="shared" si="338"/>
        <v>2470.527826575008</v>
      </c>
      <c r="M408" s="247">
        <f t="shared" si="338"/>
        <v>2470.527826575008</v>
      </c>
      <c r="N408" s="247">
        <f t="shared" si="338"/>
        <v>2478.7296210238997</v>
      </c>
      <c r="O408" s="247">
        <f t="shared" si="338"/>
        <v>2480.0722801484139</v>
      </c>
      <c r="P408" s="247">
        <f t="shared" si="338"/>
        <v>2480.76336828085</v>
      </c>
      <c r="Q408" s="247">
        <f t="shared" si="338"/>
        <v>2480.8694658775603</v>
      </c>
      <c r="R408" s="247">
        <f t="shared" si="338"/>
        <v>2480.8404715653328</v>
      </c>
      <c r="S408" s="157"/>
      <c r="T408" s="158"/>
      <c r="AA408" s="166"/>
    </row>
    <row r="409" spans="1:27" s="155" customFormat="1" ht="19.2" x14ac:dyDescent="0.5">
      <c r="A409" s="256"/>
      <c r="B409" s="191" t="s">
        <v>145</v>
      </c>
      <c r="C409" s="191"/>
      <c r="D409" s="192"/>
      <c r="E409" s="183" t="s">
        <v>2</v>
      </c>
      <c r="F409" s="247">
        <f t="shared" ref="F409:R409" si="339">+F408-F387</f>
        <v>2470.4514158261836</v>
      </c>
      <c r="G409" s="247">
        <f t="shared" si="339"/>
        <v>2479.6369007640465</v>
      </c>
      <c r="H409" s="247">
        <f t="shared" si="339"/>
        <v>2472.4537500449464</v>
      </c>
      <c r="I409" s="247">
        <f t="shared" si="339"/>
        <v>2470.4497767804987</v>
      </c>
      <c r="J409" s="247">
        <f t="shared" si="339"/>
        <v>2470.4497767804987</v>
      </c>
      <c r="K409" s="247">
        <f t="shared" si="339"/>
        <v>2470.4497767804987</v>
      </c>
      <c r="L409" s="247">
        <f t="shared" si="339"/>
        <v>2470.4497767804987</v>
      </c>
      <c r="M409" s="247">
        <f t="shared" si="339"/>
        <v>2470.4497767804987</v>
      </c>
      <c r="N409" s="247">
        <f t="shared" si="339"/>
        <v>2478.7073713247714</v>
      </c>
      <c r="O409" s="247">
        <f t="shared" si="339"/>
        <v>2480.0591650975239</v>
      </c>
      <c r="P409" s="247">
        <f t="shared" si="339"/>
        <v>2480.7549549795522</v>
      </c>
      <c r="Q409" s="247">
        <f t="shared" si="339"/>
        <v>2480.8617744007429</v>
      </c>
      <c r="R409" s="247">
        <f t="shared" si="339"/>
        <v>2480.832582828587</v>
      </c>
      <c r="S409" s="157"/>
      <c r="T409" s="158"/>
      <c r="AA409" s="166"/>
    </row>
    <row r="410" spans="1:27" ht="19.2" x14ac:dyDescent="0.5">
      <c r="A410" s="196"/>
      <c r="B410" s="257"/>
      <c r="C410" s="241"/>
      <c r="D410" s="187"/>
      <c r="E410" s="188"/>
      <c r="F410" s="258"/>
      <c r="G410" s="258"/>
      <c r="H410" s="258"/>
      <c r="I410" s="258"/>
      <c r="J410" s="258"/>
      <c r="K410" s="258"/>
      <c r="L410" s="258"/>
      <c r="M410" s="258"/>
      <c r="N410" s="258"/>
      <c r="O410" s="258"/>
      <c r="P410" s="258"/>
      <c r="Q410" s="258"/>
      <c r="R410" s="258"/>
      <c r="S410" s="122"/>
      <c r="T410" s="123"/>
      <c r="AA410" s="121"/>
    </row>
    <row r="411" spans="1:27" ht="19.2" hidden="1" x14ac:dyDescent="0.5">
      <c r="A411" s="156"/>
      <c r="B411" s="186"/>
      <c r="C411" s="186"/>
      <c r="D411" s="187"/>
      <c r="E411" s="188"/>
      <c r="F411" s="234"/>
      <c r="G411" s="234"/>
      <c r="H411" s="234"/>
      <c r="I411" s="234"/>
      <c r="J411" s="234"/>
      <c r="K411" s="234"/>
      <c r="L411" s="234"/>
      <c r="M411" s="234"/>
      <c r="N411" s="234"/>
      <c r="O411" s="234"/>
      <c r="P411" s="234"/>
      <c r="Q411" s="234"/>
      <c r="R411" s="234"/>
    </row>
    <row r="412" spans="1:27" ht="19.2" x14ac:dyDescent="0.5">
      <c r="A412" s="196">
        <v>2.2000000000000002</v>
      </c>
      <c r="B412" s="156" t="s">
        <v>347</v>
      </c>
      <c r="C412" s="241"/>
      <c r="D412" s="187"/>
      <c r="E412" s="188"/>
      <c r="F412" s="233"/>
      <c r="G412" s="233"/>
      <c r="H412" s="233"/>
      <c r="I412" s="233"/>
      <c r="J412" s="233"/>
      <c r="K412" s="233"/>
      <c r="L412" s="233"/>
      <c r="M412" s="233"/>
      <c r="N412" s="233"/>
      <c r="O412" s="233"/>
      <c r="P412" s="233"/>
      <c r="Q412" s="233"/>
      <c r="R412" s="233"/>
    </row>
    <row r="413" spans="1:27" ht="19.2" x14ac:dyDescent="0.5">
      <c r="A413" s="196"/>
      <c r="B413" s="186" t="s">
        <v>348</v>
      </c>
      <c r="C413" s="241"/>
      <c r="D413" s="187" t="s">
        <v>349</v>
      </c>
      <c r="E413" s="188"/>
      <c r="F413" s="189">
        <v>0.3</v>
      </c>
      <c r="G413" s="189">
        <f>+F413</f>
        <v>0.3</v>
      </c>
      <c r="H413" s="189">
        <f t="shared" ref="H413:R414" si="340">+G413</f>
        <v>0.3</v>
      </c>
      <c r="I413" s="189">
        <f t="shared" si="340"/>
        <v>0.3</v>
      </c>
      <c r="J413" s="189">
        <f t="shared" si="340"/>
        <v>0.3</v>
      </c>
      <c r="K413" s="189">
        <f t="shared" si="340"/>
        <v>0.3</v>
      </c>
      <c r="L413" s="189">
        <f t="shared" si="340"/>
        <v>0.3</v>
      </c>
      <c r="M413" s="189">
        <f t="shared" si="340"/>
        <v>0.3</v>
      </c>
      <c r="N413" s="189">
        <f t="shared" si="340"/>
        <v>0.3</v>
      </c>
      <c r="O413" s="189">
        <f t="shared" si="340"/>
        <v>0.3</v>
      </c>
      <c r="P413" s="189">
        <f t="shared" si="340"/>
        <v>0.3</v>
      </c>
      <c r="Q413" s="189">
        <f t="shared" si="340"/>
        <v>0.3</v>
      </c>
      <c r="R413" s="189">
        <f t="shared" si="340"/>
        <v>0.3</v>
      </c>
    </row>
    <row r="414" spans="1:27" ht="19.2" x14ac:dyDescent="0.5">
      <c r="A414" s="196"/>
      <c r="B414" s="186" t="s">
        <v>350</v>
      </c>
      <c r="C414" s="241"/>
      <c r="D414" s="187" t="s">
        <v>351</v>
      </c>
      <c r="E414" s="188" t="s">
        <v>4</v>
      </c>
      <c r="F414" s="189">
        <v>2</v>
      </c>
      <c r="G414" s="189">
        <f>+F414</f>
        <v>2</v>
      </c>
      <c r="H414" s="189">
        <f t="shared" si="340"/>
        <v>2</v>
      </c>
      <c r="I414" s="189">
        <f t="shared" si="340"/>
        <v>2</v>
      </c>
      <c r="J414" s="189">
        <f t="shared" si="340"/>
        <v>2</v>
      </c>
      <c r="K414" s="189">
        <f t="shared" si="340"/>
        <v>2</v>
      </c>
      <c r="L414" s="189">
        <v>2</v>
      </c>
      <c r="M414" s="189">
        <f t="shared" si="340"/>
        <v>2</v>
      </c>
      <c r="N414" s="189">
        <f t="shared" si="340"/>
        <v>2</v>
      </c>
      <c r="O414" s="189">
        <f t="shared" si="340"/>
        <v>2</v>
      </c>
      <c r="P414" s="189">
        <f t="shared" si="340"/>
        <v>2</v>
      </c>
      <c r="Q414" s="189">
        <f t="shared" si="340"/>
        <v>2</v>
      </c>
      <c r="R414" s="189">
        <f t="shared" si="340"/>
        <v>2</v>
      </c>
    </row>
    <row r="415" spans="1:27" ht="19.2" x14ac:dyDescent="0.5">
      <c r="A415" s="196"/>
      <c r="B415" s="186" t="s">
        <v>352</v>
      </c>
      <c r="C415" s="241"/>
      <c r="D415" s="187" t="s">
        <v>353</v>
      </c>
      <c r="E415" s="188" t="s">
        <v>117</v>
      </c>
      <c r="F415" s="189">
        <f t="shared" ref="F415:R415" si="341">F353/(0.785*F414*F414)</f>
        <v>3.9808917197452227</v>
      </c>
      <c r="G415" s="189">
        <f t="shared" si="341"/>
        <v>1.8006369426751592</v>
      </c>
      <c r="H415" s="189">
        <f t="shared" si="341"/>
        <v>3.6191082802547774</v>
      </c>
      <c r="I415" s="189">
        <f t="shared" si="341"/>
        <v>3.9808917197452227</v>
      </c>
      <c r="J415" s="189">
        <f t="shared" si="341"/>
        <v>3.9808917197452227</v>
      </c>
      <c r="K415" s="189">
        <f t="shared" si="341"/>
        <v>3.9808917197452227</v>
      </c>
      <c r="L415" s="189">
        <f t="shared" si="341"/>
        <v>3.9808917197452227</v>
      </c>
      <c r="M415" s="189">
        <f t="shared" si="341"/>
        <v>3.9808917197452227</v>
      </c>
      <c r="N415" s="189">
        <f t="shared" si="341"/>
        <v>2.1254777070063695</v>
      </c>
      <c r="O415" s="189">
        <f t="shared" si="341"/>
        <v>1.6318471337579616</v>
      </c>
      <c r="P415" s="189">
        <f t="shared" si="341"/>
        <v>1.3070063694267515</v>
      </c>
      <c r="Q415" s="189">
        <f t="shared" si="341"/>
        <v>1.2496815286624205</v>
      </c>
      <c r="R415" s="189">
        <f t="shared" si="341"/>
        <v>1.2656050955414013</v>
      </c>
    </row>
    <row r="416" spans="1:27" s="115" customFormat="1" ht="20.399999999999999" x14ac:dyDescent="0.5">
      <c r="A416" s="259"/>
      <c r="B416" s="206" t="s">
        <v>354</v>
      </c>
      <c r="C416" s="241" t="s">
        <v>511</v>
      </c>
      <c r="D416" s="260" t="s">
        <v>305</v>
      </c>
      <c r="E416" s="208" t="s">
        <v>4</v>
      </c>
      <c r="F416" s="261">
        <f>F413*F415*F415/(2*9.81)</f>
        <v>0.24231649670238647</v>
      </c>
      <c r="G416" s="261">
        <f t="shared" ref="G416:R416" si="342">G413*G415*G415/(2*9.81)</f>
        <v>4.9576351671659698E-2</v>
      </c>
      <c r="H416" s="261">
        <f t="shared" si="342"/>
        <v>0.20027438446802279</v>
      </c>
      <c r="I416" s="261">
        <f t="shared" si="342"/>
        <v>0.24231649670238647</v>
      </c>
      <c r="J416" s="261">
        <f t="shared" si="342"/>
        <v>0.24231649670238647</v>
      </c>
      <c r="K416" s="261">
        <f t="shared" si="342"/>
        <v>0.24231649670238647</v>
      </c>
      <c r="L416" s="261">
        <f t="shared" si="342"/>
        <v>0.24231649670238647</v>
      </c>
      <c r="M416" s="261">
        <f t="shared" si="342"/>
        <v>0.24231649670238647</v>
      </c>
      <c r="N416" s="261">
        <f t="shared" si="342"/>
        <v>6.9077300963013052E-2</v>
      </c>
      <c r="O416" s="261">
        <f t="shared" si="342"/>
        <v>4.0717508684313064E-2</v>
      </c>
      <c r="P416" s="261">
        <f t="shared" si="342"/>
        <v>2.6120269873426572E-2</v>
      </c>
      <c r="Q416" s="261">
        <f t="shared" si="342"/>
        <v>2.3879264878899759E-2</v>
      </c>
      <c r="R416" s="261">
        <f t="shared" si="342"/>
        <v>2.4491685900005496E-2</v>
      </c>
      <c r="S416" s="130" t="e">
        <f>#REF!-F416</f>
        <v>#REF!</v>
      </c>
      <c r="T416" s="125" t="e">
        <f>S416-#REF!</f>
        <v>#REF!</v>
      </c>
    </row>
    <row r="417" spans="1:20" s="115" customFormat="1" ht="19.2" x14ac:dyDescent="0.5">
      <c r="A417" s="259"/>
      <c r="B417" s="206"/>
      <c r="C417" s="241"/>
      <c r="D417" s="207"/>
      <c r="E417" s="208"/>
      <c r="F417" s="262"/>
      <c r="G417" s="262"/>
      <c r="H417" s="262"/>
      <c r="I417" s="262"/>
      <c r="J417" s="262"/>
      <c r="K417" s="262"/>
      <c r="L417" s="262"/>
      <c r="M417" s="262"/>
      <c r="N417" s="262"/>
      <c r="O417" s="262"/>
      <c r="P417" s="262"/>
      <c r="Q417" s="262"/>
      <c r="R417" s="262"/>
      <c r="S417" s="116"/>
    </row>
    <row r="418" spans="1:20" s="169" customFormat="1" ht="19.2" x14ac:dyDescent="0.5">
      <c r="A418" s="263"/>
      <c r="B418" s="201" t="str">
        <f>B416</f>
        <v xml:space="preserve">Loss due to contraction </v>
      </c>
      <c r="C418" s="253"/>
      <c r="D418" s="202"/>
      <c r="E418" s="203" t="s">
        <v>4</v>
      </c>
      <c r="F418" s="264">
        <f>F416</f>
        <v>0.24231649670238647</v>
      </c>
      <c r="G418" s="264">
        <f t="shared" ref="G418:R418" si="343">G416</f>
        <v>4.9576351671659698E-2</v>
      </c>
      <c r="H418" s="264">
        <f t="shared" si="343"/>
        <v>0.20027438446802279</v>
      </c>
      <c r="I418" s="264">
        <f t="shared" si="343"/>
        <v>0.24231649670238647</v>
      </c>
      <c r="J418" s="264">
        <f t="shared" si="343"/>
        <v>0.24231649670238647</v>
      </c>
      <c r="K418" s="264">
        <f t="shared" si="343"/>
        <v>0.24231649670238647</v>
      </c>
      <c r="L418" s="264">
        <f t="shared" si="343"/>
        <v>0.24231649670238647</v>
      </c>
      <c r="M418" s="264">
        <f t="shared" si="343"/>
        <v>0.24231649670238647</v>
      </c>
      <c r="N418" s="264">
        <f t="shared" si="343"/>
        <v>6.9077300963013052E-2</v>
      </c>
      <c r="O418" s="264">
        <f t="shared" si="343"/>
        <v>4.0717508684313064E-2</v>
      </c>
      <c r="P418" s="264">
        <f t="shared" si="343"/>
        <v>2.6120269873426572E-2</v>
      </c>
      <c r="Q418" s="264">
        <f t="shared" si="343"/>
        <v>2.3879264878899759E-2</v>
      </c>
      <c r="R418" s="264">
        <f t="shared" si="343"/>
        <v>2.4491685900005496E-2</v>
      </c>
      <c r="S418" s="181"/>
    </row>
    <row r="419" spans="1:20" s="115" customFormat="1" ht="19.2" x14ac:dyDescent="0.5">
      <c r="A419" s="259"/>
      <c r="B419" s="206" t="s">
        <v>355</v>
      </c>
      <c r="C419" s="206"/>
      <c r="D419" s="207" t="s">
        <v>356</v>
      </c>
      <c r="E419" s="208" t="s">
        <v>4</v>
      </c>
      <c r="F419" s="198">
        <f t="shared" ref="F419:R419" si="344">F365^2/(2*9.81)</f>
        <v>0.11675923676805794</v>
      </c>
      <c r="G419" s="198">
        <f t="shared" si="344"/>
        <v>2.3888167176819419E-2</v>
      </c>
      <c r="H419" s="198">
        <f t="shared" si="344"/>
        <v>9.6501412792374036E-2</v>
      </c>
      <c r="I419" s="198">
        <f t="shared" si="344"/>
        <v>0.11675923676805794</v>
      </c>
      <c r="J419" s="198">
        <f t="shared" si="344"/>
        <v>0.11675923676805794</v>
      </c>
      <c r="K419" s="198">
        <f t="shared" si="344"/>
        <v>0.11675923676805794</v>
      </c>
      <c r="L419" s="198">
        <f t="shared" si="344"/>
        <v>0.11675923676805794</v>
      </c>
      <c r="M419" s="198">
        <f t="shared" si="344"/>
        <v>0.11675923676805794</v>
      </c>
      <c r="N419" s="198">
        <f t="shared" si="344"/>
        <v>3.3284621757901985E-2</v>
      </c>
      <c r="O419" s="198">
        <f t="shared" si="344"/>
        <v>1.9619569042037665E-2</v>
      </c>
      <c r="P419" s="198">
        <f t="shared" si="344"/>
        <v>1.2585947783582943E-2</v>
      </c>
      <c r="Q419" s="198">
        <f t="shared" si="344"/>
        <v>1.1506128471587333E-2</v>
      </c>
      <c r="R419" s="198">
        <f t="shared" si="344"/>
        <v>1.1801221096225448E-2</v>
      </c>
      <c r="S419" s="116"/>
    </row>
    <row r="420" spans="1:20" s="115" customFormat="1" ht="19.2" x14ac:dyDescent="0.5">
      <c r="A420" s="259"/>
      <c r="B420" s="206"/>
      <c r="C420" s="206"/>
      <c r="D420" s="207"/>
      <c r="E420" s="208"/>
      <c r="F420" s="198"/>
      <c r="G420" s="198"/>
      <c r="H420" s="198"/>
      <c r="I420" s="198"/>
      <c r="J420" s="198"/>
      <c r="K420" s="198"/>
      <c r="L420" s="198"/>
      <c r="M420" s="198"/>
      <c r="N420" s="198"/>
      <c r="O420" s="198"/>
      <c r="P420" s="198"/>
      <c r="Q420" s="198"/>
      <c r="R420" s="198"/>
      <c r="S420" s="116"/>
    </row>
    <row r="421" spans="1:20" s="115" customFormat="1" ht="19.2" hidden="1" x14ac:dyDescent="0.5">
      <c r="A421" s="259"/>
      <c r="B421" s="206" t="s">
        <v>357</v>
      </c>
      <c r="C421" s="206"/>
      <c r="D421" s="207"/>
      <c r="E421" s="208"/>
      <c r="F421" s="261">
        <f>F418/F419</f>
        <v>2.0753518386193965</v>
      </c>
      <c r="G421" s="261">
        <f t="shared" ref="G421:R421" si="345">G418/G419</f>
        <v>2.0753518386193965</v>
      </c>
      <c r="H421" s="261">
        <f t="shared" si="345"/>
        <v>2.0753518386193961</v>
      </c>
      <c r="I421" s="261">
        <f t="shared" si="345"/>
        <v>2.0753518386193965</v>
      </c>
      <c r="J421" s="261">
        <f t="shared" si="345"/>
        <v>2.0753518386193965</v>
      </c>
      <c r="K421" s="261">
        <f t="shared" si="345"/>
        <v>2.0753518386193965</v>
      </c>
      <c r="L421" s="261">
        <f t="shared" si="345"/>
        <v>2.0753518386193965</v>
      </c>
      <c r="M421" s="261">
        <f t="shared" si="345"/>
        <v>2.0753518386193965</v>
      </c>
      <c r="N421" s="261">
        <f t="shared" si="345"/>
        <v>2.0753518386193965</v>
      </c>
      <c r="O421" s="261">
        <f t="shared" si="345"/>
        <v>2.0753518386193965</v>
      </c>
      <c r="P421" s="261">
        <f t="shared" si="345"/>
        <v>2.0753518386193961</v>
      </c>
      <c r="Q421" s="261">
        <f t="shared" si="345"/>
        <v>2.0753518386193965</v>
      </c>
      <c r="R421" s="261">
        <f t="shared" si="345"/>
        <v>2.0753518386193965</v>
      </c>
      <c r="S421" s="116"/>
    </row>
    <row r="422" spans="1:20" s="115" customFormat="1" ht="19.2" x14ac:dyDescent="0.5">
      <c r="A422" s="259"/>
      <c r="B422" s="206"/>
      <c r="C422" s="241"/>
      <c r="D422" s="207"/>
      <c r="E422" s="208"/>
      <c r="F422" s="261"/>
      <c r="G422" s="261"/>
      <c r="H422" s="261"/>
      <c r="I422" s="261"/>
      <c r="J422" s="261"/>
      <c r="K422" s="261"/>
      <c r="L422" s="261"/>
      <c r="M422" s="261"/>
      <c r="N422" s="261"/>
      <c r="O422" s="261"/>
      <c r="P422" s="261"/>
      <c r="Q422" s="261"/>
      <c r="R422" s="261"/>
      <c r="S422" s="116"/>
    </row>
    <row r="423" spans="1:20" s="115" customFormat="1" ht="19.2" x14ac:dyDescent="0.5">
      <c r="A423" s="248">
        <v>2.2999999999999998</v>
      </c>
      <c r="B423" s="248" t="s">
        <v>358</v>
      </c>
      <c r="C423" s="206"/>
      <c r="D423" s="260"/>
      <c r="E423" s="265"/>
      <c r="F423" s="261"/>
      <c r="G423" s="261"/>
      <c r="H423" s="261"/>
      <c r="I423" s="261"/>
      <c r="J423" s="261"/>
      <c r="K423" s="261"/>
      <c r="L423" s="261"/>
      <c r="M423" s="261"/>
      <c r="N423" s="261"/>
      <c r="O423" s="261"/>
      <c r="P423" s="261"/>
      <c r="Q423" s="261"/>
      <c r="R423" s="261"/>
      <c r="S423" s="116"/>
    </row>
    <row r="424" spans="1:20" s="115" customFormat="1" ht="19.2" x14ac:dyDescent="0.5">
      <c r="A424" s="259"/>
      <c r="B424" s="206" t="s">
        <v>165</v>
      </c>
      <c r="C424" s="206"/>
      <c r="D424" s="207" t="s">
        <v>219</v>
      </c>
      <c r="E424" s="207" t="s">
        <v>289</v>
      </c>
      <c r="F424" s="266">
        <f t="shared" ref="F424:R424" si="346">F353</f>
        <v>12.5</v>
      </c>
      <c r="G424" s="266">
        <f t="shared" si="346"/>
        <v>5.6539999999999999</v>
      </c>
      <c r="H424" s="266">
        <f t="shared" si="346"/>
        <v>11.364000000000001</v>
      </c>
      <c r="I424" s="266">
        <f t="shared" si="346"/>
        <v>12.5</v>
      </c>
      <c r="J424" s="266">
        <f t="shared" si="346"/>
        <v>12.5</v>
      </c>
      <c r="K424" s="266">
        <f t="shared" si="346"/>
        <v>12.5</v>
      </c>
      <c r="L424" s="266">
        <f t="shared" si="346"/>
        <v>12.5</v>
      </c>
      <c r="M424" s="266">
        <f t="shared" si="346"/>
        <v>12.5</v>
      </c>
      <c r="N424" s="266">
        <f t="shared" si="346"/>
        <v>6.6740000000000004</v>
      </c>
      <c r="O424" s="266">
        <f t="shared" si="346"/>
        <v>5.1239999999999997</v>
      </c>
      <c r="P424" s="266">
        <f t="shared" si="346"/>
        <v>4.1040000000000001</v>
      </c>
      <c r="Q424" s="266">
        <f t="shared" si="346"/>
        <v>3.9240000000000004</v>
      </c>
      <c r="R424" s="266">
        <f t="shared" si="346"/>
        <v>3.9740000000000002</v>
      </c>
      <c r="S424" s="116"/>
    </row>
    <row r="425" spans="1:20" s="115" customFormat="1" ht="19.2" x14ac:dyDescent="0.5">
      <c r="A425" s="259"/>
      <c r="B425" s="206" t="s">
        <v>359</v>
      </c>
      <c r="C425" s="206"/>
      <c r="D425" s="207" t="s">
        <v>360</v>
      </c>
      <c r="E425" s="207" t="s">
        <v>4</v>
      </c>
      <c r="F425" s="266">
        <v>2</v>
      </c>
      <c r="G425" s="266">
        <f>+F425</f>
        <v>2</v>
      </c>
      <c r="H425" s="266">
        <f t="shared" ref="H425:R425" si="347">+G425</f>
        <v>2</v>
      </c>
      <c r="I425" s="266">
        <f t="shared" si="347"/>
        <v>2</v>
      </c>
      <c r="J425" s="266">
        <f t="shared" si="347"/>
        <v>2</v>
      </c>
      <c r="K425" s="266">
        <f t="shared" si="347"/>
        <v>2</v>
      </c>
      <c r="L425" s="266">
        <f t="shared" si="347"/>
        <v>2</v>
      </c>
      <c r="M425" s="266">
        <f t="shared" si="347"/>
        <v>2</v>
      </c>
      <c r="N425" s="266">
        <f t="shared" si="347"/>
        <v>2</v>
      </c>
      <c r="O425" s="266">
        <f t="shared" si="347"/>
        <v>2</v>
      </c>
      <c r="P425" s="266">
        <f t="shared" si="347"/>
        <v>2</v>
      </c>
      <c r="Q425" s="266">
        <f t="shared" si="347"/>
        <v>2</v>
      </c>
      <c r="R425" s="266">
        <f t="shared" si="347"/>
        <v>2</v>
      </c>
      <c r="S425" s="116"/>
    </row>
    <row r="426" spans="1:20" s="115" customFormat="1" ht="19.2" x14ac:dyDescent="0.5">
      <c r="A426" s="259"/>
      <c r="B426" s="206" t="s">
        <v>209</v>
      </c>
      <c r="C426" s="206"/>
      <c r="D426" s="207" t="s">
        <v>361</v>
      </c>
      <c r="E426" s="207" t="s">
        <v>114</v>
      </c>
      <c r="F426" s="266">
        <f>PI()*F425^2/4</f>
        <v>3.1415926535897931</v>
      </c>
      <c r="G426" s="266">
        <f t="shared" ref="G426:R426" si="348">PI()*G425^2/4</f>
        <v>3.1415926535897931</v>
      </c>
      <c r="H426" s="266">
        <f t="shared" si="348"/>
        <v>3.1415926535897931</v>
      </c>
      <c r="I426" s="266">
        <f t="shared" si="348"/>
        <v>3.1415926535897931</v>
      </c>
      <c r="J426" s="266">
        <f t="shared" si="348"/>
        <v>3.1415926535897931</v>
      </c>
      <c r="K426" s="266">
        <f t="shared" si="348"/>
        <v>3.1415926535897931</v>
      </c>
      <c r="L426" s="266">
        <f t="shared" si="348"/>
        <v>3.1415926535897931</v>
      </c>
      <c r="M426" s="266">
        <f t="shared" si="348"/>
        <v>3.1415926535897931</v>
      </c>
      <c r="N426" s="266">
        <f t="shared" si="348"/>
        <v>3.1415926535897931</v>
      </c>
      <c r="O426" s="266">
        <f t="shared" si="348"/>
        <v>3.1415926535897931</v>
      </c>
      <c r="P426" s="266">
        <f t="shared" si="348"/>
        <v>3.1415926535897931</v>
      </c>
      <c r="Q426" s="266">
        <f t="shared" si="348"/>
        <v>3.1415926535897931</v>
      </c>
      <c r="R426" s="266">
        <f t="shared" si="348"/>
        <v>3.1415926535897931</v>
      </c>
      <c r="S426" s="116"/>
    </row>
    <row r="427" spans="1:20" s="115" customFormat="1" ht="19.2" x14ac:dyDescent="0.5">
      <c r="A427" s="259"/>
      <c r="B427" s="206" t="s">
        <v>154</v>
      </c>
      <c r="C427" s="206"/>
      <c r="D427" s="207" t="s">
        <v>362</v>
      </c>
      <c r="E427" s="207" t="s">
        <v>117</v>
      </c>
      <c r="F427" s="266">
        <f>F424/F426</f>
        <v>3.9788735772973833</v>
      </c>
      <c r="G427" s="266">
        <f t="shared" ref="G427:R427" si="349">G424/G426</f>
        <v>1.7997240964831525</v>
      </c>
      <c r="H427" s="266">
        <f t="shared" si="349"/>
        <v>3.6172735465925974</v>
      </c>
      <c r="I427" s="266">
        <f t="shared" si="349"/>
        <v>3.9788735772973833</v>
      </c>
      <c r="J427" s="266">
        <f t="shared" si="349"/>
        <v>3.9788735772973833</v>
      </c>
      <c r="K427" s="266">
        <f t="shared" si="349"/>
        <v>3.9788735772973833</v>
      </c>
      <c r="L427" s="266">
        <f t="shared" si="349"/>
        <v>3.9788735772973833</v>
      </c>
      <c r="M427" s="266">
        <f t="shared" si="349"/>
        <v>3.9788735772973833</v>
      </c>
      <c r="N427" s="266">
        <f t="shared" si="349"/>
        <v>2.124400180390619</v>
      </c>
      <c r="O427" s="266">
        <f t="shared" si="349"/>
        <v>1.6310198568057435</v>
      </c>
      <c r="P427" s="266">
        <f t="shared" si="349"/>
        <v>1.306343772898277</v>
      </c>
      <c r="Q427" s="266">
        <f t="shared" si="349"/>
        <v>1.2490479933851948</v>
      </c>
      <c r="R427" s="266">
        <f t="shared" si="349"/>
        <v>1.2649634876943843</v>
      </c>
      <c r="S427" s="116"/>
    </row>
    <row r="428" spans="1:20" s="115" customFormat="1" ht="20.399999999999999" x14ac:dyDescent="0.5">
      <c r="A428" s="259"/>
      <c r="B428" s="206" t="s">
        <v>198</v>
      </c>
      <c r="C428" s="206"/>
      <c r="D428" s="207" t="s">
        <v>512</v>
      </c>
      <c r="E428" s="207"/>
      <c r="F428" s="266">
        <f>F427*F427/(2*9.81)</f>
        <v>0.80690290235042184</v>
      </c>
      <c r="G428" s="266">
        <f t="shared" ref="G428:R428" si="350">G427*G427/(2*9.81)</f>
        <v>0.16508699406024971</v>
      </c>
      <c r="H428" s="266">
        <f t="shared" si="350"/>
        <v>0.66690458261358754</v>
      </c>
      <c r="I428" s="266">
        <f t="shared" si="350"/>
        <v>0.80690290235042184</v>
      </c>
      <c r="J428" s="266">
        <f t="shared" si="350"/>
        <v>0.80690290235042184</v>
      </c>
      <c r="K428" s="266">
        <f t="shared" si="350"/>
        <v>0.80690290235042184</v>
      </c>
      <c r="L428" s="266">
        <f t="shared" si="350"/>
        <v>0.80690290235042184</v>
      </c>
      <c r="M428" s="266">
        <f t="shared" si="350"/>
        <v>0.80690290235042184</v>
      </c>
      <c r="N428" s="266">
        <f t="shared" si="350"/>
        <v>0.23002426740283866</v>
      </c>
      <c r="O428" s="266">
        <f t="shared" si="350"/>
        <v>0.13558745021889029</v>
      </c>
      <c r="P428" s="266">
        <f t="shared" si="350"/>
        <v>8.6979309530586385E-2</v>
      </c>
      <c r="Q428" s="266">
        <f t="shared" si="350"/>
        <v>7.9516864922506703E-2</v>
      </c>
      <c r="R428" s="266">
        <f t="shared" si="350"/>
        <v>8.1556199041791053E-2</v>
      </c>
      <c r="S428" s="116"/>
    </row>
    <row r="429" spans="1:20" s="115" customFormat="1" ht="19.2" x14ac:dyDescent="0.5">
      <c r="A429" s="259"/>
      <c r="B429" s="206" t="s">
        <v>363</v>
      </c>
      <c r="C429" s="206"/>
      <c r="D429" s="207" t="s">
        <v>364</v>
      </c>
      <c r="E429" s="207"/>
      <c r="F429" s="266">
        <v>0.5</v>
      </c>
      <c r="G429" s="266">
        <f>+F429</f>
        <v>0.5</v>
      </c>
      <c r="H429" s="266">
        <f t="shared" ref="H429:R429" si="351">+G429</f>
        <v>0.5</v>
      </c>
      <c r="I429" s="266">
        <f t="shared" si="351"/>
        <v>0.5</v>
      </c>
      <c r="J429" s="266">
        <f t="shared" si="351"/>
        <v>0.5</v>
      </c>
      <c r="K429" s="266">
        <f t="shared" si="351"/>
        <v>0.5</v>
      </c>
      <c r="L429" s="266">
        <f t="shared" si="351"/>
        <v>0.5</v>
      </c>
      <c r="M429" s="266">
        <f t="shared" si="351"/>
        <v>0.5</v>
      </c>
      <c r="N429" s="266">
        <f t="shared" si="351"/>
        <v>0.5</v>
      </c>
      <c r="O429" s="266">
        <f t="shared" si="351"/>
        <v>0.5</v>
      </c>
      <c r="P429" s="266">
        <f t="shared" si="351"/>
        <v>0.5</v>
      </c>
      <c r="Q429" s="266">
        <f t="shared" si="351"/>
        <v>0.5</v>
      </c>
      <c r="R429" s="266">
        <f t="shared" si="351"/>
        <v>0.5</v>
      </c>
      <c r="S429" s="116"/>
    </row>
    <row r="430" spans="1:20" s="169" customFormat="1" ht="19.2" x14ac:dyDescent="0.5">
      <c r="A430" s="263"/>
      <c r="B430" s="267" t="s">
        <v>365</v>
      </c>
      <c r="C430" s="201"/>
      <c r="D430" s="201"/>
      <c r="E430" s="202" t="s">
        <v>4</v>
      </c>
      <c r="F430" s="264">
        <f>F429*F428</f>
        <v>0.40345145117521092</v>
      </c>
      <c r="G430" s="264">
        <f t="shared" ref="G430:R430" si="352">G429*G428</f>
        <v>8.2543497030124854E-2</v>
      </c>
      <c r="H430" s="264">
        <f t="shared" si="352"/>
        <v>0.33345229130679377</v>
      </c>
      <c r="I430" s="264">
        <f t="shared" si="352"/>
        <v>0.40345145117521092</v>
      </c>
      <c r="J430" s="264">
        <f t="shared" si="352"/>
        <v>0.40345145117521092</v>
      </c>
      <c r="K430" s="264">
        <f t="shared" si="352"/>
        <v>0.40345145117521092</v>
      </c>
      <c r="L430" s="264">
        <f t="shared" si="352"/>
        <v>0.40345145117521092</v>
      </c>
      <c r="M430" s="264">
        <f t="shared" si="352"/>
        <v>0.40345145117521092</v>
      </c>
      <c r="N430" s="264">
        <f t="shared" si="352"/>
        <v>0.11501213370141933</v>
      </c>
      <c r="O430" s="264">
        <f t="shared" si="352"/>
        <v>6.7793725109445147E-2</v>
      </c>
      <c r="P430" s="264">
        <f t="shared" si="352"/>
        <v>4.3489654765293193E-2</v>
      </c>
      <c r="Q430" s="264">
        <f t="shared" si="352"/>
        <v>3.9758432461253351E-2</v>
      </c>
      <c r="R430" s="264">
        <f t="shared" si="352"/>
        <v>4.0778099520895526E-2</v>
      </c>
      <c r="S430" s="167" t="e">
        <f>S416-F430</f>
        <v>#REF!</v>
      </c>
      <c r="T430" s="168" t="e">
        <f>S430-F428</f>
        <v>#REF!</v>
      </c>
    </row>
    <row r="431" spans="1:20" ht="19.2" x14ac:dyDescent="0.5">
      <c r="A431" s="196"/>
      <c r="B431" s="156"/>
      <c r="C431" s="186"/>
      <c r="D431" s="186"/>
      <c r="E431" s="187"/>
      <c r="F431" s="233"/>
      <c r="G431" s="233"/>
      <c r="H431" s="233"/>
      <c r="I431" s="233"/>
      <c r="J431" s="233"/>
      <c r="K431" s="233"/>
      <c r="L431" s="233"/>
      <c r="M431" s="233"/>
      <c r="N431" s="233"/>
      <c r="O431" s="233"/>
      <c r="P431" s="233"/>
      <c r="Q431" s="233"/>
      <c r="R431" s="233"/>
      <c r="S431" s="122"/>
      <c r="T431" s="123"/>
    </row>
    <row r="432" spans="1:20" s="172" customFormat="1" ht="19.2" x14ac:dyDescent="0.5">
      <c r="A432" s="242"/>
      <c r="B432" s="251" t="s">
        <v>366</v>
      </c>
      <c r="C432" s="210"/>
      <c r="D432" s="210"/>
      <c r="E432" s="211" t="s">
        <v>4</v>
      </c>
      <c r="F432" s="244">
        <f>F430+F416</f>
        <v>0.64576794787759739</v>
      </c>
      <c r="G432" s="244">
        <f t="shared" ref="G432:R432" si="353">G430+G416</f>
        <v>0.13211984870178456</v>
      </c>
      <c r="H432" s="244">
        <f t="shared" si="353"/>
        <v>0.53372667577481658</v>
      </c>
      <c r="I432" s="244">
        <f t="shared" si="353"/>
        <v>0.64576794787759739</v>
      </c>
      <c r="J432" s="244">
        <f t="shared" si="353"/>
        <v>0.64576794787759739</v>
      </c>
      <c r="K432" s="244">
        <f t="shared" si="353"/>
        <v>0.64576794787759739</v>
      </c>
      <c r="L432" s="244">
        <f t="shared" si="353"/>
        <v>0.64576794787759739</v>
      </c>
      <c r="M432" s="244">
        <f t="shared" si="353"/>
        <v>0.64576794787759739</v>
      </c>
      <c r="N432" s="244">
        <f t="shared" si="353"/>
        <v>0.18408943466443239</v>
      </c>
      <c r="O432" s="244">
        <f t="shared" si="353"/>
        <v>0.10851123379375821</v>
      </c>
      <c r="P432" s="244">
        <f t="shared" si="353"/>
        <v>6.9609924638719761E-2</v>
      </c>
      <c r="Q432" s="244">
        <f t="shared" si="353"/>
        <v>6.3637697340153107E-2</v>
      </c>
      <c r="R432" s="244">
        <f t="shared" si="353"/>
        <v>6.5269785420901019E-2</v>
      </c>
      <c r="S432" s="173"/>
      <c r="T432" s="174"/>
    </row>
    <row r="433" spans="1:27" s="155" customFormat="1" ht="19.2" x14ac:dyDescent="0.5">
      <c r="A433" s="256"/>
      <c r="B433" s="191" t="s">
        <v>226</v>
      </c>
      <c r="C433" s="191"/>
      <c r="D433" s="192"/>
      <c r="E433" s="183" t="s">
        <v>2</v>
      </c>
      <c r="F433" s="247">
        <f>F408-F432</f>
        <v>2469.8836976728153</v>
      </c>
      <c r="G433" s="247">
        <f t="shared" ref="G433:R433" si="354">G408-G432</f>
        <v>2479.5207493867993</v>
      </c>
      <c r="H433" s="247">
        <f t="shared" si="354"/>
        <v>2471.9845314598961</v>
      </c>
      <c r="I433" s="247">
        <f t="shared" si="354"/>
        <v>2469.8820586271304</v>
      </c>
      <c r="J433" s="247">
        <f t="shared" si="354"/>
        <v>2469.8820586271304</v>
      </c>
      <c r="K433" s="247">
        <f t="shared" si="354"/>
        <v>2469.8820586271304</v>
      </c>
      <c r="L433" s="247">
        <f t="shared" si="354"/>
        <v>2469.8820586271304</v>
      </c>
      <c r="M433" s="247">
        <f t="shared" si="354"/>
        <v>2469.8820586271304</v>
      </c>
      <c r="N433" s="247">
        <f t="shared" si="354"/>
        <v>2478.545531589235</v>
      </c>
      <c r="O433" s="247">
        <f t="shared" si="354"/>
        <v>2479.9637689146202</v>
      </c>
      <c r="P433" s="247">
        <f t="shared" si="354"/>
        <v>2480.6937583562112</v>
      </c>
      <c r="Q433" s="247">
        <f t="shared" si="354"/>
        <v>2480.80582818022</v>
      </c>
      <c r="R433" s="247">
        <f t="shared" si="354"/>
        <v>2480.7752017799121</v>
      </c>
      <c r="S433" s="157"/>
      <c r="T433" s="158"/>
      <c r="AA433" s="166"/>
    </row>
    <row r="434" spans="1:27" s="155" customFormat="1" ht="19.2" x14ac:dyDescent="0.5">
      <c r="A434" s="256"/>
      <c r="B434" s="191" t="s">
        <v>145</v>
      </c>
      <c r="C434" s="191"/>
      <c r="D434" s="192"/>
      <c r="E434" s="183" t="s">
        <v>2</v>
      </c>
      <c r="F434" s="247">
        <f>+F433-F428</f>
        <v>2469.0767947704649</v>
      </c>
      <c r="G434" s="247">
        <f t="shared" ref="G434:R434" si="355">+G433-G428</f>
        <v>2479.3556623927389</v>
      </c>
      <c r="H434" s="247">
        <f t="shared" si="355"/>
        <v>2471.3176268772827</v>
      </c>
      <c r="I434" s="247">
        <f t="shared" si="355"/>
        <v>2469.07515572478</v>
      </c>
      <c r="J434" s="247">
        <f t="shared" si="355"/>
        <v>2469.07515572478</v>
      </c>
      <c r="K434" s="247">
        <f t="shared" si="355"/>
        <v>2469.07515572478</v>
      </c>
      <c r="L434" s="247">
        <f t="shared" si="355"/>
        <v>2469.07515572478</v>
      </c>
      <c r="M434" s="247">
        <f t="shared" si="355"/>
        <v>2469.07515572478</v>
      </c>
      <c r="N434" s="247">
        <f t="shared" si="355"/>
        <v>2478.3155073218322</v>
      </c>
      <c r="O434" s="247">
        <f t="shared" si="355"/>
        <v>2479.8281814644015</v>
      </c>
      <c r="P434" s="247">
        <f t="shared" si="355"/>
        <v>2480.6067790466805</v>
      </c>
      <c r="Q434" s="247">
        <f t="shared" si="355"/>
        <v>2480.7263113152976</v>
      </c>
      <c r="R434" s="247">
        <f t="shared" si="355"/>
        <v>2480.6936455808705</v>
      </c>
      <c r="S434" s="157"/>
      <c r="T434" s="158"/>
      <c r="AA434" s="166"/>
    </row>
    <row r="435" spans="1:27" ht="19.2" x14ac:dyDescent="0.5">
      <c r="A435" s="196"/>
      <c r="B435" s="156"/>
      <c r="C435" s="186"/>
      <c r="D435" s="186"/>
      <c r="E435" s="187"/>
      <c r="F435" s="234"/>
      <c r="G435" s="234"/>
      <c r="H435" s="234"/>
      <c r="I435" s="234"/>
      <c r="J435" s="234"/>
      <c r="K435" s="234"/>
      <c r="L435" s="234"/>
      <c r="M435" s="234"/>
      <c r="N435" s="234"/>
      <c r="O435" s="234"/>
      <c r="P435" s="234"/>
      <c r="Q435" s="234"/>
      <c r="R435" s="234"/>
    </row>
    <row r="436" spans="1:27" ht="19.2" x14ac:dyDescent="0.5">
      <c r="A436" s="156">
        <v>2.4</v>
      </c>
      <c r="B436" s="156" t="s">
        <v>367</v>
      </c>
      <c r="C436" s="186"/>
      <c r="D436" s="187"/>
      <c r="E436" s="188"/>
      <c r="F436" s="233"/>
      <c r="G436" s="233"/>
      <c r="H436" s="233"/>
      <c r="I436" s="233"/>
      <c r="J436" s="233"/>
      <c r="K436" s="233"/>
      <c r="L436" s="233"/>
      <c r="M436" s="233"/>
      <c r="N436" s="233"/>
      <c r="O436" s="233"/>
      <c r="P436" s="233"/>
      <c r="Q436" s="233"/>
      <c r="R436" s="233"/>
    </row>
    <row r="437" spans="1:27" ht="19.2" x14ac:dyDescent="0.5">
      <c r="A437" s="196" t="s">
        <v>368</v>
      </c>
      <c r="B437" s="156" t="s">
        <v>369</v>
      </c>
      <c r="C437" s="186"/>
      <c r="D437" s="187"/>
      <c r="E437" s="188"/>
      <c r="F437" s="233"/>
      <c r="G437" s="233"/>
      <c r="H437" s="233"/>
      <c r="I437" s="233"/>
      <c r="J437" s="233"/>
      <c r="K437" s="233"/>
      <c r="L437" s="233"/>
      <c r="M437" s="233"/>
      <c r="N437" s="233"/>
      <c r="O437" s="233"/>
      <c r="P437" s="233"/>
      <c r="Q437" s="233"/>
      <c r="R437" s="233"/>
    </row>
    <row r="438" spans="1:27" ht="20.399999999999999" x14ac:dyDescent="0.5">
      <c r="A438" s="196"/>
      <c r="B438" s="186" t="s">
        <v>218</v>
      </c>
      <c r="C438" s="186"/>
      <c r="D438" s="187" t="s">
        <v>219</v>
      </c>
      <c r="E438" s="188" t="s">
        <v>513</v>
      </c>
      <c r="F438" s="189">
        <f t="shared" ref="F438:R438" si="356">F353</f>
        <v>12.5</v>
      </c>
      <c r="G438" s="189">
        <f t="shared" si="356"/>
        <v>5.6539999999999999</v>
      </c>
      <c r="H438" s="189">
        <f t="shared" si="356"/>
        <v>11.364000000000001</v>
      </c>
      <c r="I438" s="189">
        <f t="shared" si="356"/>
        <v>12.5</v>
      </c>
      <c r="J438" s="189">
        <f t="shared" si="356"/>
        <v>12.5</v>
      </c>
      <c r="K438" s="189">
        <f t="shared" si="356"/>
        <v>12.5</v>
      </c>
      <c r="L438" s="189">
        <f t="shared" si="356"/>
        <v>12.5</v>
      </c>
      <c r="M438" s="189">
        <f t="shared" si="356"/>
        <v>12.5</v>
      </c>
      <c r="N438" s="189">
        <f t="shared" si="356"/>
        <v>6.6740000000000004</v>
      </c>
      <c r="O438" s="189">
        <f t="shared" si="356"/>
        <v>5.1239999999999997</v>
      </c>
      <c r="P438" s="189">
        <f t="shared" si="356"/>
        <v>4.1040000000000001</v>
      </c>
      <c r="Q438" s="189">
        <f t="shared" si="356"/>
        <v>3.9240000000000004</v>
      </c>
      <c r="R438" s="189">
        <f t="shared" si="356"/>
        <v>3.9740000000000002</v>
      </c>
    </row>
    <row r="439" spans="1:27" ht="19.2" x14ac:dyDescent="0.5">
      <c r="A439" s="196"/>
      <c r="B439" s="186" t="s">
        <v>220</v>
      </c>
      <c r="C439" s="186"/>
      <c r="D439" s="187"/>
      <c r="E439" s="188"/>
      <c r="F439" s="189">
        <f>F438</f>
        <v>12.5</v>
      </c>
      <c r="G439" s="189">
        <f t="shared" ref="G439:R439" si="357">G438</f>
        <v>5.6539999999999999</v>
      </c>
      <c r="H439" s="189">
        <f t="shared" si="357"/>
        <v>11.364000000000001</v>
      </c>
      <c r="I439" s="189">
        <f t="shared" si="357"/>
        <v>12.5</v>
      </c>
      <c r="J439" s="189">
        <f t="shared" si="357"/>
        <v>12.5</v>
      </c>
      <c r="K439" s="189">
        <f t="shared" si="357"/>
        <v>12.5</v>
      </c>
      <c r="L439" s="189">
        <f t="shared" si="357"/>
        <v>12.5</v>
      </c>
      <c r="M439" s="189">
        <f t="shared" si="357"/>
        <v>12.5</v>
      </c>
      <c r="N439" s="189">
        <f t="shared" si="357"/>
        <v>6.6740000000000004</v>
      </c>
      <c r="O439" s="189">
        <f t="shared" si="357"/>
        <v>5.1239999999999997</v>
      </c>
      <c r="P439" s="189">
        <f t="shared" si="357"/>
        <v>4.1040000000000001</v>
      </c>
      <c r="Q439" s="189">
        <f t="shared" si="357"/>
        <v>3.9240000000000004</v>
      </c>
      <c r="R439" s="189">
        <f t="shared" si="357"/>
        <v>3.9740000000000002</v>
      </c>
    </row>
    <row r="440" spans="1:27" ht="19.2" x14ac:dyDescent="0.5">
      <c r="A440" s="196"/>
      <c r="B440" s="186" t="s">
        <v>370</v>
      </c>
      <c r="C440" s="186"/>
      <c r="D440" s="187" t="s">
        <v>221</v>
      </c>
      <c r="E440" s="188"/>
      <c r="F440" s="194">
        <v>1.2999999999999999E-2</v>
      </c>
      <c r="G440" s="194">
        <f>+F440</f>
        <v>1.2999999999999999E-2</v>
      </c>
      <c r="H440" s="194">
        <f t="shared" ref="H440:R442" si="358">+G440</f>
        <v>1.2999999999999999E-2</v>
      </c>
      <c r="I440" s="194">
        <f t="shared" si="358"/>
        <v>1.2999999999999999E-2</v>
      </c>
      <c r="J440" s="194">
        <f t="shared" si="358"/>
        <v>1.2999999999999999E-2</v>
      </c>
      <c r="K440" s="194">
        <f t="shared" si="358"/>
        <v>1.2999999999999999E-2</v>
      </c>
      <c r="L440" s="194">
        <f t="shared" si="358"/>
        <v>1.2999999999999999E-2</v>
      </c>
      <c r="M440" s="194">
        <f t="shared" si="358"/>
        <v>1.2999999999999999E-2</v>
      </c>
      <c r="N440" s="194">
        <f t="shared" si="358"/>
        <v>1.2999999999999999E-2</v>
      </c>
      <c r="O440" s="194">
        <f t="shared" si="358"/>
        <v>1.2999999999999999E-2</v>
      </c>
      <c r="P440" s="194">
        <f t="shared" si="358"/>
        <v>1.2999999999999999E-2</v>
      </c>
      <c r="Q440" s="194">
        <f t="shared" si="358"/>
        <v>1.2999999999999999E-2</v>
      </c>
      <c r="R440" s="194">
        <f t="shared" si="358"/>
        <v>1.2999999999999999E-2</v>
      </c>
    </row>
    <row r="441" spans="1:27" s="115" customFormat="1" ht="19.2" x14ac:dyDescent="0.5">
      <c r="A441" s="259"/>
      <c r="B441" s="206" t="s">
        <v>222</v>
      </c>
      <c r="C441" s="206"/>
      <c r="D441" s="207" t="s">
        <v>223</v>
      </c>
      <c r="E441" s="208" t="s">
        <v>4</v>
      </c>
      <c r="F441" s="198">
        <v>1201.175</v>
      </c>
      <c r="G441" s="198">
        <f>+F441</f>
        <v>1201.175</v>
      </c>
      <c r="H441" s="198">
        <f t="shared" si="358"/>
        <v>1201.175</v>
      </c>
      <c r="I441" s="198">
        <f t="shared" si="358"/>
        <v>1201.175</v>
      </c>
      <c r="J441" s="198">
        <f t="shared" si="358"/>
        <v>1201.175</v>
      </c>
      <c r="K441" s="198">
        <f t="shared" si="358"/>
        <v>1201.175</v>
      </c>
      <c r="L441" s="198">
        <f t="shared" si="358"/>
        <v>1201.175</v>
      </c>
      <c r="M441" s="198">
        <f t="shared" si="358"/>
        <v>1201.175</v>
      </c>
      <c r="N441" s="198">
        <f t="shared" si="358"/>
        <v>1201.175</v>
      </c>
      <c r="O441" s="198">
        <f t="shared" si="358"/>
        <v>1201.175</v>
      </c>
      <c r="P441" s="198">
        <f t="shared" si="358"/>
        <v>1201.175</v>
      </c>
      <c r="Q441" s="198">
        <f t="shared" si="358"/>
        <v>1201.175</v>
      </c>
      <c r="R441" s="198">
        <f t="shared" si="358"/>
        <v>1201.175</v>
      </c>
      <c r="S441" s="116"/>
    </row>
    <row r="442" spans="1:27" ht="19.2" x14ac:dyDescent="0.5">
      <c r="A442" s="196"/>
      <c r="B442" s="186" t="s">
        <v>371</v>
      </c>
      <c r="C442" s="186"/>
      <c r="D442" s="187" t="s">
        <v>514</v>
      </c>
      <c r="E442" s="188" t="s">
        <v>4</v>
      </c>
      <c r="F442" s="189">
        <v>2</v>
      </c>
      <c r="G442" s="189">
        <f>+F442</f>
        <v>2</v>
      </c>
      <c r="H442" s="189">
        <f t="shared" si="358"/>
        <v>2</v>
      </c>
      <c r="I442" s="189">
        <f t="shared" si="358"/>
        <v>2</v>
      </c>
      <c r="J442" s="189">
        <f t="shared" si="358"/>
        <v>2</v>
      </c>
      <c r="K442" s="189">
        <f t="shared" si="358"/>
        <v>2</v>
      </c>
      <c r="L442" s="189">
        <f t="shared" si="358"/>
        <v>2</v>
      </c>
      <c r="M442" s="189">
        <f t="shared" si="358"/>
        <v>2</v>
      </c>
      <c r="N442" s="189">
        <f t="shared" si="358"/>
        <v>2</v>
      </c>
      <c r="O442" s="189">
        <f t="shared" si="358"/>
        <v>2</v>
      </c>
      <c r="P442" s="189">
        <f t="shared" si="358"/>
        <v>2</v>
      </c>
      <c r="Q442" s="189">
        <f t="shared" si="358"/>
        <v>2</v>
      </c>
      <c r="R442" s="189">
        <f t="shared" si="358"/>
        <v>2</v>
      </c>
    </row>
    <row r="443" spans="1:27" ht="20.399999999999999" x14ac:dyDescent="0.5">
      <c r="A443" s="196"/>
      <c r="B443" s="186" t="s">
        <v>372</v>
      </c>
      <c r="C443" s="186"/>
      <c r="D443" s="187" t="s">
        <v>515</v>
      </c>
      <c r="E443" s="188" t="s">
        <v>516</v>
      </c>
      <c r="F443" s="189">
        <f>PI()*F442^2/4</f>
        <v>3.1415926535897931</v>
      </c>
      <c r="G443" s="189">
        <f t="shared" ref="G443:R443" si="359">PI()*G442^2/4</f>
        <v>3.1415926535897931</v>
      </c>
      <c r="H443" s="189">
        <f t="shared" si="359"/>
        <v>3.1415926535897931</v>
      </c>
      <c r="I443" s="189">
        <f t="shared" si="359"/>
        <v>3.1415926535897931</v>
      </c>
      <c r="J443" s="189">
        <f t="shared" si="359"/>
        <v>3.1415926535897931</v>
      </c>
      <c r="K443" s="189">
        <f t="shared" si="359"/>
        <v>3.1415926535897931</v>
      </c>
      <c r="L443" s="189">
        <f t="shared" si="359"/>
        <v>3.1415926535897931</v>
      </c>
      <c r="M443" s="189">
        <f t="shared" si="359"/>
        <v>3.1415926535897931</v>
      </c>
      <c r="N443" s="189">
        <f t="shared" si="359"/>
        <v>3.1415926535897931</v>
      </c>
      <c r="O443" s="189">
        <f t="shared" si="359"/>
        <v>3.1415926535897931</v>
      </c>
      <c r="P443" s="189">
        <f t="shared" si="359"/>
        <v>3.1415926535897931</v>
      </c>
      <c r="Q443" s="189">
        <f t="shared" si="359"/>
        <v>3.1415926535897931</v>
      </c>
      <c r="R443" s="189">
        <f t="shared" si="359"/>
        <v>3.1415926535897931</v>
      </c>
    </row>
    <row r="444" spans="1:27" ht="19.2" x14ac:dyDescent="0.5">
      <c r="A444" s="196"/>
      <c r="B444" s="186" t="s">
        <v>224</v>
      </c>
      <c r="C444" s="186"/>
      <c r="D444" s="187" t="s">
        <v>517</v>
      </c>
      <c r="E444" s="188" t="s">
        <v>117</v>
      </c>
      <c r="F444" s="189">
        <f>F439/F443</f>
        <v>3.9788735772973833</v>
      </c>
      <c r="G444" s="189">
        <f t="shared" ref="G444:R444" si="360">G439/G443</f>
        <v>1.7997240964831525</v>
      </c>
      <c r="H444" s="189">
        <f t="shared" si="360"/>
        <v>3.6172735465925974</v>
      </c>
      <c r="I444" s="189">
        <f t="shared" si="360"/>
        <v>3.9788735772973833</v>
      </c>
      <c r="J444" s="189">
        <f t="shared" si="360"/>
        <v>3.9788735772973833</v>
      </c>
      <c r="K444" s="189">
        <f t="shared" si="360"/>
        <v>3.9788735772973833</v>
      </c>
      <c r="L444" s="189">
        <f t="shared" si="360"/>
        <v>3.9788735772973833</v>
      </c>
      <c r="M444" s="189">
        <f t="shared" si="360"/>
        <v>3.9788735772973833</v>
      </c>
      <c r="N444" s="189">
        <f t="shared" si="360"/>
        <v>2.124400180390619</v>
      </c>
      <c r="O444" s="189">
        <f t="shared" si="360"/>
        <v>1.6310198568057435</v>
      </c>
      <c r="P444" s="189">
        <f t="shared" si="360"/>
        <v>1.306343772898277</v>
      </c>
      <c r="Q444" s="189">
        <f t="shared" si="360"/>
        <v>1.2490479933851948</v>
      </c>
      <c r="R444" s="189">
        <f t="shared" si="360"/>
        <v>1.2649634876943843</v>
      </c>
    </row>
    <row r="445" spans="1:27" ht="19.2" x14ac:dyDescent="0.5">
      <c r="A445" s="196"/>
      <c r="B445" s="186" t="s">
        <v>118</v>
      </c>
      <c r="C445" s="186"/>
      <c r="D445" s="187"/>
      <c r="E445" s="188"/>
      <c r="F445" s="189">
        <f>F444^2/(2*9.81)</f>
        <v>0.80690290235042184</v>
      </c>
      <c r="G445" s="189">
        <f t="shared" ref="G445:R445" si="361">G444^2/(2*9.81)</f>
        <v>0.16508699406024971</v>
      </c>
      <c r="H445" s="189">
        <f t="shared" si="361"/>
        <v>0.66690458261358754</v>
      </c>
      <c r="I445" s="189">
        <f t="shared" si="361"/>
        <v>0.80690290235042184</v>
      </c>
      <c r="J445" s="189">
        <f t="shared" si="361"/>
        <v>0.80690290235042184</v>
      </c>
      <c r="K445" s="189">
        <f t="shared" si="361"/>
        <v>0.80690290235042184</v>
      </c>
      <c r="L445" s="189">
        <f t="shared" si="361"/>
        <v>0.80690290235042184</v>
      </c>
      <c r="M445" s="189">
        <f t="shared" si="361"/>
        <v>0.80690290235042184</v>
      </c>
      <c r="N445" s="189">
        <f t="shared" si="361"/>
        <v>0.23002426740283866</v>
      </c>
      <c r="O445" s="189">
        <f t="shared" si="361"/>
        <v>0.13558745021889029</v>
      </c>
      <c r="P445" s="189">
        <f t="shared" si="361"/>
        <v>8.6979309530586385E-2</v>
      </c>
      <c r="Q445" s="189">
        <f t="shared" si="361"/>
        <v>7.9516864922506703E-2</v>
      </c>
      <c r="R445" s="189">
        <f t="shared" si="361"/>
        <v>8.1556199041791053E-2</v>
      </c>
      <c r="S445" s="122"/>
      <c r="T445" s="123"/>
    </row>
    <row r="446" spans="1:27" s="172" customFormat="1" ht="20.399999999999999" x14ac:dyDescent="0.5">
      <c r="A446" s="242"/>
      <c r="B446" s="251" t="s">
        <v>225</v>
      </c>
      <c r="C446" s="210" t="s">
        <v>518</v>
      </c>
      <c r="D446" s="268" t="s">
        <v>519</v>
      </c>
      <c r="E446" s="212" t="s">
        <v>4</v>
      </c>
      <c r="F446" s="252">
        <f>(F440*F441*F444^2)/(2*9.81*F442)</f>
        <v>6.3000053592499912</v>
      </c>
      <c r="G446" s="252">
        <f t="shared" ref="G446:R446" si="362">(G440*G441*G444^2)/(2*9.81*G442)</f>
        <v>1.2889394055870829</v>
      </c>
      <c r="H446" s="252">
        <f t="shared" si="362"/>
        <v>5.2069492281356933</v>
      </c>
      <c r="I446" s="252">
        <f t="shared" si="362"/>
        <v>6.3000053592499912</v>
      </c>
      <c r="J446" s="252">
        <f t="shared" si="362"/>
        <v>6.3000053592499912</v>
      </c>
      <c r="K446" s="252">
        <f t="shared" si="362"/>
        <v>6.3000053592499912</v>
      </c>
      <c r="L446" s="252">
        <f t="shared" si="362"/>
        <v>6.3000053592499912</v>
      </c>
      <c r="M446" s="252">
        <f t="shared" si="362"/>
        <v>6.3000053592499912</v>
      </c>
      <c r="N446" s="252">
        <f t="shared" si="362"/>
        <v>1.7959460960844302</v>
      </c>
      <c r="O446" s="252">
        <f t="shared" si="362"/>
        <v>1.058617660858391</v>
      </c>
      <c r="P446" s="252">
        <f t="shared" si="362"/>
        <v>0.67910291881511364</v>
      </c>
      <c r="Q446" s="252">
        <f t="shared" si="362"/>
        <v>0.6208388564513978</v>
      </c>
      <c r="R446" s="252">
        <f t="shared" si="362"/>
        <v>0.63676123799615192</v>
      </c>
      <c r="S446" s="173" t="e">
        <f>S430-F446</f>
        <v>#REF!</v>
      </c>
      <c r="T446" s="174" t="e">
        <f>S446-F445</f>
        <v>#REF!</v>
      </c>
    </row>
    <row r="447" spans="1:27" ht="19.2" x14ac:dyDescent="0.5">
      <c r="A447" s="196"/>
      <c r="B447" s="186" t="s">
        <v>448</v>
      </c>
      <c r="C447" s="186"/>
      <c r="D447" s="187"/>
      <c r="E447" s="188"/>
      <c r="F447" s="233">
        <f>8/F442</f>
        <v>4</v>
      </c>
      <c r="G447" s="233">
        <f t="shared" ref="G447:R447" si="363">8/G442</f>
        <v>4</v>
      </c>
      <c r="H447" s="233">
        <f t="shared" si="363"/>
        <v>4</v>
      </c>
      <c r="I447" s="233">
        <f t="shared" si="363"/>
        <v>4</v>
      </c>
      <c r="J447" s="233">
        <f t="shared" si="363"/>
        <v>4</v>
      </c>
      <c r="K447" s="233">
        <f t="shared" si="363"/>
        <v>4</v>
      </c>
      <c r="L447" s="233">
        <f t="shared" si="363"/>
        <v>4</v>
      </c>
      <c r="M447" s="233">
        <f t="shared" si="363"/>
        <v>4</v>
      </c>
      <c r="N447" s="233">
        <f t="shared" si="363"/>
        <v>4</v>
      </c>
      <c r="O447" s="233">
        <f t="shared" si="363"/>
        <v>4</v>
      </c>
      <c r="P447" s="233">
        <f t="shared" si="363"/>
        <v>4</v>
      </c>
      <c r="Q447" s="233">
        <f t="shared" si="363"/>
        <v>4</v>
      </c>
      <c r="R447" s="233">
        <f t="shared" si="363"/>
        <v>4</v>
      </c>
    </row>
    <row r="448" spans="1:27" ht="19.2" x14ac:dyDescent="0.5">
      <c r="A448" s="196"/>
      <c r="B448" s="186" t="s">
        <v>449</v>
      </c>
      <c r="C448" s="186"/>
      <c r="D448" s="187"/>
      <c r="E448" s="188"/>
      <c r="F448" s="233">
        <v>0.09</v>
      </c>
      <c r="G448" s="233">
        <f>F448</f>
        <v>0.09</v>
      </c>
      <c r="H448" s="233">
        <f t="shared" ref="H448:R448" si="364">G448</f>
        <v>0.09</v>
      </c>
      <c r="I448" s="233">
        <f t="shared" si="364"/>
        <v>0.09</v>
      </c>
      <c r="J448" s="233">
        <f t="shared" si="364"/>
        <v>0.09</v>
      </c>
      <c r="K448" s="233">
        <f t="shared" si="364"/>
        <v>0.09</v>
      </c>
      <c r="L448" s="233">
        <f t="shared" si="364"/>
        <v>0.09</v>
      </c>
      <c r="M448" s="233">
        <f t="shared" si="364"/>
        <v>0.09</v>
      </c>
      <c r="N448" s="233">
        <f t="shared" si="364"/>
        <v>0.09</v>
      </c>
      <c r="O448" s="233">
        <f t="shared" si="364"/>
        <v>0.09</v>
      </c>
      <c r="P448" s="233">
        <f t="shared" si="364"/>
        <v>0.09</v>
      </c>
      <c r="Q448" s="233">
        <f t="shared" si="364"/>
        <v>0.09</v>
      </c>
      <c r="R448" s="233">
        <f t="shared" si="364"/>
        <v>0.09</v>
      </c>
    </row>
    <row r="449" spans="1:20" ht="19.2" x14ac:dyDescent="0.5">
      <c r="A449" s="196" t="s">
        <v>373</v>
      </c>
      <c r="B449" s="156" t="s">
        <v>374</v>
      </c>
      <c r="C449" s="186"/>
      <c r="D449" s="187"/>
      <c r="E449" s="188"/>
      <c r="F449" s="190"/>
      <c r="G449" s="190"/>
      <c r="H449" s="190"/>
      <c r="I449" s="190"/>
      <c r="J449" s="190"/>
      <c r="K449" s="190"/>
      <c r="L449" s="190"/>
      <c r="M449" s="190"/>
      <c r="N449" s="190"/>
      <c r="O449" s="190"/>
      <c r="P449" s="190"/>
      <c r="Q449" s="190"/>
      <c r="R449" s="190"/>
    </row>
    <row r="450" spans="1:20" s="172" customFormat="1" ht="19.2" x14ac:dyDescent="0.5">
      <c r="A450" s="242"/>
      <c r="B450" s="210" t="s">
        <v>466</v>
      </c>
      <c r="C450" s="210"/>
      <c r="D450" s="211"/>
      <c r="E450" s="212" t="s">
        <v>4</v>
      </c>
      <c r="F450" s="252">
        <f>6*F448*F445</f>
        <v>0.43572756726922784</v>
      </c>
      <c r="G450" s="252">
        <f t="shared" ref="G450:R450" si="365">6*G448*G445</f>
        <v>8.9146976792534846E-2</v>
      </c>
      <c r="H450" s="252">
        <f t="shared" si="365"/>
        <v>0.36012847461133729</v>
      </c>
      <c r="I450" s="252">
        <f t="shared" si="365"/>
        <v>0.43572756726922784</v>
      </c>
      <c r="J450" s="252">
        <f t="shared" si="365"/>
        <v>0.43572756726922784</v>
      </c>
      <c r="K450" s="252">
        <f t="shared" si="365"/>
        <v>0.43572756726922784</v>
      </c>
      <c r="L450" s="252">
        <f t="shared" si="365"/>
        <v>0.43572756726922784</v>
      </c>
      <c r="M450" s="252">
        <f t="shared" si="365"/>
        <v>0.43572756726922784</v>
      </c>
      <c r="N450" s="252">
        <f t="shared" si="365"/>
        <v>0.12421310439753289</v>
      </c>
      <c r="O450" s="252">
        <f t="shared" si="365"/>
        <v>7.3217223118200767E-2</v>
      </c>
      <c r="P450" s="252">
        <f t="shared" si="365"/>
        <v>4.6968827146516651E-2</v>
      </c>
      <c r="Q450" s="252">
        <f t="shared" si="365"/>
        <v>4.2939107058153625E-2</v>
      </c>
      <c r="R450" s="252">
        <f t="shared" si="365"/>
        <v>4.4040347482567174E-2</v>
      </c>
      <c r="S450" s="173" t="e">
        <f>S446-F450</f>
        <v>#REF!</v>
      </c>
      <c r="T450" s="174" t="e">
        <f>S450-F445</f>
        <v>#REF!</v>
      </c>
    </row>
    <row r="451" spans="1:20" ht="19.2" x14ac:dyDescent="0.5">
      <c r="A451" s="199"/>
      <c r="B451" s="186"/>
      <c r="C451" s="186"/>
      <c r="D451" s="186"/>
      <c r="E451" s="186"/>
      <c r="F451" s="186"/>
      <c r="G451" s="186"/>
      <c r="H451" s="186"/>
      <c r="I451" s="186"/>
      <c r="J451" s="186"/>
      <c r="K451" s="186"/>
      <c r="L451" s="186"/>
      <c r="M451" s="186"/>
      <c r="N451" s="186"/>
      <c r="O451" s="186"/>
      <c r="P451" s="186"/>
      <c r="Q451" s="186"/>
      <c r="R451" s="186"/>
    </row>
    <row r="452" spans="1:20" ht="19.2" x14ac:dyDescent="0.5">
      <c r="A452" s="196"/>
      <c r="B452" s="186"/>
      <c r="C452" s="186"/>
      <c r="D452" s="187"/>
      <c r="E452" s="188"/>
      <c r="F452" s="233"/>
      <c r="G452" s="233"/>
      <c r="H452" s="233"/>
      <c r="I452" s="233"/>
      <c r="J452" s="233"/>
      <c r="K452" s="233"/>
      <c r="L452" s="233"/>
      <c r="M452" s="233"/>
      <c r="N452" s="233"/>
      <c r="O452" s="233"/>
      <c r="P452" s="233"/>
      <c r="Q452" s="233"/>
      <c r="R452" s="233"/>
    </row>
    <row r="453" spans="1:20" ht="19.2" x14ac:dyDescent="0.5">
      <c r="A453" s="196"/>
      <c r="B453" s="156" t="s">
        <v>434</v>
      </c>
      <c r="C453" s="186"/>
      <c r="D453" s="187"/>
      <c r="E453" s="188"/>
      <c r="F453" s="234"/>
      <c r="G453" s="234"/>
      <c r="H453" s="234"/>
      <c r="I453" s="234"/>
      <c r="J453" s="234"/>
      <c r="K453" s="234"/>
      <c r="L453" s="234"/>
      <c r="M453" s="234"/>
      <c r="N453" s="234"/>
      <c r="O453" s="234"/>
      <c r="P453" s="234"/>
      <c r="Q453" s="234"/>
      <c r="R453" s="234"/>
      <c r="S453" s="122"/>
      <c r="T453" s="123"/>
    </row>
    <row r="454" spans="1:20" ht="19.2" x14ac:dyDescent="0.5">
      <c r="A454" s="196"/>
      <c r="B454" s="186" t="s">
        <v>375</v>
      </c>
      <c r="C454" s="186"/>
      <c r="D454" s="187"/>
      <c r="E454" s="188"/>
      <c r="F454" s="233">
        <f>+F9/3</f>
        <v>4.166666666666667</v>
      </c>
      <c r="G454" s="233">
        <f>+G9/2</f>
        <v>2.827</v>
      </c>
      <c r="H454" s="233">
        <f>+H9/3</f>
        <v>3.7880000000000003</v>
      </c>
      <c r="I454" s="233">
        <f>+I9/3</f>
        <v>4.166666666666667</v>
      </c>
      <c r="J454" s="233">
        <f>+J9/3</f>
        <v>4.166666666666667</v>
      </c>
      <c r="K454" s="233">
        <f>+K9/3</f>
        <v>4.166666666666667</v>
      </c>
      <c r="L454" s="233">
        <f>+L9/3</f>
        <v>4.166666666666667</v>
      </c>
      <c r="M454" s="233">
        <f>+M9/3</f>
        <v>4.166666666666667</v>
      </c>
      <c r="N454" s="233">
        <f>+N9/2</f>
        <v>3.3370000000000002</v>
      </c>
      <c r="O454" s="233">
        <f>+O9/2</f>
        <v>2.5619999999999998</v>
      </c>
      <c r="P454" s="233">
        <f>+P9/1</f>
        <v>4.1040000000000001</v>
      </c>
      <c r="Q454" s="233">
        <f>+Q9/1</f>
        <v>3.9240000000000004</v>
      </c>
      <c r="R454" s="233">
        <f>+R9/1</f>
        <v>3.9740000000000002</v>
      </c>
      <c r="S454" s="122"/>
      <c r="T454" s="123"/>
    </row>
    <row r="455" spans="1:20" ht="19.2" x14ac:dyDescent="0.5">
      <c r="A455" s="196"/>
      <c r="B455" s="209" t="s">
        <v>376</v>
      </c>
      <c r="C455" s="186"/>
      <c r="D455" s="187"/>
      <c r="E455" s="188" t="s">
        <v>4</v>
      </c>
      <c r="F455" s="189">
        <v>1.2</v>
      </c>
      <c r="G455" s="189">
        <f>+F455</f>
        <v>1.2</v>
      </c>
      <c r="H455" s="189">
        <f t="shared" ref="H455:R455" si="366">+G455</f>
        <v>1.2</v>
      </c>
      <c r="I455" s="189">
        <f t="shared" si="366"/>
        <v>1.2</v>
      </c>
      <c r="J455" s="189">
        <f t="shared" si="366"/>
        <v>1.2</v>
      </c>
      <c r="K455" s="189">
        <f t="shared" si="366"/>
        <v>1.2</v>
      </c>
      <c r="L455" s="189">
        <f t="shared" si="366"/>
        <v>1.2</v>
      </c>
      <c r="M455" s="189">
        <f t="shared" si="366"/>
        <v>1.2</v>
      </c>
      <c r="N455" s="189">
        <f t="shared" si="366"/>
        <v>1.2</v>
      </c>
      <c r="O455" s="189">
        <f t="shared" si="366"/>
        <v>1.2</v>
      </c>
      <c r="P455" s="189">
        <f t="shared" si="366"/>
        <v>1.2</v>
      </c>
      <c r="Q455" s="189">
        <f t="shared" si="366"/>
        <v>1.2</v>
      </c>
      <c r="R455" s="189">
        <f t="shared" si="366"/>
        <v>1.2</v>
      </c>
      <c r="S455" s="122"/>
      <c r="T455" s="123"/>
    </row>
    <row r="456" spans="1:20" ht="19.2" x14ac:dyDescent="0.5">
      <c r="A456" s="196"/>
      <c r="B456" s="209" t="s">
        <v>377</v>
      </c>
      <c r="C456" s="186"/>
      <c r="D456" s="187" t="s">
        <v>213</v>
      </c>
      <c r="E456" s="188" t="s">
        <v>117</v>
      </c>
      <c r="F456" s="217">
        <f>F454/((PI()*F455^2)/4)</f>
        <v>3.684142201201281</v>
      </c>
      <c r="G456" s="217">
        <f t="shared" ref="G456:R456" si="367">G454/((PI()*G455^2)/4)</f>
        <v>2.4996168006710451</v>
      </c>
      <c r="H456" s="217">
        <f t="shared" si="367"/>
        <v>3.3493273579561089</v>
      </c>
      <c r="I456" s="217">
        <f t="shared" si="367"/>
        <v>3.684142201201281</v>
      </c>
      <c r="J456" s="217">
        <f t="shared" si="367"/>
        <v>3.684142201201281</v>
      </c>
      <c r="K456" s="217">
        <f t="shared" si="367"/>
        <v>3.684142201201281</v>
      </c>
      <c r="L456" s="217">
        <f t="shared" si="367"/>
        <v>3.684142201201281</v>
      </c>
      <c r="M456" s="217">
        <f t="shared" si="367"/>
        <v>3.684142201201281</v>
      </c>
      <c r="N456" s="217">
        <f t="shared" si="367"/>
        <v>2.9505558060980821</v>
      </c>
      <c r="O456" s="217">
        <f t="shared" si="367"/>
        <v>2.2653053566746433</v>
      </c>
      <c r="P456" s="217">
        <f t="shared" si="367"/>
        <v>3.6287327024952138</v>
      </c>
      <c r="Q456" s="217">
        <f t="shared" si="367"/>
        <v>3.4695777594033186</v>
      </c>
      <c r="R456" s="217">
        <f t="shared" si="367"/>
        <v>3.5137874658177339</v>
      </c>
      <c r="S456" s="122"/>
      <c r="T456" s="123"/>
    </row>
    <row r="457" spans="1:20" ht="19.2" x14ac:dyDescent="0.5">
      <c r="A457" s="196"/>
      <c r="B457" s="281" t="s">
        <v>378</v>
      </c>
      <c r="C457" s="281"/>
      <c r="D457" s="186"/>
      <c r="E457" s="186"/>
      <c r="F457" s="186"/>
      <c r="G457" s="186"/>
      <c r="H457" s="186"/>
      <c r="I457" s="186"/>
      <c r="J457" s="186"/>
      <c r="K457" s="186"/>
      <c r="L457" s="186"/>
      <c r="M457" s="186"/>
      <c r="N457" s="186"/>
      <c r="O457" s="186"/>
      <c r="P457" s="186"/>
      <c r="Q457" s="186"/>
      <c r="R457" s="186"/>
      <c r="S457" s="122"/>
      <c r="T457" s="123"/>
    </row>
    <row r="458" spans="1:20" ht="19.2" x14ac:dyDescent="0.5">
      <c r="A458" s="196"/>
      <c r="B458" s="186"/>
      <c r="C458" s="186">
        <f>0.42*(1-(1.2/1.8)^2)</f>
        <v>0.23333333333333334</v>
      </c>
      <c r="D458" s="187" t="s">
        <v>520</v>
      </c>
      <c r="E458" s="188"/>
      <c r="F458" s="189">
        <v>0.5</v>
      </c>
      <c r="G458" s="189">
        <v>0.5</v>
      </c>
      <c r="H458" s="189">
        <v>0.5</v>
      </c>
      <c r="I458" s="189">
        <v>0.5</v>
      </c>
      <c r="J458" s="189">
        <v>0.5</v>
      </c>
      <c r="K458" s="189">
        <v>0.5</v>
      </c>
      <c r="L458" s="189">
        <v>0.5</v>
      </c>
      <c r="M458" s="189">
        <v>0.5</v>
      </c>
      <c r="N458" s="189">
        <v>0.5</v>
      </c>
      <c r="O458" s="189">
        <v>0.5</v>
      </c>
      <c r="P458" s="189">
        <v>0.5</v>
      </c>
      <c r="Q458" s="189">
        <v>0.5</v>
      </c>
      <c r="R458" s="189">
        <v>0.5</v>
      </c>
      <c r="S458" s="122"/>
      <c r="T458" s="123"/>
    </row>
    <row r="459" spans="1:20" ht="19.2" x14ac:dyDescent="0.5">
      <c r="A459" s="196"/>
      <c r="B459" s="186" t="s">
        <v>379</v>
      </c>
      <c r="C459" s="186"/>
      <c r="D459" s="187"/>
      <c r="E459" s="188"/>
      <c r="F459" s="189">
        <f>F456^2/(2*9.81)</f>
        <v>0.69178918239919573</v>
      </c>
      <c r="G459" s="189">
        <f t="shared" ref="G459:R459" si="368">G456^2/(2*9.81)</f>
        <v>0.31845484965325949</v>
      </c>
      <c r="H459" s="189">
        <f t="shared" si="368"/>
        <v>0.57176318811178639</v>
      </c>
      <c r="I459" s="189">
        <f t="shared" si="368"/>
        <v>0.69178918239919573</v>
      </c>
      <c r="J459" s="189">
        <f t="shared" si="368"/>
        <v>0.69178918239919573</v>
      </c>
      <c r="K459" s="189">
        <f t="shared" si="368"/>
        <v>0.69178918239919573</v>
      </c>
      <c r="L459" s="189">
        <f t="shared" si="368"/>
        <v>0.69178918239919573</v>
      </c>
      <c r="M459" s="189">
        <f t="shared" si="368"/>
        <v>0.69178918239919573</v>
      </c>
      <c r="N459" s="189">
        <f t="shared" si="368"/>
        <v>0.4437196516258462</v>
      </c>
      <c r="O459" s="189">
        <f t="shared" si="368"/>
        <v>0.26154986539137781</v>
      </c>
      <c r="P459" s="189">
        <f t="shared" si="368"/>
        <v>0.67113664761254932</v>
      </c>
      <c r="Q459" s="189">
        <f t="shared" si="368"/>
        <v>0.61355605650082323</v>
      </c>
      <c r="R459" s="189">
        <f t="shared" si="368"/>
        <v>0.62929165927307917</v>
      </c>
      <c r="S459" s="122"/>
      <c r="T459" s="123"/>
    </row>
    <row r="460" spans="1:20" s="172" customFormat="1" ht="20.399999999999999" x14ac:dyDescent="0.5">
      <c r="A460" s="242"/>
      <c r="B460" s="210" t="s">
        <v>380</v>
      </c>
      <c r="C460" s="253" t="s">
        <v>511</v>
      </c>
      <c r="D460" s="211"/>
      <c r="E460" s="212" t="s">
        <v>4</v>
      </c>
      <c r="F460" s="252">
        <f>F458*F459</f>
        <v>0.34589459119959787</v>
      </c>
      <c r="G460" s="252">
        <f t="shared" ref="G460:R460" si="369">G458*G459</f>
        <v>0.15922742482662974</v>
      </c>
      <c r="H460" s="252">
        <f t="shared" si="369"/>
        <v>0.2858815940558932</v>
      </c>
      <c r="I460" s="252">
        <f t="shared" si="369"/>
        <v>0.34589459119959787</v>
      </c>
      <c r="J460" s="252">
        <f t="shared" si="369"/>
        <v>0.34589459119959787</v>
      </c>
      <c r="K460" s="252">
        <f t="shared" si="369"/>
        <v>0.34589459119959787</v>
      </c>
      <c r="L460" s="252">
        <f t="shared" si="369"/>
        <v>0.34589459119959787</v>
      </c>
      <c r="M460" s="252">
        <f t="shared" si="369"/>
        <v>0.34589459119959787</v>
      </c>
      <c r="N460" s="252">
        <f t="shared" si="369"/>
        <v>0.2218598258129231</v>
      </c>
      <c r="O460" s="252">
        <f t="shared" si="369"/>
        <v>0.13077493269568891</v>
      </c>
      <c r="P460" s="252">
        <f t="shared" si="369"/>
        <v>0.33556832380627466</v>
      </c>
      <c r="Q460" s="252">
        <f t="shared" si="369"/>
        <v>0.30677802825041162</v>
      </c>
      <c r="R460" s="252">
        <f t="shared" si="369"/>
        <v>0.31464582963653959</v>
      </c>
      <c r="S460" s="173"/>
      <c r="T460" s="174"/>
    </row>
    <row r="461" spans="1:20" ht="19.2" x14ac:dyDescent="0.5">
      <c r="A461" s="196"/>
      <c r="B461" s="186"/>
      <c r="C461" s="241"/>
      <c r="D461" s="187"/>
      <c r="E461" s="188"/>
      <c r="F461" s="234"/>
      <c r="G461" s="234"/>
      <c r="H461" s="234"/>
      <c r="I461" s="234"/>
      <c r="J461" s="234"/>
      <c r="K461" s="234"/>
      <c r="L461" s="234"/>
      <c r="M461" s="234"/>
      <c r="N461" s="234"/>
      <c r="O461" s="234"/>
      <c r="P461" s="234"/>
      <c r="Q461" s="234"/>
      <c r="R461" s="234"/>
      <c r="S461" s="122"/>
      <c r="T461" s="123"/>
    </row>
    <row r="462" spans="1:20" ht="19.2" x14ac:dyDescent="0.5">
      <c r="A462" s="196"/>
      <c r="B462" s="186"/>
      <c r="C462" s="241"/>
      <c r="D462" s="187"/>
      <c r="E462" s="188"/>
      <c r="F462" s="234"/>
      <c r="G462" s="234"/>
      <c r="H462" s="234"/>
      <c r="I462" s="234"/>
      <c r="J462" s="234"/>
      <c r="K462" s="234"/>
      <c r="L462" s="234"/>
      <c r="M462" s="234"/>
      <c r="N462" s="234"/>
      <c r="O462" s="234"/>
      <c r="P462" s="234"/>
      <c r="Q462" s="234"/>
      <c r="R462" s="234"/>
      <c r="S462" s="122"/>
      <c r="T462" s="123"/>
    </row>
    <row r="463" spans="1:20" ht="19.2" x14ac:dyDescent="0.5">
      <c r="A463" s="196"/>
      <c r="B463" s="156" t="s">
        <v>381</v>
      </c>
      <c r="C463" s="186"/>
      <c r="D463" s="187"/>
      <c r="E463" s="188"/>
      <c r="F463" s="234"/>
      <c r="G463" s="234"/>
      <c r="H463" s="234"/>
      <c r="I463" s="234"/>
      <c r="J463" s="234"/>
      <c r="K463" s="234"/>
      <c r="L463" s="234"/>
      <c r="M463" s="234"/>
      <c r="N463" s="234"/>
      <c r="O463" s="234"/>
      <c r="P463" s="234"/>
      <c r="Q463" s="234"/>
      <c r="R463" s="234"/>
      <c r="S463" s="122"/>
      <c r="T463" s="123"/>
    </row>
    <row r="464" spans="1:20" ht="20.399999999999999" x14ac:dyDescent="0.5">
      <c r="A464" s="196"/>
      <c r="B464" s="186" t="s">
        <v>218</v>
      </c>
      <c r="C464" s="186"/>
      <c r="D464" s="187" t="s">
        <v>219</v>
      </c>
      <c r="E464" s="188" t="s">
        <v>513</v>
      </c>
      <c r="F464" s="189">
        <f t="shared" ref="F464:R464" si="370">F454</f>
        <v>4.166666666666667</v>
      </c>
      <c r="G464" s="189">
        <f t="shared" si="370"/>
        <v>2.827</v>
      </c>
      <c r="H464" s="189">
        <f t="shared" si="370"/>
        <v>3.7880000000000003</v>
      </c>
      <c r="I464" s="189">
        <f t="shared" si="370"/>
        <v>4.166666666666667</v>
      </c>
      <c r="J464" s="189">
        <f t="shared" si="370"/>
        <v>4.166666666666667</v>
      </c>
      <c r="K464" s="189">
        <f t="shared" si="370"/>
        <v>4.166666666666667</v>
      </c>
      <c r="L464" s="189">
        <f t="shared" si="370"/>
        <v>4.166666666666667</v>
      </c>
      <c r="M464" s="189">
        <f t="shared" si="370"/>
        <v>4.166666666666667</v>
      </c>
      <c r="N464" s="189">
        <f t="shared" si="370"/>
        <v>3.3370000000000002</v>
      </c>
      <c r="O464" s="189">
        <f t="shared" si="370"/>
        <v>2.5619999999999998</v>
      </c>
      <c r="P464" s="189">
        <f t="shared" si="370"/>
        <v>4.1040000000000001</v>
      </c>
      <c r="Q464" s="189">
        <f t="shared" si="370"/>
        <v>3.9240000000000004</v>
      </c>
      <c r="R464" s="189">
        <f t="shared" si="370"/>
        <v>3.9740000000000002</v>
      </c>
    </row>
    <row r="465" spans="1:20" ht="19.2" x14ac:dyDescent="0.5">
      <c r="A465" s="196"/>
      <c r="B465" s="186" t="s">
        <v>220</v>
      </c>
      <c r="C465" s="186"/>
      <c r="D465" s="187"/>
      <c r="E465" s="188"/>
      <c r="F465" s="189">
        <f>F464</f>
        <v>4.166666666666667</v>
      </c>
      <c r="G465" s="189">
        <f t="shared" ref="G465:R465" si="371">G464</f>
        <v>2.827</v>
      </c>
      <c r="H465" s="189">
        <f t="shared" si="371"/>
        <v>3.7880000000000003</v>
      </c>
      <c r="I465" s="189">
        <f t="shared" si="371"/>
        <v>4.166666666666667</v>
      </c>
      <c r="J465" s="189">
        <f t="shared" si="371"/>
        <v>4.166666666666667</v>
      </c>
      <c r="K465" s="189">
        <f t="shared" si="371"/>
        <v>4.166666666666667</v>
      </c>
      <c r="L465" s="189">
        <f t="shared" si="371"/>
        <v>4.166666666666667</v>
      </c>
      <c r="M465" s="189">
        <f t="shared" si="371"/>
        <v>4.166666666666667</v>
      </c>
      <c r="N465" s="189">
        <f t="shared" si="371"/>
        <v>3.3370000000000002</v>
      </c>
      <c r="O465" s="189">
        <f t="shared" si="371"/>
        <v>2.5619999999999998</v>
      </c>
      <c r="P465" s="189">
        <f t="shared" si="371"/>
        <v>4.1040000000000001</v>
      </c>
      <c r="Q465" s="189">
        <f t="shared" si="371"/>
        <v>3.9240000000000004</v>
      </c>
      <c r="R465" s="189">
        <f t="shared" si="371"/>
        <v>3.9740000000000002</v>
      </c>
    </row>
    <row r="466" spans="1:20" ht="19.2" x14ac:dyDescent="0.5">
      <c r="A466" s="196"/>
      <c r="B466" s="186" t="s">
        <v>370</v>
      </c>
      <c r="C466" s="186"/>
      <c r="D466" s="187" t="s">
        <v>221</v>
      </c>
      <c r="E466" s="188"/>
      <c r="F466" s="194">
        <v>1.2999999999999999E-2</v>
      </c>
      <c r="G466" s="194">
        <f>+F466</f>
        <v>1.2999999999999999E-2</v>
      </c>
      <c r="H466" s="194">
        <f t="shared" ref="H466:R468" si="372">+G466</f>
        <v>1.2999999999999999E-2</v>
      </c>
      <c r="I466" s="194">
        <f t="shared" si="372"/>
        <v>1.2999999999999999E-2</v>
      </c>
      <c r="J466" s="194">
        <f t="shared" si="372"/>
        <v>1.2999999999999999E-2</v>
      </c>
      <c r="K466" s="194">
        <f t="shared" si="372"/>
        <v>1.2999999999999999E-2</v>
      </c>
      <c r="L466" s="194">
        <f t="shared" si="372"/>
        <v>1.2999999999999999E-2</v>
      </c>
      <c r="M466" s="194">
        <f t="shared" si="372"/>
        <v>1.2999999999999999E-2</v>
      </c>
      <c r="N466" s="194">
        <f t="shared" si="372"/>
        <v>1.2999999999999999E-2</v>
      </c>
      <c r="O466" s="194">
        <f t="shared" si="372"/>
        <v>1.2999999999999999E-2</v>
      </c>
      <c r="P466" s="194">
        <f t="shared" si="372"/>
        <v>1.2999999999999999E-2</v>
      </c>
      <c r="Q466" s="194">
        <f t="shared" si="372"/>
        <v>1.2999999999999999E-2</v>
      </c>
      <c r="R466" s="194">
        <f t="shared" si="372"/>
        <v>1.2999999999999999E-2</v>
      </c>
    </row>
    <row r="467" spans="1:20" s="115" customFormat="1" ht="19.2" x14ac:dyDescent="0.5">
      <c r="A467" s="259"/>
      <c r="B467" s="206" t="s">
        <v>222</v>
      </c>
      <c r="C467" s="206"/>
      <c r="D467" s="207" t="s">
        <v>223</v>
      </c>
      <c r="E467" s="208" t="s">
        <v>4</v>
      </c>
      <c r="F467" s="198">
        <v>28</v>
      </c>
      <c r="G467" s="198">
        <f>+F467</f>
        <v>28</v>
      </c>
      <c r="H467" s="198">
        <f t="shared" si="372"/>
        <v>28</v>
      </c>
      <c r="I467" s="198">
        <f t="shared" si="372"/>
        <v>28</v>
      </c>
      <c r="J467" s="198">
        <f t="shared" si="372"/>
        <v>28</v>
      </c>
      <c r="K467" s="198">
        <f t="shared" si="372"/>
        <v>28</v>
      </c>
      <c r="L467" s="198">
        <f t="shared" si="372"/>
        <v>28</v>
      </c>
      <c r="M467" s="198">
        <f t="shared" si="372"/>
        <v>28</v>
      </c>
      <c r="N467" s="198">
        <f t="shared" si="372"/>
        <v>28</v>
      </c>
      <c r="O467" s="198">
        <f t="shared" si="372"/>
        <v>28</v>
      </c>
      <c r="P467" s="198">
        <f t="shared" si="372"/>
        <v>28</v>
      </c>
      <c r="Q467" s="198">
        <f t="shared" si="372"/>
        <v>28</v>
      </c>
      <c r="R467" s="198">
        <f t="shared" si="372"/>
        <v>28</v>
      </c>
      <c r="S467" s="116"/>
    </row>
    <row r="468" spans="1:20" ht="19.2" x14ac:dyDescent="0.5">
      <c r="A468" s="196"/>
      <c r="B468" s="186" t="s">
        <v>371</v>
      </c>
      <c r="C468" s="186"/>
      <c r="D468" s="187" t="s">
        <v>514</v>
      </c>
      <c r="E468" s="188" t="s">
        <v>4</v>
      </c>
      <c r="F468" s="189">
        <v>1.2</v>
      </c>
      <c r="G468" s="189">
        <f>+F468</f>
        <v>1.2</v>
      </c>
      <c r="H468" s="189">
        <f t="shared" si="372"/>
        <v>1.2</v>
      </c>
      <c r="I468" s="189">
        <f t="shared" si="372"/>
        <v>1.2</v>
      </c>
      <c r="J468" s="189">
        <f t="shared" si="372"/>
        <v>1.2</v>
      </c>
      <c r="K468" s="189">
        <f t="shared" si="372"/>
        <v>1.2</v>
      </c>
      <c r="L468" s="189">
        <f t="shared" si="372"/>
        <v>1.2</v>
      </c>
      <c r="M468" s="189">
        <f t="shared" si="372"/>
        <v>1.2</v>
      </c>
      <c r="N468" s="189">
        <f t="shared" si="372"/>
        <v>1.2</v>
      </c>
      <c r="O468" s="189">
        <f t="shared" si="372"/>
        <v>1.2</v>
      </c>
      <c r="P468" s="189">
        <f t="shared" si="372"/>
        <v>1.2</v>
      </c>
      <c r="Q468" s="189">
        <f t="shared" si="372"/>
        <v>1.2</v>
      </c>
      <c r="R468" s="189">
        <f t="shared" si="372"/>
        <v>1.2</v>
      </c>
    </row>
    <row r="469" spans="1:20" ht="20.399999999999999" x14ac:dyDescent="0.5">
      <c r="A469" s="196"/>
      <c r="B469" s="186" t="s">
        <v>372</v>
      </c>
      <c r="C469" s="186"/>
      <c r="D469" s="187" t="s">
        <v>515</v>
      </c>
      <c r="E469" s="188" t="s">
        <v>516</v>
      </c>
      <c r="F469" s="189">
        <f>PI()*F468^2/4</f>
        <v>1.1309733552923256</v>
      </c>
      <c r="G469" s="189">
        <f t="shared" ref="G469:R469" si="373">PI()*G468^2/4</f>
        <v>1.1309733552923256</v>
      </c>
      <c r="H469" s="189">
        <f t="shared" si="373"/>
        <v>1.1309733552923256</v>
      </c>
      <c r="I469" s="189">
        <f t="shared" si="373"/>
        <v>1.1309733552923256</v>
      </c>
      <c r="J469" s="189">
        <f t="shared" si="373"/>
        <v>1.1309733552923256</v>
      </c>
      <c r="K469" s="189">
        <f t="shared" si="373"/>
        <v>1.1309733552923256</v>
      </c>
      <c r="L469" s="189">
        <f t="shared" si="373"/>
        <v>1.1309733552923256</v>
      </c>
      <c r="M469" s="189">
        <f t="shared" si="373"/>
        <v>1.1309733552923256</v>
      </c>
      <c r="N469" s="189">
        <f t="shared" si="373"/>
        <v>1.1309733552923256</v>
      </c>
      <c r="O469" s="189">
        <f t="shared" si="373"/>
        <v>1.1309733552923256</v>
      </c>
      <c r="P469" s="189">
        <f t="shared" si="373"/>
        <v>1.1309733552923256</v>
      </c>
      <c r="Q469" s="189">
        <f t="shared" si="373"/>
        <v>1.1309733552923256</v>
      </c>
      <c r="R469" s="189">
        <f t="shared" si="373"/>
        <v>1.1309733552923256</v>
      </c>
    </row>
    <row r="470" spans="1:20" ht="19.2" x14ac:dyDescent="0.5">
      <c r="A470" s="196"/>
      <c r="B470" s="186" t="s">
        <v>224</v>
      </c>
      <c r="C470" s="186"/>
      <c r="D470" s="187" t="s">
        <v>517</v>
      </c>
      <c r="E470" s="188" t="s">
        <v>117</v>
      </c>
      <c r="F470" s="189">
        <f>F465/F469</f>
        <v>3.684142201201281</v>
      </c>
      <c r="G470" s="189">
        <f t="shared" ref="G470:R470" si="374">G465/G469</f>
        <v>2.4996168006710451</v>
      </c>
      <c r="H470" s="189">
        <f t="shared" si="374"/>
        <v>3.3493273579561089</v>
      </c>
      <c r="I470" s="189">
        <f t="shared" si="374"/>
        <v>3.684142201201281</v>
      </c>
      <c r="J470" s="189">
        <f t="shared" si="374"/>
        <v>3.684142201201281</v>
      </c>
      <c r="K470" s="189">
        <f t="shared" si="374"/>
        <v>3.684142201201281</v>
      </c>
      <c r="L470" s="189">
        <f t="shared" si="374"/>
        <v>3.684142201201281</v>
      </c>
      <c r="M470" s="189">
        <f t="shared" si="374"/>
        <v>3.684142201201281</v>
      </c>
      <c r="N470" s="189">
        <f t="shared" si="374"/>
        <v>2.9505558060980821</v>
      </c>
      <c r="O470" s="189">
        <f t="shared" si="374"/>
        <v>2.2653053566746433</v>
      </c>
      <c r="P470" s="189">
        <f t="shared" si="374"/>
        <v>3.6287327024952138</v>
      </c>
      <c r="Q470" s="189">
        <f t="shared" si="374"/>
        <v>3.4695777594033186</v>
      </c>
      <c r="R470" s="189">
        <f t="shared" si="374"/>
        <v>3.5137874658177339</v>
      </c>
    </row>
    <row r="471" spans="1:20" ht="19.2" x14ac:dyDescent="0.5">
      <c r="A471" s="196"/>
      <c r="B471" s="186" t="s">
        <v>118</v>
      </c>
      <c r="C471" s="186"/>
      <c r="D471" s="187"/>
      <c r="E471" s="188"/>
      <c r="F471" s="189">
        <f>F470^2/(2*9.81)</f>
        <v>0.69178918239919573</v>
      </c>
      <c r="G471" s="189">
        <f t="shared" ref="G471:R471" si="375">G470^2/(2*9.81)</f>
        <v>0.31845484965325949</v>
      </c>
      <c r="H471" s="189">
        <f t="shared" si="375"/>
        <v>0.57176318811178639</v>
      </c>
      <c r="I471" s="189">
        <f t="shared" si="375"/>
        <v>0.69178918239919573</v>
      </c>
      <c r="J471" s="189">
        <f t="shared" si="375"/>
        <v>0.69178918239919573</v>
      </c>
      <c r="K471" s="189">
        <f t="shared" si="375"/>
        <v>0.69178918239919573</v>
      </c>
      <c r="L471" s="189">
        <f t="shared" si="375"/>
        <v>0.69178918239919573</v>
      </c>
      <c r="M471" s="189">
        <f t="shared" si="375"/>
        <v>0.69178918239919573</v>
      </c>
      <c r="N471" s="189">
        <f t="shared" si="375"/>
        <v>0.4437196516258462</v>
      </c>
      <c r="O471" s="189">
        <f t="shared" si="375"/>
        <v>0.26154986539137781</v>
      </c>
      <c r="P471" s="189">
        <f t="shared" si="375"/>
        <v>0.67113664761254932</v>
      </c>
      <c r="Q471" s="189">
        <f t="shared" si="375"/>
        <v>0.61355605650082323</v>
      </c>
      <c r="R471" s="189">
        <f t="shared" si="375"/>
        <v>0.62929165927307917</v>
      </c>
      <c r="S471" s="122"/>
      <c r="T471" s="123"/>
    </row>
    <row r="472" spans="1:20" s="172" customFormat="1" ht="20.399999999999999" x14ac:dyDescent="0.5">
      <c r="A472" s="242"/>
      <c r="B472" s="251" t="s">
        <v>225</v>
      </c>
      <c r="C472" s="210" t="s">
        <v>518</v>
      </c>
      <c r="D472" s="268" t="s">
        <v>519</v>
      </c>
      <c r="E472" s="212" t="s">
        <v>4</v>
      </c>
      <c r="F472" s="252">
        <f>(F466*F467*F470^2)/(2*9.81*F468)</f>
        <v>0.20984271866108936</v>
      </c>
      <c r="G472" s="252">
        <f t="shared" ref="G472:R472" si="376">(G466*G467*G470^2)/(2*9.81*G468)</f>
        <v>9.6597971061488708E-2</v>
      </c>
      <c r="H472" s="252">
        <f t="shared" si="376"/>
        <v>0.17343483372724189</v>
      </c>
      <c r="I472" s="252">
        <f t="shared" si="376"/>
        <v>0.20984271866108936</v>
      </c>
      <c r="J472" s="252">
        <f t="shared" si="376"/>
        <v>0.20984271866108936</v>
      </c>
      <c r="K472" s="252">
        <f t="shared" si="376"/>
        <v>0.20984271866108936</v>
      </c>
      <c r="L472" s="252">
        <f t="shared" si="376"/>
        <v>0.20984271866108936</v>
      </c>
      <c r="M472" s="252">
        <f t="shared" si="376"/>
        <v>0.20984271866108936</v>
      </c>
      <c r="N472" s="252">
        <f t="shared" si="376"/>
        <v>0.13459496099317336</v>
      </c>
      <c r="O472" s="252">
        <f t="shared" si="376"/>
        <v>7.9336792502051251E-2</v>
      </c>
      <c r="P472" s="252">
        <f t="shared" si="376"/>
        <v>0.20357811644247328</v>
      </c>
      <c r="Q472" s="252">
        <f t="shared" si="376"/>
        <v>0.18611200380524973</v>
      </c>
      <c r="R472" s="252">
        <f t="shared" si="376"/>
        <v>0.19088513664616735</v>
      </c>
      <c r="S472" s="173" t="e">
        <f>#REF!-F472</f>
        <v>#REF!</v>
      </c>
      <c r="T472" s="174" t="e">
        <f>S472-F471</f>
        <v>#REF!</v>
      </c>
    </row>
    <row r="473" spans="1:20" ht="19.2" x14ac:dyDescent="0.5">
      <c r="A473" s="196"/>
      <c r="B473" s="186"/>
      <c r="C473" s="186"/>
      <c r="D473" s="187"/>
      <c r="E473" s="188"/>
      <c r="F473" s="234"/>
      <c r="G473" s="234"/>
      <c r="H473" s="234"/>
      <c r="I473" s="234"/>
      <c r="J473" s="234"/>
      <c r="K473" s="234"/>
      <c r="L473" s="234"/>
      <c r="M473" s="234"/>
      <c r="N473" s="234"/>
      <c r="O473" s="234"/>
      <c r="P473" s="234"/>
      <c r="Q473" s="234"/>
      <c r="R473" s="234"/>
      <c r="S473" s="122"/>
      <c r="T473" s="123"/>
    </row>
    <row r="474" spans="1:20" s="115" customFormat="1" ht="19.2" x14ac:dyDescent="0.5">
      <c r="A474" s="259"/>
      <c r="B474" s="248" t="s">
        <v>433</v>
      </c>
      <c r="C474" s="206"/>
      <c r="D474" s="207"/>
      <c r="E474" s="208"/>
      <c r="F474" s="261"/>
      <c r="G474" s="261"/>
      <c r="H474" s="261"/>
      <c r="I474" s="261"/>
      <c r="J474" s="261"/>
      <c r="K474" s="261"/>
      <c r="L474" s="261"/>
      <c r="M474" s="261"/>
      <c r="N474" s="261"/>
      <c r="O474" s="261"/>
      <c r="P474" s="261"/>
      <c r="Q474" s="261"/>
      <c r="R474" s="261"/>
      <c r="S474" s="130"/>
      <c r="T474" s="125"/>
    </row>
    <row r="475" spans="1:20" s="115" customFormat="1" ht="20.399999999999999" x14ac:dyDescent="0.5">
      <c r="A475" s="259"/>
      <c r="B475" s="206" t="s">
        <v>218</v>
      </c>
      <c r="C475" s="206"/>
      <c r="D475" s="207" t="s">
        <v>219</v>
      </c>
      <c r="E475" s="208" t="s">
        <v>521</v>
      </c>
      <c r="F475" s="198">
        <f t="shared" ref="F475:R475" si="377">+F454</f>
        <v>4.166666666666667</v>
      </c>
      <c r="G475" s="198">
        <f t="shared" si="377"/>
        <v>2.827</v>
      </c>
      <c r="H475" s="198">
        <f t="shared" si="377"/>
        <v>3.7880000000000003</v>
      </c>
      <c r="I475" s="198">
        <f t="shared" si="377"/>
        <v>4.166666666666667</v>
      </c>
      <c r="J475" s="198">
        <f t="shared" si="377"/>
        <v>4.166666666666667</v>
      </c>
      <c r="K475" s="198">
        <f t="shared" si="377"/>
        <v>4.166666666666667</v>
      </c>
      <c r="L475" s="198">
        <f t="shared" si="377"/>
        <v>4.166666666666667</v>
      </c>
      <c r="M475" s="198">
        <f t="shared" si="377"/>
        <v>4.166666666666667</v>
      </c>
      <c r="N475" s="198">
        <f t="shared" si="377"/>
        <v>3.3370000000000002</v>
      </c>
      <c r="O475" s="198">
        <f t="shared" si="377"/>
        <v>2.5619999999999998</v>
      </c>
      <c r="P475" s="198">
        <f t="shared" si="377"/>
        <v>4.1040000000000001</v>
      </c>
      <c r="Q475" s="198">
        <f t="shared" si="377"/>
        <v>3.9240000000000004</v>
      </c>
      <c r="R475" s="198">
        <f t="shared" si="377"/>
        <v>3.9740000000000002</v>
      </c>
      <c r="S475" s="116"/>
    </row>
    <row r="476" spans="1:20" s="115" customFormat="1" ht="19.2" x14ac:dyDescent="0.5">
      <c r="A476" s="259"/>
      <c r="B476" s="206" t="s">
        <v>220</v>
      </c>
      <c r="C476" s="206"/>
      <c r="D476" s="207"/>
      <c r="E476" s="208"/>
      <c r="F476" s="198">
        <f>F475</f>
        <v>4.166666666666667</v>
      </c>
      <c r="G476" s="198">
        <f t="shared" ref="G476:R476" si="378">G475</f>
        <v>2.827</v>
      </c>
      <c r="H476" s="198">
        <f t="shared" si="378"/>
        <v>3.7880000000000003</v>
      </c>
      <c r="I476" s="198">
        <f t="shared" si="378"/>
        <v>4.166666666666667</v>
      </c>
      <c r="J476" s="198">
        <f t="shared" si="378"/>
        <v>4.166666666666667</v>
      </c>
      <c r="K476" s="198">
        <f t="shared" si="378"/>
        <v>4.166666666666667</v>
      </c>
      <c r="L476" s="198">
        <f t="shared" si="378"/>
        <v>4.166666666666667</v>
      </c>
      <c r="M476" s="198">
        <f t="shared" si="378"/>
        <v>4.166666666666667</v>
      </c>
      <c r="N476" s="198">
        <f t="shared" si="378"/>
        <v>3.3370000000000002</v>
      </c>
      <c r="O476" s="198">
        <f t="shared" si="378"/>
        <v>2.5619999999999998</v>
      </c>
      <c r="P476" s="198">
        <f t="shared" si="378"/>
        <v>4.1040000000000001</v>
      </c>
      <c r="Q476" s="198">
        <f t="shared" si="378"/>
        <v>3.9240000000000004</v>
      </c>
      <c r="R476" s="198">
        <f t="shared" si="378"/>
        <v>3.9740000000000002</v>
      </c>
      <c r="S476" s="116"/>
    </row>
    <row r="477" spans="1:20" s="115" customFormat="1" ht="19.2" x14ac:dyDescent="0.5">
      <c r="A477" s="259"/>
      <c r="B477" s="206" t="s">
        <v>370</v>
      </c>
      <c r="C477" s="206"/>
      <c r="D477" s="207" t="s">
        <v>221</v>
      </c>
      <c r="E477" s="208"/>
      <c r="F477" s="269">
        <f>F466</f>
        <v>1.2999999999999999E-2</v>
      </c>
      <c r="G477" s="269">
        <f>+F477</f>
        <v>1.2999999999999999E-2</v>
      </c>
      <c r="H477" s="269">
        <f t="shared" ref="H477:R479" si="379">+G477</f>
        <v>1.2999999999999999E-2</v>
      </c>
      <c r="I477" s="269">
        <f t="shared" si="379"/>
        <v>1.2999999999999999E-2</v>
      </c>
      <c r="J477" s="269">
        <f t="shared" si="379"/>
        <v>1.2999999999999999E-2</v>
      </c>
      <c r="K477" s="269">
        <f t="shared" si="379"/>
        <v>1.2999999999999999E-2</v>
      </c>
      <c r="L477" s="269">
        <f t="shared" si="379"/>
        <v>1.2999999999999999E-2</v>
      </c>
      <c r="M477" s="269">
        <f t="shared" si="379"/>
        <v>1.2999999999999999E-2</v>
      </c>
      <c r="N477" s="269">
        <f t="shared" si="379"/>
        <v>1.2999999999999999E-2</v>
      </c>
      <c r="O477" s="269">
        <f t="shared" si="379"/>
        <v>1.2999999999999999E-2</v>
      </c>
      <c r="P477" s="269">
        <f t="shared" si="379"/>
        <v>1.2999999999999999E-2</v>
      </c>
      <c r="Q477" s="269">
        <f t="shared" si="379"/>
        <v>1.2999999999999999E-2</v>
      </c>
      <c r="R477" s="269">
        <f t="shared" si="379"/>
        <v>1.2999999999999999E-2</v>
      </c>
      <c r="S477" s="116"/>
    </row>
    <row r="478" spans="1:20" s="115" customFormat="1" ht="19.2" x14ac:dyDescent="0.5">
      <c r="A478" s="259"/>
      <c r="B478" s="206" t="s">
        <v>222</v>
      </c>
      <c r="C478" s="206"/>
      <c r="D478" s="207" t="s">
        <v>223</v>
      </c>
      <c r="E478" s="208" t="s">
        <v>4</v>
      </c>
      <c r="F478" s="198">
        <v>8</v>
      </c>
      <c r="G478" s="198">
        <f>+F478</f>
        <v>8</v>
      </c>
      <c r="H478" s="198">
        <f t="shared" si="379"/>
        <v>8</v>
      </c>
      <c r="I478" s="198">
        <f t="shared" si="379"/>
        <v>8</v>
      </c>
      <c r="J478" s="198">
        <f t="shared" si="379"/>
        <v>8</v>
      </c>
      <c r="K478" s="198">
        <f t="shared" si="379"/>
        <v>8</v>
      </c>
      <c r="L478" s="198">
        <f t="shared" si="379"/>
        <v>8</v>
      </c>
      <c r="M478" s="198">
        <f t="shared" si="379"/>
        <v>8</v>
      </c>
      <c r="N478" s="198">
        <f t="shared" si="379"/>
        <v>8</v>
      </c>
      <c r="O478" s="198">
        <f t="shared" si="379"/>
        <v>8</v>
      </c>
      <c r="P478" s="198">
        <f t="shared" si="379"/>
        <v>8</v>
      </c>
      <c r="Q478" s="198">
        <f t="shared" si="379"/>
        <v>8</v>
      </c>
      <c r="R478" s="198">
        <f t="shared" si="379"/>
        <v>8</v>
      </c>
      <c r="S478" s="116"/>
    </row>
    <row r="479" spans="1:20" s="115" customFormat="1" ht="19.2" x14ac:dyDescent="0.5">
      <c r="A479" s="259"/>
      <c r="B479" s="206" t="s">
        <v>371</v>
      </c>
      <c r="C479" s="206"/>
      <c r="D479" s="207" t="s">
        <v>522</v>
      </c>
      <c r="E479" s="208" t="s">
        <v>4</v>
      </c>
      <c r="F479" s="198">
        <v>0.9</v>
      </c>
      <c r="G479" s="198">
        <f>+F479</f>
        <v>0.9</v>
      </c>
      <c r="H479" s="198">
        <f t="shared" si="379"/>
        <v>0.9</v>
      </c>
      <c r="I479" s="198">
        <f t="shared" si="379"/>
        <v>0.9</v>
      </c>
      <c r="J479" s="198">
        <f t="shared" si="379"/>
        <v>0.9</v>
      </c>
      <c r="K479" s="198">
        <f t="shared" si="379"/>
        <v>0.9</v>
      </c>
      <c r="L479" s="198">
        <f t="shared" si="379"/>
        <v>0.9</v>
      </c>
      <c r="M479" s="198">
        <f t="shared" si="379"/>
        <v>0.9</v>
      </c>
      <c r="N479" s="198">
        <f t="shared" si="379"/>
        <v>0.9</v>
      </c>
      <c r="O479" s="198">
        <f t="shared" si="379"/>
        <v>0.9</v>
      </c>
      <c r="P479" s="198">
        <f t="shared" si="379"/>
        <v>0.9</v>
      </c>
      <c r="Q479" s="198">
        <f t="shared" si="379"/>
        <v>0.9</v>
      </c>
      <c r="R479" s="198">
        <f t="shared" si="379"/>
        <v>0.9</v>
      </c>
      <c r="S479" s="116"/>
    </row>
    <row r="480" spans="1:20" ht="20.399999999999999" x14ac:dyDescent="0.5">
      <c r="A480" s="196"/>
      <c r="B480" s="186" t="s">
        <v>372</v>
      </c>
      <c r="C480" s="186"/>
      <c r="D480" s="187" t="s">
        <v>515</v>
      </c>
      <c r="E480" s="188" t="s">
        <v>516</v>
      </c>
      <c r="F480" s="189">
        <f>PI()*F479^2/4</f>
        <v>0.63617251235193317</v>
      </c>
      <c r="G480" s="189">
        <f t="shared" ref="G480:R480" si="380">PI()*G479^2/4</f>
        <v>0.63617251235193317</v>
      </c>
      <c r="H480" s="189">
        <f t="shared" si="380"/>
        <v>0.63617251235193317</v>
      </c>
      <c r="I480" s="189">
        <f t="shared" si="380"/>
        <v>0.63617251235193317</v>
      </c>
      <c r="J480" s="189">
        <f t="shared" si="380"/>
        <v>0.63617251235193317</v>
      </c>
      <c r="K480" s="189">
        <f t="shared" si="380"/>
        <v>0.63617251235193317</v>
      </c>
      <c r="L480" s="189">
        <f t="shared" si="380"/>
        <v>0.63617251235193317</v>
      </c>
      <c r="M480" s="189">
        <f t="shared" si="380"/>
        <v>0.63617251235193317</v>
      </c>
      <c r="N480" s="189">
        <f t="shared" si="380"/>
        <v>0.63617251235193317</v>
      </c>
      <c r="O480" s="189">
        <f t="shared" si="380"/>
        <v>0.63617251235193317</v>
      </c>
      <c r="P480" s="189">
        <f t="shared" si="380"/>
        <v>0.63617251235193317</v>
      </c>
      <c r="Q480" s="189">
        <f t="shared" si="380"/>
        <v>0.63617251235193317</v>
      </c>
      <c r="R480" s="189">
        <f t="shared" si="380"/>
        <v>0.63617251235193317</v>
      </c>
    </row>
    <row r="481" spans="1:20" ht="19.2" x14ac:dyDescent="0.5">
      <c r="A481" s="196"/>
      <c r="B481" s="186" t="s">
        <v>224</v>
      </c>
      <c r="C481" s="186"/>
      <c r="D481" s="187" t="s">
        <v>517</v>
      </c>
      <c r="E481" s="188" t="s">
        <v>117</v>
      </c>
      <c r="F481" s="189">
        <f>F476/F480</f>
        <v>6.5495861354689442</v>
      </c>
      <c r="G481" s="189">
        <f t="shared" ref="G481:R481" si="381">G476/G480</f>
        <v>4.4437632011929686</v>
      </c>
      <c r="H481" s="189">
        <f t="shared" si="381"/>
        <v>5.9543597474775263</v>
      </c>
      <c r="I481" s="189">
        <f t="shared" si="381"/>
        <v>6.5495861354689442</v>
      </c>
      <c r="J481" s="189">
        <f t="shared" si="381"/>
        <v>6.5495861354689442</v>
      </c>
      <c r="K481" s="189">
        <f t="shared" si="381"/>
        <v>6.5495861354689442</v>
      </c>
      <c r="L481" s="189">
        <f t="shared" si="381"/>
        <v>6.5495861354689442</v>
      </c>
      <c r="M481" s="189">
        <f t="shared" si="381"/>
        <v>6.5495861354689442</v>
      </c>
      <c r="N481" s="189">
        <f t="shared" si="381"/>
        <v>5.2454325441743679</v>
      </c>
      <c r="O481" s="189">
        <f t="shared" si="381"/>
        <v>4.0272095229771434</v>
      </c>
      <c r="P481" s="189">
        <f t="shared" si="381"/>
        <v>6.451080359991491</v>
      </c>
      <c r="Q481" s="189">
        <f t="shared" si="381"/>
        <v>6.1681382389392327</v>
      </c>
      <c r="R481" s="189">
        <f t="shared" si="381"/>
        <v>6.2467332725648594</v>
      </c>
    </row>
    <row r="482" spans="1:20" ht="19.2" x14ac:dyDescent="0.5">
      <c r="A482" s="196"/>
      <c r="B482" s="186" t="s">
        <v>118</v>
      </c>
      <c r="C482" s="186"/>
      <c r="D482" s="187"/>
      <c r="E482" s="188"/>
      <c r="F482" s="189">
        <f>F481^2/(2*9.81)</f>
        <v>2.1863954406690631</v>
      </c>
      <c r="G482" s="189">
        <f t="shared" ref="G482:R482" si="382">G481^2/(2*9.81)</f>
        <v>1.0064745865584495</v>
      </c>
      <c r="H482" s="189">
        <f t="shared" si="382"/>
        <v>1.8070540266249047</v>
      </c>
      <c r="I482" s="189">
        <f t="shared" si="382"/>
        <v>2.1863954406690631</v>
      </c>
      <c r="J482" s="189">
        <f t="shared" si="382"/>
        <v>2.1863954406690631</v>
      </c>
      <c r="K482" s="189">
        <f t="shared" si="382"/>
        <v>2.1863954406690631</v>
      </c>
      <c r="L482" s="189">
        <f t="shared" si="382"/>
        <v>2.1863954406690631</v>
      </c>
      <c r="M482" s="189">
        <f t="shared" si="382"/>
        <v>2.1863954406690631</v>
      </c>
      <c r="N482" s="189">
        <f t="shared" si="382"/>
        <v>1.4023732199532914</v>
      </c>
      <c r="O482" s="189">
        <f t="shared" si="382"/>
        <v>0.82662673506410755</v>
      </c>
      <c r="P482" s="189">
        <f t="shared" si="382"/>
        <v>2.1211232319606497</v>
      </c>
      <c r="Q482" s="189">
        <f t="shared" si="382"/>
        <v>1.9391401291877868</v>
      </c>
      <c r="R482" s="189">
        <f t="shared" si="382"/>
        <v>1.9888724046161508</v>
      </c>
      <c r="S482" s="122"/>
      <c r="T482" s="123"/>
    </row>
    <row r="483" spans="1:20" s="172" customFormat="1" ht="20.399999999999999" x14ac:dyDescent="0.5">
      <c r="A483" s="242"/>
      <c r="B483" s="251" t="s">
        <v>225</v>
      </c>
      <c r="C483" s="210" t="s">
        <v>518</v>
      </c>
      <c r="D483" s="268" t="s">
        <v>519</v>
      </c>
      <c r="E483" s="212" t="s">
        <v>4</v>
      </c>
      <c r="F483" s="252">
        <f>(F477*F478*F481^2)/(2*9.81*F479)</f>
        <v>0.25265013981064727</v>
      </c>
      <c r="G483" s="252">
        <f t="shared" ref="G483:R483" si="383">(G477*G478*G481^2)/(2*9.81*G479)</f>
        <v>0.1163037300023097</v>
      </c>
      <c r="H483" s="252">
        <f t="shared" si="383"/>
        <v>0.20881513196554452</v>
      </c>
      <c r="I483" s="252">
        <f t="shared" si="383"/>
        <v>0.25265013981064727</v>
      </c>
      <c r="J483" s="252">
        <f t="shared" si="383"/>
        <v>0.25265013981064727</v>
      </c>
      <c r="K483" s="252">
        <f t="shared" si="383"/>
        <v>0.25265013981064727</v>
      </c>
      <c r="L483" s="252">
        <f t="shared" si="383"/>
        <v>0.25265013981064727</v>
      </c>
      <c r="M483" s="252">
        <f t="shared" si="383"/>
        <v>0.25265013981064727</v>
      </c>
      <c r="N483" s="252">
        <f t="shared" si="383"/>
        <v>0.16205201652793588</v>
      </c>
      <c r="O483" s="252">
        <f t="shared" si="383"/>
        <v>9.5521311607407969E-2</v>
      </c>
      <c r="P483" s="252">
        <f t="shared" si="383"/>
        <v>0.24510757347100837</v>
      </c>
      <c r="Q483" s="252">
        <f t="shared" si="383"/>
        <v>0.22407841492836647</v>
      </c>
      <c r="R483" s="252">
        <f t="shared" si="383"/>
        <v>0.22982525564453296</v>
      </c>
      <c r="S483" s="173">
        <f>S458-F483</f>
        <v>-0.25265013981064727</v>
      </c>
      <c r="T483" s="174">
        <f>S483-F482</f>
        <v>-2.4390455804797102</v>
      </c>
    </row>
    <row r="484" spans="1:20" ht="19.2" x14ac:dyDescent="0.5">
      <c r="A484" s="196"/>
      <c r="B484" s="156"/>
      <c r="C484" s="186"/>
      <c r="D484" s="220"/>
      <c r="E484" s="188"/>
      <c r="F484" s="234"/>
      <c r="G484" s="234"/>
      <c r="H484" s="234"/>
      <c r="I484" s="234"/>
      <c r="J484" s="234"/>
      <c r="K484" s="234"/>
      <c r="L484" s="234"/>
      <c r="M484" s="234"/>
      <c r="N484" s="234"/>
      <c r="O484" s="234"/>
      <c r="P484" s="234"/>
      <c r="Q484" s="234"/>
      <c r="R484" s="234"/>
      <c r="S484" s="122"/>
      <c r="T484" s="123"/>
    </row>
    <row r="485" spans="1:20" ht="19.2" x14ac:dyDescent="0.5">
      <c r="A485" s="196"/>
      <c r="B485" s="156" t="s">
        <v>434</v>
      </c>
      <c r="C485" s="186"/>
      <c r="D485" s="187"/>
      <c r="E485" s="188"/>
      <c r="F485" s="234"/>
      <c r="G485" s="234"/>
      <c r="H485" s="234"/>
      <c r="I485" s="234"/>
      <c r="J485" s="234"/>
      <c r="K485" s="234"/>
      <c r="L485" s="234"/>
      <c r="M485" s="234"/>
      <c r="N485" s="234"/>
      <c r="O485" s="234"/>
      <c r="P485" s="234"/>
      <c r="Q485" s="234"/>
      <c r="R485" s="234"/>
      <c r="S485" s="122"/>
      <c r="T485" s="123"/>
    </row>
    <row r="486" spans="1:20" ht="19.2" x14ac:dyDescent="0.5">
      <c r="A486" s="196"/>
      <c r="B486" s="186" t="s">
        <v>375</v>
      </c>
      <c r="C486" s="186"/>
      <c r="D486" s="187"/>
      <c r="E486" s="188"/>
      <c r="F486" s="233">
        <f>F475</f>
        <v>4.166666666666667</v>
      </c>
      <c r="G486" s="233">
        <f t="shared" ref="G486:R486" si="384">G475</f>
        <v>2.827</v>
      </c>
      <c r="H486" s="233">
        <f t="shared" si="384"/>
        <v>3.7880000000000003</v>
      </c>
      <c r="I486" s="233">
        <f t="shared" si="384"/>
        <v>4.166666666666667</v>
      </c>
      <c r="J486" s="233">
        <f t="shared" si="384"/>
        <v>4.166666666666667</v>
      </c>
      <c r="K486" s="233">
        <f t="shared" si="384"/>
        <v>4.166666666666667</v>
      </c>
      <c r="L486" s="233">
        <f t="shared" si="384"/>
        <v>4.166666666666667</v>
      </c>
      <c r="M486" s="233">
        <f t="shared" si="384"/>
        <v>4.166666666666667</v>
      </c>
      <c r="N486" s="233">
        <f t="shared" si="384"/>
        <v>3.3370000000000002</v>
      </c>
      <c r="O486" s="233">
        <f t="shared" si="384"/>
        <v>2.5619999999999998</v>
      </c>
      <c r="P486" s="233">
        <f t="shared" si="384"/>
        <v>4.1040000000000001</v>
      </c>
      <c r="Q486" s="233">
        <f t="shared" si="384"/>
        <v>3.9240000000000004</v>
      </c>
      <c r="R486" s="233">
        <f t="shared" si="384"/>
        <v>3.9740000000000002</v>
      </c>
      <c r="S486" s="122"/>
      <c r="T486" s="123"/>
    </row>
    <row r="487" spans="1:20" s="115" customFormat="1" ht="19.2" x14ac:dyDescent="0.5">
      <c r="A487" s="259"/>
      <c r="B487" s="270" t="s">
        <v>376</v>
      </c>
      <c r="C487" s="206"/>
      <c r="D487" s="207"/>
      <c r="E487" s="208" t="s">
        <v>4</v>
      </c>
      <c r="F487" s="198">
        <v>1.2</v>
      </c>
      <c r="G487" s="198">
        <f>+F487</f>
        <v>1.2</v>
      </c>
      <c r="H487" s="198">
        <f t="shared" ref="H487" si="385">+G487</f>
        <v>1.2</v>
      </c>
      <c r="I487" s="198">
        <f t="shared" ref="I487" si="386">+H487</f>
        <v>1.2</v>
      </c>
      <c r="J487" s="198">
        <f t="shared" ref="J487" si="387">+I487</f>
        <v>1.2</v>
      </c>
      <c r="K487" s="198">
        <f t="shared" ref="K487" si="388">+J487</f>
        <v>1.2</v>
      </c>
      <c r="L487" s="198">
        <f t="shared" ref="L487" si="389">+K487</f>
        <v>1.2</v>
      </c>
      <c r="M487" s="198">
        <f t="shared" ref="M487" si="390">+L487</f>
        <v>1.2</v>
      </c>
      <c r="N487" s="198">
        <f t="shared" ref="N487" si="391">+M487</f>
        <v>1.2</v>
      </c>
      <c r="O487" s="198">
        <f t="shared" ref="O487" si="392">+N487</f>
        <v>1.2</v>
      </c>
      <c r="P487" s="198">
        <f t="shared" ref="P487" si="393">+O487</f>
        <v>1.2</v>
      </c>
      <c r="Q487" s="198">
        <f t="shared" ref="Q487" si="394">+P487</f>
        <v>1.2</v>
      </c>
      <c r="R487" s="198">
        <f t="shared" ref="R487" si="395">+Q487</f>
        <v>1.2</v>
      </c>
      <c r="S487" s="130"/>
      <c r="T487" s="125"/>
    </row>
    <row r="488" spans="1:20" ht="19.2" x14ac:dyDescent="0.5">
      <c r="A488" s="196"/>
      <c r="B488" s="209" t="s">
        <v>377</v>
      </c>
      <c r="C488" s="186"/>
      <c r="D488" s="187" t="s">
        <v>213</v>
      </c>
      <c r="E488" s="188" t="s">
        <v>117</v>
      </c>
      <c r="F488" s="217">
        <f>F486/((PI()*F487^2)/4)</f>
        <v>3.684142201201281</v>
      </c>
      <c r="G488" s="217">
        <f t="shared" ref="G488:R488" si="396">G486/((PI()*G487^2)/4)</f>
        <v>2.4996168006710451</v>
      </c>
      <c r="H488" s="217">
        <f t="shared" si="396"/>
        <v>3.3493273579561089</v>
      </c>
      <c r="I488" s="217">
        <f t="shared" si="396"/>
        <v>3.684142201201281</v>
      </c>
      <c r="J488" s="217">
        <f t="shared" si="396"/>
        <v>3.684142201201281</v>
      </c>
      <c r="K488" s="217">
        <f t="shared" si="396"/>
        <v>3.684142201201281</v>
      </c>
      <c r="L488" s="217">
        <f t="shared" si="396"/>
        <v>3.684142201201281</v>
      </c>
      <c r="M488" s="217">
        <f t="shared" si="396"/>
        <v>3.684142201201281</v>
      </c>
      <c r="N488" s="217">
        <f t="shared" si="396"/>
        <v>2.9505558060980821</v>
      </c>
      <c r="O488" s="217">
        <f t="shared" si="396"/>
        <v>2.2653053566746433</v>
      </c>
      <c r="P488" s="217">
        <f t="shared" si="396"/>
        <v>3.6287327024952138</v>
      </c>
      <c r="Q488" s="217">
        <f t="shared" si="396"/>
        <v>3.4695777594033186</v>
      </c>
      <c r="R488" s="217">
        <f t="shared" si="396"/>
        <v>3.5137874658177339</v>
      </c>
      <c r="S488" s="122"/>
      <c r="T488" s="123"/>
    </row>
    <row r="489" spans="1:20" ht="19.2" x14ac:dyDescent="0.5">
      <c r="A489" s="196"/>
      <c r="B489" s="281" t="s">
        <v>378</v>
      </c>
      <c r="C489" s="281"/>
      <c r="D489" s="186"/>
      <c r="E489" s="186"/>
      <c r="F489" s="186"/>
      <c r="G489" s="186"/>
      <c r="H489" s="186"/>
      <c r="I489" s="186"/>
      <c r="J489" s="186"/>
      <c r="K489" s="186"/>
      <c r="L489" s="186"/>
      <c r="M489" s="186"/>
      <c r="N489" s="186"/>
      <c r="O489" s="186"/>
      <c r="P489" s="186"/>
      <c r="Q489" s="186"/>
      <c r="R489" s="186"/>
      <c r="S489" s="122"/>
      <c r="T489" s="123"/>
    </row>
    <row r="490" spans="1:20" ht="19.2" x14ac:dyDescent="0.5">
      <c r="A490" s="196"/>
      <c r="B490" s="186"/>
      <c r="C490" s="186">
        <f>0.42*(1-(1.2/1.8)^2)</f>
        <v>0.23333333333333334</v>
      </c>
      <c r="D490" s="187" t="s">
        <v>520</v>
      </c>
      <c r="E490" s="188"/>
      <c r="F490" s="189">
        <v>0.5</v>
      </c>
      <c r="G490" s="189">
        <v>0.5</v>
      </c>
      <c r="H490" s="189">
        <v>0.5</v>
      </c>
      <c r="I490" s="189">
        <v>0.5</v>
      </c>
      <c r="J490" s="189">
        <v>0.5</v>
      </c>
      <c r="K490" s="189">
        <v>0.5</v>
      </c>
      <c r="L490" s="189">
        <v>0.5</v>
      </c>
      <c r="M490" s="189">
        <v>0.5</v>
      </c>
      <c r="N490" s="189">
        <v>0.5</v>
      </c>
      <c r="O490" s="189">
        <v>0.5</v>
      </c>
      <c r="P490" s="189">
        <v>0.5</v>
      </c>
      <c r="Q490" s="189">
        <v>0.5</v>
      </c>
      <c r="R490" s="189">
        <v>0.5</v>
      </c>
      <c r="S490" s="122"/>
      <c r="T490" s="123"/>
    </row>
    <row r="491" spans="1:20" ht="19.2" x14ac:dyDescent="0.5">
      <c r="A491" s="196"/>
      <c r="B491" s="186" t="s">
        <v>379</v>
      </c>
      <c r="C491" s="186"/>
      <c r="D491" s="187"/>
      <c r="E491" s="188"/>
      <c r="F491" s="189">
        <f>F486^2/(2*9.81)</f>
        <v>0.88486804847661127</v>
      </c>
      <c r="G491" s="189">
        <f t="shared" ref="G491:R491" si="397">G486^2/(2*9.81)</f>
        <v>0.40733583078491331</v>
      </c>
      <c r="H491" s="189">
        <f t="shared" si="397"/>
        <v>0.73134271151885832</v>
      </c>
      <c r="I491" s="189">
        <f t="shared" si="397"/>
        <v>0.88486804847661127</v>
      </c>
      <c r="J491" s="189">
        <f t="shared" si="397"/>
        <v>0.88486804847661127</v>
      </c>
      <c r="K491" s="189">
        <f t="shared" si="397"/>
        <v>0.88486804847661127</v>
      </c>
      <c r="L491" s="189">
        <f t="shared" si="397"/>
        <v>0.88486804847661127</v>
      </c>
      <c r="M491" s="189">
        <f t="shared" si="397"/>
        <v>0.88486804847661127</v>
      </c>
      <c r="N491" s="189">
        <f t="shared" si="397"/>
        <v>0.56756213047910298</v>
      </c>
      <c r="O491" s="189">
        <f t="shared" si="397"/>
        <v>0.33454862385321099</v>
      </c>
      <c r="P491" s="189">
        <f t="shared" si="397"/>
        <v>0.8584513761467889</v>
      </c>
      <c r="Q491" s="189">
        <f t="shared" si="397"/>
        <v>0.78480000000000005</v>
      </c>
      <c r="R491" s="189">
        <f t="shared" si="397"/>
        <v>0.80492742099898074</v>
      </c>
      <c r="S491" s="122"/>
      <c r="T491" s="123"/>
    </row>
    <row r="492" spans="1:20" s="172" customFormat="1" ht="13.5" customHeight="1" x14ac:dyDescent="0.5">
      <c r="A492" s="242"/>
      <c r="B492" s="210" t="s">
        <v>380</v>
      </c>
      <c r="C492" s="253" t="s">
        <v>511</v>
      </c>
      <c r="D492" s="211"/>
      <c r="E492" s="212" t="s">
        <v>4</v>
      </c>
      <c r="F492" s="252">
        <f>F490*F491</f>
        <v>0.44243402423830563</v>
      </c>
      <c r="G492" s="252">
        <f t="shared" ref="G492:R492" si="398">G490*G491</f>
        <v>0.20366791539245666</v>
      </c>
      <c r="H492" s="252">
        <f t="shared" si="398"/>
        <v>0.36567135575942916</v>
      </c>
      <c r="I492" s="252">
        <f t="shared" si="398"/>
        <v>0.44243402423830563</v>
      </c>
      <c r="J492" s="252">
        <f t="shared" si="398"/>
        <v>0.44243402423830563</v>
      </c>
      <c r="K492" s="252">
        <f t="shared" si="398"/>
        <v>0.44243402423830563</v>
      </c>
      <c r="L492" s="252">
        <f t="shared" si="398"/>
        <v>0.44243402423830563</v>
      </c>
      <c r="M492" s="252">
        <f t="shared" si="398"/>
        <v>0.44243402423830563</v>
      </c>
      <c r="N492" s="252">
        <f t="shared" si="398"/>
        <v>0.28378106523955149</v>
      </c>
      <c r="O492" s="252">
        <f t="shared" si="398"/>
        <v>0.1672743119266055</v>
      </c>
      <c r="P492" s="252">
        <f t="shared" si="398"/>
        <v>0.42922568807339445</v>
      </c>
      <c r="Q492" s="252">
        <f t="shared" si="398"/>
        <v>0.39240000000000003</v>
      </c>
      <c r="R492" s="252">
        <f t="shared" si="398"/>
        <v>0.40246371049949037</v>
      </c>
      <c r="S492" s="173"/>
      <c r="T492" s="174"/>
    </row>
    <row r="493" spans="1:20" ht="19.2" x14ac:dyDescent="0.5">
      <c r="A493" s="196"/>
      <c r="B493" s="186">
        <f>+Pi*(F487^2)/4</f>
        <v>1.0728</v>
      </c>
      <c r="C493" s="241"/>
      <c r="D493" s="187"/>
      <c r="E493" s="188"/>
      <c r="F493" s="234"/>
      <c r="G493" s="234"/>
      <c r="H493" s="234"/>
      <c r="I493" s="234"/>
      <c r="J493" s="234"/>
      <c r="K493" s="234"/>
      <c r="L493" s="234"/>
      <c r="M493" s="234"/>
      <c r="N493" s="234"/>
      <c r="O493" s="234"/>
      <c r="P493" s="234"/>
      <c r="Q493" s="234"/>
      <c r="R493" s="234"/>
      <c r="S493" s="122"/>
      <c r="T493" s="123"/>
    </row>
    <row r="494" spans="1:20" ht="19.2" x14ac:dyDescent="0.5">
      <c r="A494" s="196"/>
      <c r="B494" s="240" t="s">
        <v>456</v>
      </c>
      <c r="C494" s="186"/>
      <c r="D494" s="187" t="s">
        <v>303</v>
      </c>
      <c r="E494" s="188" t="s">
        <v>4</v>
      </c>
      <c r="F494" s="234">
        <v>5</v>
      </c>
      <c r="G494" s="234">
        <f>F494</f>
        <v>5</v>
      </c>
      <c r="H494" s="234">
        <f t="shared" ref="H494:R494" si="399">G494</f>
        <v>5</v>
      </c>
      <c r="I494" s="234">
        <f t="shared" si="399"/>
        <v>5</v>
      </c>
      <c r="J494" s="234">
        <f t="shared" si="399"/>
        <v>5</v>
      </c>
      <c r="K494" s="234">
        <f t="shared" si="399"/>
        <v>5</v>
      </c>
      <c r="L494" s="234">
        <f t="shared" si="399"/>
        <v>5</v>
      </c>
      <c r="M494" s="234">
        <f t="shared" si="399"/>
        <v>5</v>
      </c>
      <c r="N494" s="234">
        <f t="shared" si="399"/>
        <v>5</v>
      </c>
      <c r="O494" s="234">
        <f t="shared" si="399"/>
        <v>5</v>
      </c>
      <c r="P494" s="234">
        <f t="shared" si="399"/>
        <v>5</v>
      </c>
      <c r="Q494" s="234">
        <f t="shared" si="399"/>
        <v>5</v>
      </c>
      <c r="R494" s="234">
        <f t="shared" si="399"/>
        <v>5</v>
      </c>
      <c r="S494" s="122"/>
      <c r="T494" s="123"/>
    </row>
    <row r="495" spans="1:20" ht="19.2" x14ac:dyDescent="0.5">
      <c r="A495" s="196"/>
      <c r="B495" s="240" t="s">
        <v>448</v>
      </c>
      <c r="C495" s="186"/>
      <c r="D495" s="187" t="s">
        <v>448</v>
      </c>
      <c r="E495" s="188"/>
      <c r="F495" s="234">
        <f>F494/F487</f>
        <v>4.166666666666667</v>
      </c>
      <c r="G495" s="234">
        <f t="shared" ref="G495:R495" si="400">G494/G487</f>
        <v>4.166666666666667</v>
      </c>
      <c r="H495" s="234">
        <f t="shared" si="400"/>
        <v>4.166666666666667</v>
      </c>
      <c r="I495" s="234">
        <f t="shared" si="400"/>
        <v>4.166666666666667</v>
      </c>
      <c r="J495" s="234">
        <f t="shared" si="400"/>
        <v>4.166666666666667</v>
      </c>
      <c r="K495" s="234">
        <f t="shared" si="400"/>
        <v>4.166666666666667</v>
      </c>
      <c r="L495" s="234">
        <f t="shared" si="400"/>
        <v>4.166666666666667</v>
      </c>
      <c r="M495" s="234">
        <f t="shared" si="400"/>
        <v>4.166666666666667</v>
      </c>
      <c r="N495" s="234">
        <f t="shared" si="400"/>
        <v>4.166666666666667</v>
      </c>
      <c r="O495" s="234">
        <f t="shared" si="400"/>
        <v>4.166666666666667</v>
      </c>
      <c r="P495" s="234">
        <f t="shared" si="400"/>
        <v>4.166666666666667</v>
      </c>
      <c r="Q495" s="234">
        <f t="shared" si="400"/>
        <v>4.166666666666667</v>
      </c>
      <c r="R495" s="234">
        <f t="shared" si="400"/>
        <v>4.166666666666667</v>
      </c>
      <c r="S495" s="122"/>
      <c r="T495" s="123"/>
    </row>
    <row r="496" spans="1:20" ht="19.2" x14ac:dyDescent="0.5">
      <c r="A496" s="196"/>
      <c r="B496" s="240" t="s">
        <v>457</v>
      </c>
      <c r="C496" s="186" t="s">
        <v>458</v>
      </c>
      <c r="D496" s="187"/>
      <c r="E496" s="188"/>
      <c r="F496" s="234">
        <v>0.09</v>
      </c>
      <c r="G496" s="234">
        <v>0.1</v>
      </c>
      <c r="H496" s="234">
        <v>0.1</v>
      </c>
      <c r="I496" s="234">
        <v>0.1</v>
      </c>
      <c r="J496" s="234">
        <v>0.1</v>
      </c>
      <c r="K496" s="234">
        <v>0.1</v>
      </c>
      <c r="L496" s="234">
        <v>0.1</v>
      </c>
      <c r="M496" s="234">
        <v>0.1</v>
      </c>
      <c r="N496" s="234">
        <v>0.1</v>
      </c>
      <c r="O496" s="234">
        <v>0.1</v>
      </c>
      <c r="P496" s="234">
        <v>0.1</v>
      </c>
      <c r="Q496" s="234">
        <v>0.1</v>
      </c>
      <c r="R496" s="234">
        <v>0.1</v>
      </c>
      <c r="S496" s="122"/>
      <c r="T496" s="123"/>
    </row>
    <row r="497" spans="1:20" ht="19.2" x14ac:dyDescent="0.5">
      <c r="A497" s="196"/>
      <c r="B497" s="240" t="s">
        <v>459</v>
      </c>
      <c r="C497" s="186" t="s">
        <v>460</v>
      </c>
      <c r="D497" s="187"/>
      <c r="E497" s="188"/>
      <c r="F497" s="234">
        <v>0.7</v>
      </c>
      <c r="G497" s="234">
        <f>F497</f>
        <v>0.7</v>
      </c>
      <c r="H497" s="234">
        <f t="shared" ref="H497:R497" si="401">G497</f>
        <v>0.7</v>
      </c>
      <c r="I497" s="234">
        <f t="shared" si="401"/>
        <v>0.7</v>
      </c>
      <c r="J497" s="234">
        <f t="shared" si="401"/>
        <v>0.7</v>
      </c>
      <c r="K497" s="234">
        <f t="shared" si="401"/>
        <v>0.7</v>
      </c>
      <c r="L497" s="234">
        <f t="shared" si="401"/>
        <v>0.7</v>
      </c>
      <c r="M497" s="234">
        <f t="shared" si="401"/>
        <v>0.7</v>
      </c>
      <c r="N497" s="234">
        <f t="shared" si="401"/>
        <v>0.7</v>
      </c>
      <c r="O497" s="234">
        <f t="shared" si="401"/>
        <v>0.7</v>
      </c>
      <c r="P497" s="234">
        <f t="shared" si="401"/>
        <v>0.7</v>
      </c>
      <c r="Q497" s="234">
        <f t="shared" si="401"/>
        <v>0.7</v>
      </c>
      <c r="R497" s="234">
        <f t="shared" si="401"/>
        <v>0.7</v>
      </c>
      <c r="S497" s="122"/>
      <c r="T497" s="123"/>
    </row>
    <row r="498" spans="1:20" ht="19.2" x14ac:dyDescent="0.5">
      <c r="A498" s="196"/>
      <c r="B498" s="248" t="s">
        <v>382</v>
      </c>
      <c r="C498" s="206"/>
      <c r="D498" s="271" t="s">
        <v>383</v>
      </c>
      <c r="E498" s="208"/>
      <c r="F498" s="234">
        <v>45</v>
      </c>
      <c r="G498" s="234">
        <f>+F498</f>
        <v>45</v>
      </c>
      <c r="H498" s="234">
        <f t="shared" ref="H498:Q498" si="402">+G498</f>
        <v>45</v>
      </c>
      <c r="I498" s="234">
        <f t="shared" si="402"/>
        <v>45</v>
      </c>
      <c r="J498" s="234">
        <f t="shared" si="402"/>
        <v>45</v>
      </c>
      <c r="K498" s="234">
        <f t="shared" si="402"/>
        <v>45</v>
      </c>
      <c r="L498" s="234">
        <f t="shared" si="402"/>
        <v>45</v>
      </c>
      <c r="M498" s="234">
        <f t="shared" si="402"/>
        <v>45</v>
      </c>
      <c r="N498" s="234">
        <f t="shared" si="402"/>
        <v>45</v>
      </c>
      <c r="O498" s="234">
        <f t="shared" si="402"/>
        <v>45</v>
      </c>
      <c r="P498" s="234">
        <f t="shared" si="402"/>
        <v>45</v>
      </c>
      <c r="Q498" s="234">
        <f t="shared" si="402"/>
        <v>45</v>
      </c>
      <c r="R498" s="234">
        <f>+Q498</f>
        <v>45</v>
      </c>
      <c r="S498" s="122"/>
      <c r="T498" s="123"/>
    </row>
    <row r="499" spans="1:20" ht="19.2" x14ac:dyDescent="0.5">
      <c r="A499" s="196"/>
      <c r="B499" s="272" t="s">
        <v>384</v>
      </c>
      <c r="C499" s="272"/>
      <c r="D499" s="271" t="s">
        <v>457</v>
      </c>
      <c r="E499" s="208"/>
      <c r="F499" s="198">
        <f>F496*F497</f>
        <v>6.3E-2</v>
      </c>
      <c r="G499" s="234">
        <f>F499</f>
        <v>6.3E-2</v>
      </c>
      <c r="H499" s="234">
        <f t="shared" ref="H499:Q499" si="403">G499</f>
        <v>6.3E-2</v>
      </c>
      <c r="I499" s="234">
        <f t="shared" si="403"/>
        <v>6.3E-2</v>
      </c>
      <c r="J499" s="234">
        <f t="shared" si="403"/>
        <v>6.3E-2</v>
      </c>
      <c r="K499" s="234">
        <f t="shared" si="403"/>
        <v>6.3E-2</v>
      </c>
      <c r="L499" s="234">
        <f t="shared" si="403"/>
        <v>6.3E-2</v>
      </c>
      <c r="M499" s="234">
        <f t="shared" si="403"/>
        <v>6.3E-2</v>
      </c>
      <c r="N499" s="234">
        <f t="shared" si="403"/>
        <v>6.3E-2</v>
      </c>
      <c r="O499" s="234">
        <f t="shared" si="403"/>
        <v>6.3E-2</v>
      </c>
      <c r="P499" s="234">
        <f t="shared" si="403"/>
        <v>6.3E-2</v>
      </c>
      <c r="Q499" s="234">
        <f t="shared" si="403"/>
        <v>6.3E-2</v>
      </c>
      <c r="R499" s="234">
        <f>Q499</f>
        <v>6.3E-2</v>
      </c>
      <c r="S499" s="122"/>
      <c r="T499" s="123"/>
    </row>
    <row r="500" spans="1:20" s="172" customFormat="1" ht="19.2" x14ac:dyDescent="0.5">
      <c r="A500" s="242"/>
      <c r="B500" s="201" t="s">
        <v>385</v>
      </c>
      <c r="C500" s="201"/>
      <c r="D500" s="202" t="s">
        <v>523</v>
      </c>
      <c r="E500" s="203" t="s">
        <v>4</v>
      </c>
      <c r="F500" s="273">
        <f>F499*(F481^2)/(2*9.81)</f>
        <v>0.13774291276215098</v>
      </c>
      <c r="G500" s="273">
        <f t="shared" ref="G500:R500" si="404">G499*(G481^2)/(2*9.81)</f>
        <v>6.3407898953182315E-2</v>
      </c>
      <c r="H500" s="273">
        <f t="shared" si="404"/>
        <v>0.113844403677369</v>
      </c>
      <c r="I500" s="273">
        <f t="shared" si="404"/>
        <v>0.13774291276215098</v>
      </c>
      <c r="J500" s="273">
        <f t="shared" si="404"/>
        <v>0.13774291276215098</v>
      </c>
      <c r="K500" s="273">
        <f t="shared" si="404"/>
        <v>0.13774291276215098</v>
      </c>
      <c r="L500" s="273">
        <f t="shared" si="404"/>
        <v>0.13774291276215098</v>
      </c>
      <c r="M500" s="273">
        <f t="shared" si="404"/>
        <v>0.13774291276215098</v>
      </c>
      <c r="N500" s="273">
        <f t="shared" si="404"/>
        <v>8.8349512857057361E-2</v>
      </c>
      <c r="O500" s="273">
        <f t="shared" si="404"/>
        <v>5.2077484309038767E-2</v>
      </c>
      <c r="P500" s="273">
        <f t="shared" si="404"/>
        <v>0.13363076361352091</v>
      </c>
      <c r="Q500" s="273">
        <f t="shared" si="404"/>
        <v>0.12216582813883058</v>
      </c>
      <c r="R500" s="273">
        <f t="shared" si="404"/>
        <v>0.12529896149081751</v>
      </c>
      <c r="S500" s="173"/>
      <c r="T500" s="174"/>
    </row>
    <row r="501" spans="1:20" ht="15" customHeight="1" x14ac:dyDescent="0.5">
      <c r="A501" s="196"/>
      <c r="B501" s="156"/>
      <c r="C501" s="241"/>
      <c r="D501" s="187"/>
      <c r="E501" s="188"/>
      <c r="F501" s="258"/>
      <c r="G501" s="234"/>
      <c r="H501" s="258"/>
      <c r="I501" s="258"/>
      <c r="J501" s="258"/>
      <c r="K501" s="258"/>
      <c r="L501" s="258"/>
      <c r="M501" s="258"/>
      <c r="N501" s="258"/>
      <c r="O501" s="258"/>
      <c r="P501" s="258"/>
      <c r="Q501" s="258"/>
      <c r="R501" s="258"/>
    </row>
    <row r="502" spans="1:20" ht="19.2" x14ac:dyDescent="0.5">
      <c r="A502" s="196"/>
      <c r="B502" s="156" t="s">
        <v>386</v>
      </c>
      <c r="C502" s="241"/>
      <c r="D502" s="187"/>
      <c r="E502" s="188"/>
      <c r="F502" s="189"/>
      <c r="G502" s="189"/>
      <c r="H502" s="189"/>
      <c r="I502" s="189"/>
      <c r="J502" s="189"/>
      <c r="K502" s="189"/>
      <c r="L502" s="189"/>
      <c r="M502" s="189"/>
      <c r="N502" s="189"/>
      <c r="O502" s="189"/>
      <c r="P502" s="189"/>
      <c r="Q502" s="189"/>
      <c r="R502" s="189"/>
    </row>
    <row r="503" spans="1:20" ht="19.2" x14ac:dyDescent="0.5">
      <c r="A503" s="196"/>
      <c r="B503" s="186" t="s">
        <v>387</v>
      </c>
      <c r="C503" s="241">
        <f>F9</f>
        <v>12.5</v>
      </c>
      <c r="D503" s="187"/>
      <c r="E503" s="188"/>
      <c r="F503" s="189">
        <f>F486</f>
        <v>4.166666666666667</v>
      </c>
      <c r="G503" s="189">
        <f t="shared" ref="G503:R503" si="405">G486</f>
        <v>2.827</v>
      </c>
      <c r="H503" s="189">
        <f t="shared" si="405"/>
        <v>3.7880000000000003</v>
      </c>
      <c r="I503" s="189">
        <f t="shared" si="405"/>
        <v>4.166666666666667</v>
      </c>
      <c r="J503" s="189">
        <f t="shared" si="405"/>
        <v>4.166666666666667</v>
      </c>
      <c r="K503" s="189">
        <f t="shared" si="405"/>
        <v>4.166666666666667</v>
      </c>
      <c r="L503" s="189">
        <f t="shared" si="405"/>
        <v>4.166666666666667</v>
      </c>
      <c r="M503" s="189">
        <f t="shared" si="405"/>
        <v>4.166666666666667</v>
      </c>
      <c r="N503" s="189">
        <f t="shared" si="405"/>
        <v>3.3370000000000002</v>
      </c>
      <c r="O503" s="189">
        <f t="shared" si="405"/>
        <v>2.5619999999999998</v>
      </c>
      <c r="P503" s="189">
        <f t="shared" si="405"/>
        <v>4.1040000000000001</v>
      </c>
      <c r="Q503" s="189">
        <f t="shared" si="405"/>
        <v>3.9240000000000004</v>
      </c>
      <c r="R503" s="189">
        <f t="shared" si="405"/>
        <v>3.9740000000000002</v>
      </c>
    </row>
    <row r="504" spans="1:20" ht="19.2" x14ac:dyDescent="0.5">
      <c r="A504" s="196"/>
      <c r="B504" s="186" t="s">
        <v>388</v>
      </c>
      <c r="C504" s="241">
        <f>C503/C507</f>
        <v>19.648758406406831</v>
      </c>
      <c r="D504" s="187"/>
      <c r="E504" s="188"/>
      <c r="F504" s="189">
        <f>F503/$C$507</f>
        <v>6.5495861354689442</v>
      </c>
      <c r="G504" s="189">
        <f t="shared" ref="G504:R504" si="406">G503/$C$507</f>
        <v>4.4437632011929686</v>
      </c>
      <c r="H504" s="189">
        <f t="shared" si="406"/>
        <v>5.9543597474775263</v>
      </c>
      <c r="I504" s="189">
        <f t="shared" si="406"/>
        <v>6.5495861354689442</v>
      </c>
      <c r="J504" s="189">
        <f t="shared" si="406"/>
        <v>6.5495861354689442</v>
      </c>
      <c r="K504" s="189">
        <f t="shared" si="406"/>
        <v>6.5495861354689442</v>
      </c>
      <c r="L504" s="189">
        <f t="shared" si="406"/>
        <v>6.5495861354689442</v>
      </c>
      <c r="M504" s="189">
        <f t="shared" si="406"/>
        <v>6.5495861354689442</v>
      </c>
      <c r="N504" s="189">
        <f t="shared" si="406"/>
        <v>5.2454325441743679</v>
      </c>
      <c r="O504" s="189">
        <f t="shared" si="406"/>
        <v>4.0272095229771434</v>
      </c>
      <c r="P504" s="189">
        <f t="shared" si="406"/>
        <v>6.451080359991491</v>
      </c>
      <c r="Q504" s="189">
        <f t="shared" si="406"/>
        <v>6.1681382389392327</v>
      </c>
      <c r="R504" s="189">
        <f t="shared" si="406"/>
        <v>6.2467332725648594</v>
      </c>
    </row>
    <row r="505" spans="1:20" ht="19.2" x14ac:dyDescent="0.5">
      <c r="A505" s="196"/>
      <c r="B505" s="186" t="s">
        <v>389</v>
      </c>
      <c r="C505" s="241">
        <v>0.1</v>
      </c>
      <c r="D505" s="187"/>
      <c r="E505" s="188"/>
      <c r="F505" s="194">
        <f>C505</f>
        <v>0.1</v>
      </c>
      <c r="G505" s="194">
        <f>+F505</f>
        <v>0.1</v>
      </c>
      <c r="H505" s="194">
        <f t="shared" ref="H505:Q505" si="407">+G505</f>
        <v>0.1</v>
      </c>
      <c r="I505" s="194">
        <f t="shared" si="407"/>
        <v>0.1</v>
      </c>
      <c r="J505" s="194">
        <f t="shared" si="407"/>
        <v>0.1</v>
      </c>
      <c r="K505" s="194">
        <f t="shared" si="407"/>
        <v>0.1</v>
      </c>
      <c r="L505" s="194">
        <f t="shared" si="407"/>
        <v>0.1</v>
      </c>
      <c r="M505" s="194">
        <f t="shared" si="407"/>
        <v>0.1</v>
      </c>
      <c r="N505" s="194">
        <f t="shared" si="407"/>
        <v>0.1</v>
      </c>
      <c r="O505" s="194">
        <f t="shared" si="407"/>
        <v>0.1</v>
      </c>
      <c r="P505" s="194">
        <f t="shared" si="407"/>
        <v>0.1</v>
      </c>
      <c r="Q505" s="194">
        <f t="shared" si="407"/>
        <v>0.1</v>
      </c>
      <c r="R505" s="194">
        <f>+Q505</f>
        <v>0.1</v>
      </c>
    </row>
    <row r="506" spans="1:20" ht="19.2" x14ac:dyDescent="0.5">
      <c r="A506" s="196"/>
      <c r="B506" s="186" t="s">
        <v>390</v>
      </c>
      <c r="C506" s="241">
        <v>0.9</v>
      </c>
      <c r="D506" s="187"/>
      <c r="E506" s="188"/>
      <c r="F506" s="194"/>
      <c r="G506" s="194"/>
      <c r="H506" s="194"/>
      <c r="I506" s="194"/>
      <c r="J506" s="194"/>
      <c r="K506" s="194"/>
      <c r="L506" s="194"/>
      <c r="M506" s="194"/>
      <c r="N506" s="194"/>
      <c r="O506" s="194"/>
      <c r="P506" s="194"/>
      <c r="Q506" s="194"/>
      <c r="R506" s="194"/>
      <c r="S506" s="122" t="e">
        <f>#REF!-F506</f>
        <v>#REF!</v>
      </c>
      <c r="T506" s="123" t="e">
        <f>S506-#REF!</f>
        <v>#REF!</v>
      </c>
    </row>
    <row r="507" spans="1:20" ht="19.2" x14ac:dyDescent="0.5">
      <c r="A507" s="196"/>
      <c r="B507" s="186" t="s">
        <v>391</v>
      </c>
      <c r="C507" s="241">
        <f>PI()*C506^2/4</f>
        <v>0.63617251235193317</v>
      </c>
      <c r="D507" s="187"/>
      <c r="E507" s="188"/>
      <c r="F507" s="258"/>
      <c r="G507" s="258"/>
      <c r="H507" s="258"/>
      <c r="I507" s="258"/>
      <c r="J507" s="258"/>
      <c r="K507" s="258"/>
      <c r="L507" s="258"/>
      <c r="M507" s="258"/>
      <c r="N507" s="258"/>
      <c r="O507" s="258"/>
      <c r="P507" s="258"/>
      <c r="Q507" s="258"/>
      <c r="R507" s="258"/>
      <c r="S507" s="122"/>
      <c r="T507" s="123"/>
    </row>
    <row r="508" spans="1:20" s="172" customFormat="1" ht="19.2" x14ac:dyDescent="0.5">
      <c r="A508" s="242"/>
      <c r="B508" s="210" t="s">
        <v>392</v>
      </c>
      <c r="C508" s="274"/>
      <c r="D508" s="251"/>
      <c r="E508" s="251"/>
      <c r="F508" s="255">
        <f>F505*F504^2/(2*9.81)</f>
        <v>0.21863954406690628</v>
      </c>
      <c r="G508" s="255">
        <f t="shared" ref="G508:R508" si="408">G505*G504^2/(2*9.81)</f>
        <v>0.10064745865584496</v>
      </c>
      <c r="H508" s="255">
        <f t="shared" si="408"/>
        <v>0.18070540266249047</v>
      </c>
      <c r="I508" s="255">
        <f t="shared" si="408"/>
        <v>0.21863954406690628</v>
      </c>
      <c r="J508" s="255">
        <f t="shared" si="408"/>
        <v>0.21863954406690628</v>
      </c>
      <c r="K508" s="255">
        <f t="shared" si="408"/>
        <v>0.21863954406690628</v>
      </c>
      <c r="L508" s="255">
        <f t="shared" si="408"/>
        <v>0.21863954406690628</v>
      </c>
      <c r="M508" s="255">
        <f t="shared" si="408"/>
        <v>0.21863954406690628</v>
      </c>
      <c r="N508" s="255">
        <f t="shared" si="408"/>
        <v>0.14023732199532915</v>
      </c>
      <c r="O508" s="255">
        <f t="shared" si="408"/>
        <v>8.2662673506410766E-2</v>
      </c>
      <c r="P508" s="255">
        <f t="shared" si="408"/>
        <v>0.21211232319606496</v>
      </c>
      <c r="Q508" s="255">
        <f t="shared" si="408"/>
        <v>0.19391401291877869</v>
      </c>
      <c r="R508" s="255">
        <f t="shared" si="408"/>
        <v>0.19888724046161507</v>
      </c>
      <c r="S508" s="170"/>
    </row>
    <row r="509" spans="1:20" ht="19.2" x14ac:dyDescent="0.5">
      <c r="A509" s="196"/>
      <c r="B509" s="186"/>
      <c r="C509" s="186"/>
      <c r="D509" s="186"/>
      <c r="E509" s="186"/>
      <c r="F509" s="194"/>
      <c r="G509" s="194"/>
      <c r="H509" s="194"/>
      <c r="I509" s="194"/>
      <c r="J509" s="194"/>
      <c r="K509" s="194"/>
      <c r="L509" s="194"/>
      <c r="M509" s="194"/>
      <c r="N509" s="194"/>
      <c r="O509" s="194"/>
      <c r="P509" s="194"/>
      <c r="Q509" s="194"/>
      <c r="R509" s="194"/>
    </row>
    <row r="510" spans="1:20" ht="19.2" hidden="1" x14ac:dyDescent="0.5">
      <c r="A510" s="196"/>
      <c r="B510" s="186"/>
      <c r="C510" s="186"/>
      <c r="D510" s="186">
        <f>12.5/((PI()*F510^2)/4)</f>
        <v>4.9121896016017077</v>
      </c>
      <c r="E510" s="186"/>
      <c r="F510" s="194">
        <v>1.8</v>
      </c>
      <c r="G510" s="194">
        <f>12.5/3</f>
        <v>4.166666666666667</v>
      </c>
      <c r="H510" s="194">
        <f>12.5/((3*PI()*F510^2)/4)</f>
        <v>1.637396533867236</v>
      </c>
      <c r="I510" s="194">
        <f>+D510-H510</f>
        <v>3.2747930677344717</v>
      </c>
      <c r="J510" s="194"/>
      <c r="K510" s="194">
        <f>2*D510/12.5</f>
        <v>0.7859503362562732</v>
      </c>
      <c r="L510" s="194"/>
      <c r="M510" s="194">
        <v>0.84823001646924423</v>
      </c>
      <c r="N510" s="194">
        <f>+SQRT(M510)</f>
        <v>0.9209940371518397</v>
      </c>
      <c r="O510" s="194">
        <f>12.5/3</f>
        <v>4.166666666666667</v>
      </c>
      <c r="P510" s="194">
        <f>+O510/D510</f>
        <v>0.84823001646924423</v>
      </c>
      <c r="Q510" s="194" t="e">
        <f>+O510/N511</f>
        <v>#DIV/0!</v>
      </c>
      <c r="R510" s="194"/>
      <c r="S510" s="122" t="e">
        <f>S506-F510</f>
        <v>#REF!</v>
      </c>
      <c r="T510" s="123" t="e">
        <f>S510-#REF!</f>
        <v>#REF!</v>
      </c>
    </row>
    <row r="511" spans="1:20" ht="19.2" x14ac:dyDescent="0.5">
      <c r="A511" s="196"/>
      <c r="B511" s="186"/>
      <c r="C511" s="186"/>
      <c r="D511" s="186"/>
      <c r="E511" s="186"/>
      <c r="F511" s="194"/>
      <c r="G511" s="194"/>
      <c r="H511" s="194"/>
      <c r="I511" s="194"/>
      <c r="J511" s="194"/>
      <c r="K511" s="194"/>
      <c r="L511" s="194"/>
      <c r="M511" s="194"/>
      <c r="N511" s="194"/>
      <c r="O511" s="194"/>
      <c r="P511" s="194"/>
      <c r="Q511" s="194"/>
      <c r="R511" s="194"/>
      <c r="S511" s="122"/>
      <c r="T511" s="123"/>
    </row>
    <row r="512" spans="1:20" s="172" customFormat="1" ht="19.2" x14ac:dyDescent="0.5">
      <c r="A512" s="242"/>
      <c r="B512" s="251" t="s">
        <v>393</v>
      </c>
      <c r="C512" s="210"/>
      <c r="D512" s="211"/>
      <c r="E512" s="212" t="s">
        <v>4</v>
      </c>
      <c r="F512" s="252">
        <f>F508+F483+F472+F460+F450+F446+F500+F492</f>
        <v>8.3429368572579161</v>
      </c>
      <c r="G512" s="252">
        <f t="shared" ref="G512:R512" si="409">G508+G483+G472+G460+G450+G446+G500+G492</f>
        <v>2.1179387812715298</v>
      </c>
      <c r="H512" s="252">
        <f t="shared" si="409"/>
        <v>6.8954304245949984</v>
      </c>
      <c r="I512" s="252">
        <f t="shared" si="409"/>
        <v>8.3429368572579161</v>
      </c>
      <c r="J512" s="252">
        <f t="shared" si="409"/>
        <v>8.3429368572579161</v>
      </c>
      <c r="K512" s="252">
        <f t="shared" si="409"/>
        <v>8.3429368572579161</v>
      </c>
      <c r="L512" s="252">
        <f t="shared" si="409"/>
        <v>8.3429368572579161</v>
      </c>
      <c r="M512" s="252">
        <f t="shared" si="409"/>
        <v>8.3429368572579161</v>
      </c>
      <c r="N512" s="252">
        <f t="shared" si="409"/>
        <v>2.9510339039079332</v>
      </c>
      <c r="O512" s="252">
        <f t="shared" si="409"/>
        <v>1.7394823905237951</v>
      </c>
      <c r="P512" s="252">
        <f t="shared" si="409"/>
        <v>2.2852945345643669</v>
      </c>
      <c r="Q512" s="252">
        <f t="shared" si="409"/>
        <v>2.0892262515511884</v>
      </c>
      <c r="R512" s="252">
        <f t="shared" si="409"/>
        <v>2.1428077198578821</v>
      </c>
      <c r="S512" s="170"/>
    </row>
    <row r="513" spans="1:19" s="155" customFormat="1" ht="19.2" x14ac:dyDescent="0.5">
      <c r="A513" s="256"/>
      <c r="B513" s="246" t="s">
        <v>226</v>
      </c>
      <c r="C513" s="191"/>
      <c r="D513" s="192"/>
      <c r="E513" s="183" t="s">
        <v>2</v>
      </c>
      <c r="F513" s="247">
        <f t="shared" ref="F513:R513" si="410">F433-F512</f>
        <v>2461.5407608155574</v>
      </c>
      <c r="G513" s="247">
        <f t="shared" si="410"/>
        <v>2477.4028106055275</v>
      </c>
      <c r="H513" s="247">
        <f t="shared" si="410"/>
        <v>2465.0891010353012</v>
      </c>
      <c r="I513" s="247">
        <f t="shared" si="410"/>
        <v>2461.5391217698725</v>
      </c>
      <c r="J513" s="247">
        <f t="shared" si="410"/>
        <v>2461.5391217698725</v>
      </c>
      <c r="K513" s="247">
        <f t="shared" si="410"/>
        <v>2461.5391217698725</v>
      </c>
      <c r="L513" s="247">
        <f t="shared" si="410"/>
        <v>2461.5391217698725</v>
      </c>
      <c r="M513" s="247">
        <f t="shared" si="410"/>
        <v>2461.5391217698725</v>
      </c>
      <c r="N513" s="247">
        <f t="shared" si="410"/>
        <v>2475.594497685327</v>
      </c>
      <c r="O513" s="247">
        <f t="shared" si="410"/>
        <v>2478.2242865240964</v>
      </c>
      <c r="P513" s="247">
        <f t="shared" si="410"/>
        <v>2478.4084638216468</v>
      </c>
      <c r="Q513" s="247">
        <f t="shared" si="410"/>
        <v>2478.7166019286688</v>
      </c>
      <c r="R513" s="247">
        <f t="shared" si="410"/>
        <v>2478.6323940600541</v>
      </c>
      <c r="S513" s="163"/>
    </row>
    <row r="514" spans="1:19" s="155" customFormat="1" ht="19.2" x14ac:dyDescent="0.5">
      <c r="A514" s="256"/>
      <c r="B514" s="246" t="s">
        <v>145</v>
      </c>
      <c r="C514" s="191"/>
      <c r="D514" s="192"/>
      <c r="E514" s="183" t="s">
        <v>2</v>
      </c>
      <c r="F514" s="247">
        <f>F513-F471</f>
        <v>2460.8489716331583</v>
      </c>
      <c r="G514" s="247">
        <f t="shared" ref="G514:R514" si="411">G513-G471</f>
        <v>2477.0843557558742</v>
      </c>
      <c r="H514" s="247">
        <f t="shared" si="411"/>
        <v>2464.5173378471895</v>
      </c>
      <c r="I514" s="247">
        <f t="shared" si="411"/>
        <v>2460.8473325874734</v>
      </c>
      <c r="J514" s="247">
        <f t="shared" si="411"/>
        <v>2460.8473325874734</v>
      </c>
      <c r="K514" s="247">
        <f t="shared" si="411"/>
        <v>2460.8473325874734</v>
      </c>
      <c r="L514" s="247">
        <f t="shared" si="411"/>
        <v>2460.8473325874734</v>
      </c>
      <c r="M514" s="247">
        <f t="shared" si="411"/>
        <v>2460.8473325874734</v>
      </c>
      <c r="N514" s="247">
        <f t="shared" si="411"/>
        <v>2475.150778033701</v>
      </c>
      <c r="O514" s="247">
        <f t="shared" si="411"/>
        <v>2477.9627366587051</v>
      </c>
      <c r="P514" s="247">
        <f t="shared" si="411"/>
        <v>2477.7373271740344</v>
      </c>
      <c r="Q514" s="247">
        <f t="shared" si="411"/>
        <v>2478.103045872168</v>
      </c>
      <c r="R514" s="247">
        <f t="shared" si="411"/>
        <v>2478.0031024007812</v>
      </c>
      <c r="S514" s="163"/>
    </row>
    <row r="515" spans="1:19" ht="19.2" x14ac:dyDescent="0.5">
      <c r="A515" s="196"/>
      <c r="B515" s="275"/>
      <c r="C515" s="186"/>
      <c r="D515" s="187"/>
      <c r="E515" s="188"/>
      <c r="F515" s="233"/>
      <c r="G515" s="233"/>
      <c r="H515" s="233"/>
      <c r="I515" s="233"/>
      <c r="J515" s="233"/>
      <c r="K515" s="233"/>
      <c r="L515" s="233"/>
      <c r="M515" s="233"/>
      <c r="N515" s="233"/>
      <c r="O515" s="233"/>
      <c r="P515" s="233"/>
      <c r="Q515" s="233"/>
      <c r="R515" s="233"/>
    </row>
    <row r="516" spans="1:19" ht="19.2" hidden="1" x14ac:dyDescent="0.5">
      <c r="A516" s="196"/>
      <c r="B516" s="186" t="s">
        <v>394</v>
      </c>
      <c r="C516" s="186"/>
      <c r="D516" s="187"/>
      <c r="E516" s="188"/>
      <c r="F516" s="234">
        <f t="shared" ref="F516:R516" si="412">F512/(F444^2/(2*9.81))</f>
        <v>10.33945575478268</v>
      </c>
      <c r="G516" s="234">
        <f t="shared" si="412"/>
        <v>12.829228573261032</v>
      </c>
      <c r="H516" s="234">
        <f t="shared" si="412"/>
        <v>10.33945575478268</v>
      </c>
      <c r="I516" s="234">
        <f t="shared" si="412"/>
        <v>10.33945575478268</v>
      </c>
      <c r="J516" s="234">
        <f t="shared" si="412"/>
        <v>10.33945575478268</v>
      </c>
      <c r="K516" s="234">
        <f t="shared" si="412"/>
        <v>10.33945575478268</v>
      </c>
      <c r="L516" s="234">
        <f t="shared" si="412"/>
        <v>10.33945575478268</v>
      </c>
      <c r="M516" s="234">
        <f t="shared" si="412"/>
        <v>10.33945575478268</v>
      </c>
      <c r="N516" s="234">
        <f t="shared" si="412"/>
        <v>12.829228573261029</v>
      </c>
      <c r="O516" s="234">
        <f t="shared" si="412"/>
        <v>12.829228573261032</v>
      </c>
      <c r="P516" s="234">
        <f t="shared" si="412"/>
        <v>26.274001793044128</v>
      </c>
      <c r="Q516" s="234">
        <f t="shared" si="412"/>
        <v>26.274001793044121</v>
      </c>
      <c r="R516" s="234">
        <f t="shared" si="412"/>
        <v>26.274001793044132</v>
      </c>
    </row>
    <row r="517" spans="1:19" ht="19.2" hidden="1" x14ac:dyDescent="0.5">
      <c r="A517" s="196"/>
      <c r="B517" s="186"/>
      <c r="C517" s="186"/>
      <c r="D517" s="187"/>
      <c r="E517" s="188"/>
      <c r="F517" s="217"/>
      <c r="G517" s="217"/>
      <c r="H517" s="217"/>
      <c r="I517" s="217"/>
      <c r="J517" s="217"/>
      <c r="K517" s="217"/>
      <c r="L517" s="217"/>
      <c r="M517" s="217"/>
      <c r="N517" s="217"/>
      <c r="O517" s="217"/>
      <c r="P517" s="217"/>
      <c r="Q517" s="217"/>
      <c r="R517" s="217"/>
    </row>
    <row r="518" spans="1:19" ht="19.2" x14ac:dyDescent="0.5">
      <c r="A518" s="196">
        <v>4</v>
      </c>
      <c r="B518" s="156" t="s">
        <v>395</v>
      </c>
      <c r="C518" s="186"/>
      <c r="D518" s="187"/>
      <c r="E518" s="188"/>
      <c r="F518" s="189"/>
      <c r="G518" s="189"/>
      <c r="H518" s="189"/>
      <c r="I518" s="189"/>
      <c r="J518" s="189"/>
      <c r="K518" s="189"/>
      <c r="L518" s="189"/>
      <c r="M518" s="189"/>
      <c r="N518" s="189"/>
      <c r="O518" s="189"/>
      <c r="P518" s="189"/>
      <c r="Q518" s="189"/>
      <c r="R518" s="189"/>
    </row>
    <row r="519" spans="1:19" ht="19.2" x14ac:dyDescent="0.5">
      <c r="A519" s="199"/>
      <c r="B519" s="186" t="s">
        <v>396</v>
      </c>
      <c r="C519" s="186"/>
      <c r="D519" s="187"/>
      <c r="E519" s="188" t="s">
        <v>4</v>
      </c>
      <c r="F519" s="234">
        <v>0.5</v>
      </c>
      <c r="G519" s="234">
        <v>0.5</v>
      </c>
      <c r="H519" s="234">
        <f>+F519</f>
        <v>0.5</v>
      </c>
      <c r="I519" s="234">
        <f t="shared" ref="I519:Q519" si="413">+G519</f>
        <v>0.5</v>
      </c>
      <c r="J519" s="234">
        <f t="shared" si="413"/>
        <v>0.5</v>
      </c>
      <c r="K519" s="234">
        <f t="shared" si="413"/>
        <v>0.5</v>
      </c>
      <c r="L519" s="234">
        <f t="shared" si="413"/>
        <v>0.5</v>
      </c>
      <c r="M519" s="234">
        <f t="shared" si="413"/>
        <v>0.5</v>
      </c>
      <c r="N519" s="234">
        <f t="shared" si="413"/>
        <v>0.5</v>
      </c>
      <c r="O519" s="234">
        <f t="shared" si="413"/>
        <v>0.5</v>
      </c>
      <c r="P519" s="234">
        <f t="shared" si="413"/>
        <v>0.5</v>
      </c>
      <c r="Q519" s="234">
        <f t="shared" si="413"/>
        <v>0.5</v>
      </c>
      <c r="R519" s="234">
        <f>+P519</f>
        <v>0.5</v>
      </c>
    </row>
    <row r="520" spans="1:19" ht="19.2" x14ac:dyDescent="0.5">
      <c r="A520" s="199"/>
      <c r="B520" s="186" t="s">
        <v>397</v>
      </c>
      <c r="C520" s="186"/>
      <c r="D520" s="187"/>
      <c r="E520" s="188"/>
      <c r="F520" s="234"/>
      <c r="G520" s="234"/>
      <c r="H520" s="234"/>
      <c r="I520" s="234"/>
      <c r="J520" s="234"/>
      <c r="K520" s="234"/>
      <c r="L520" s="234"/>
      <c r="M520" s="234"/>
      <c r="N520" s="234"/>
      <c r="O520" s="234"/>
      <c r="P520" s="234"/>
      <c r="Q520" s="234"/>
      <c r="R520" s="234"/>
    </row>
    <row r="521" spans="1:19" ht="19.2" hidden="1" x14ac:dyDescent="0.5">
      <c r="A521" s="199"/>
      <c r="B521" s="186"/>
      <c r="C521" s="186"/>
      <c r="D521" s="187"/>
      <c r="E521" s="188"/>
      <c r="F521" s="190"/>
      <c r="G521" s="190"/>
      <c r="H521" s="190"/>
      <c r="I521" s="190"/>
      <c r="J521" s="190"/>
      <c r="K521" s="190"/>
      <c r="L521" s="190"/>
      <c r="M521" s="190"/>
      <c r="N521" s="190"/>
      <c r="O521" s="190"/>
      <c r="P521" s="190"/>
      <c r="Q521" s="190"/>
      <c r="R521" s="190"/>
    </row>
    <row r="522" spans="1:19" ht="19.2" x14ac:dyDescent="0.5">
      <c r="A522" s="186"/>
      <c r="B522" s="276" t="s">
        <v>398</v>
      </c>
      <c r="C522" s="186"/>
      <c r="D522" s="187"/>
      <c r="E522" s="188" t="s">
        <v>4</v>
      </c>
      <c r="F522" s="233">
        <f>+F512+F432+F407+F292+F519+F348</f>
        <v>20.996044034130755</v>
      </c>
      <c r="G522" s="233">
        <f>+G512+G432+G407+G292+G519+G348</f>
        <v>5.1047194231581994</v>
      </c>
      <c r="H522" s="233">
        <f>+H512+H432+H407+H292+H519+H348</f>
        <v>17.441318142580322</v>
      </c>
      <c r="I522" s="233">
        <f>+I512+I432+I407+I292+I519+I348</f>
        <v>20.997683079815456</v>
      </c>
      <c r="J522" s="233">
        <f>+J512+J432+J407+J292+J519+J348</f>
        <v>20.997683079815456</v>
      </c>
      <c r="K522" s="233">
        <f>+K512+K432+K407+K292+K519+K348</f>
        <v>20.997683079815456</v>
      </c>
      <c r="L522" s="233">
        <f>+L512+L432+L407+L292+L519+L348</f>
        <v>20.997683079815456</v>
      </c>
      <c r="M522" s="233">
        <f>+M512+M432+M407+M292+M519+M348</f>
        <v>20.997683079815456</v>
      </c>
      <c r="N522" s="233">
        <f>+N512+N432+N407+N292+N519+N348</f>
        <v>6.9159942940206705</v>
      </c>
      <c r="O522" s="233">
        <f>+O512+O432+O407+O292+O519+O348</f>
        <v>4.2818979569738929</v>
      </c>
      <c r="P522" s="233">
        <f>+P512+P432+P407+P292+P519+P348</f>
        <v>4.0955035211450497</v>
      </c>
      <c r="Q522" s="233">
        <f>+Q512+Q432+Q407+Q292+Q519+Q348</f>
        <v>3.7870250334506257</v>
      </c>
      <c r="R522" s="233">
        <f>+R512+R432+R407+R292+R519+R348</f>
        <v>3.8713259211703623</v>
      </c>
    </row>
    <row r="523" spans="1:19" hidden="1" x14ac:dyDescent="0.45">
      <c r="G523" s="118">
        <f>+G522</f>
        <v>5.1047194231581994</v>
      </c>
      <c r="H523" s="118">
        <f t="shared" ref="H523:R523" si="414">+H522</f>
        <v>17.441318142580322</v>
      </c>
      <c r="I523" s="118">
        <f t="shared" si="414"/>
        <v>20.997683079815456</v>
      </c>
      <c r="J523" s="118">
        <f t="shared" si="414"/>
        <v>20.997683079815456</v>
      </c>
      <c r="K523" s="118">
        <f t="shared" si="414"/>
        <v>20.997683079815456</v>
      </c>
      <c r="L523" s="118">
        <f t="shared" si="414"/>
        <v>20.997683079815456</v>
      </c>
      <c r="M523" s="118">
        <f t="shared" si="414"/>
        <v>20.997683079815456</v>
      </c>
      <c r="N523" s="118">
        <f t="shared" si="414"/>
        <v>6.9159942940206705</v>
      </c>
      <c r="O523" s="118">
        <f t="shared" si="414"/>
        <v>4.2818979569738929</v>
      </c>
      <c r="P523" s="118">
        <f t="shared" si="414"/>
        <v>4.0955035211450497</v>
      </c>
      <c r="Q523" s="118">
        <f t="shared" si="414"/>
        <v>3.7870250334506257</v>
      </c>
      <c r="R523" s="118">
        <f t="shared" si="414"/>
        <v>3.8713259211703623</v>
      </c>
    </row>
    <row r="524" spans="1:19" x14ac:dyDescent="0.45">
      <c r="C524" s="111" t="s">
        <v>436</v>
      </c>
      <c r="D524" s="112" t="s">
        <v>437</v>
      </c>
      <c r="E524" s="113" t="s">
        <v>27</v>
      </c>
    </row>
    <row r="525" spans="1:19" x14ac:dyDescent="0.45">
      <c r="B525" s="111" t="s">
        <v>21</v>
      </c>
      <c r="C525" s="118">
        <f>G523</f>
        <v>5.1047194231581994</v>
      </c>
      <c r="D525" s="118">
        <v>629</v>
      </c>
      <c r="E525" s="118">
        <f>D525-C525</f>
        <v>623.89528057684186</v>
      </c>
    </row>
    <row r="526" spans="1:19" x14ac:dyDescent="0.45">
      <c r="B526" s="111" t="s">
        <v>47</v>
      </c>
      <c r="C526" s="118">
        <f>H523</f>
        <v>17.441318142580322</v>
      </c>
      <c r="D526" s="118">
        <v>629</v>
      </c>
      <c r="E526" s="118">
        <f t="shared" ref="E526:E536" si="415">D526-C526</f>
        <v>611.55868185741963</v>
      </c>
      <c r="F526" s="111"/>
      <c r="G526" s="111"/>
      <c r="H526" s="111"/>
    </row>
    <row r="527" spans="1:19" x14ac:dyDescent="0.45">
      <c r="B527" s="111" t="s">
        <v>48</v>
      </c>
      <c r="C527" s="118">
        <f>I523</f>
        <v>20.997683079815456</v>
      </c>
      <c r="D527" s="118">
        <v>629</v>
      </c>
      <c r="E527" s="118">
        <f t="shared" si="415"/>
        <v>608.00231692018451</v>
      </c>
      <c r="F527" s="111"/>
      <c r="G527" s="111"/>
      <c r="H527" s="111"/>
    </row>
    <row r="528" spans="1:19" x14ac:dyDescent="0.45">
      <c r="B528" s="111" t="s">
        <v>51</v>
      </c>
      <c r="C528" s="118">
        <f>J523</f>
        <v>20.997683079815456</v>
      </c>
      <c r="D528" s="118">
        <v>629</v>
      </c>
      <c r="E528" s="118">
        <f t="shared" si="415"/>
        <v>608.00231692018451</v>
      </c>
      <c r="F528" s="111"/>
      <c r="G528" s="111"/>
      <c r="H528" s="111"/>
    </row>
    <row r="529" spans="2:28" x14ac:dyDescent="0.45">
      <c r="B529" s="111" t="s">
        <v>52</v>
      </c>
      <c r="C529" s="118">
        <f>K523</f>
        <v>20.997683079815456</v>
      </c>
      <c r="D529" s="118">
        <v>629</v>
      </c>
      <c r="E529" s="118">
        <f t="shared" si="415"/>
        <v>608.00231692018451</v>
      </c>
      <c r="F529" s="111"/>
      <c r="G529" s="111"/>
      <c r="H529" s="111"/>
      <c r="Y529" s="131"/>
      <c r="Z529" s="131" t="s">
        <v>438</v>
      </c>
      <c r="AA529" s="131" t="s">
        <v>437</v>
      </c>
      <c r="AB529" s="131" t="s">
        <v>27</v>
      </c>
    </row>
    <row r="530" spans="2:28" x14ac:dyDescent="0.45">
      <c r="B530" s="111" t="s">
        <v>53</v>
      </c>
      <c r="C530" s="118">
        <f>L523</f>
        <v>20.997683079815456</v>
      </c>
      <c r="D530" s="118">
        <v>629</v>
      </c>
      <c r="E530" s="118">
        <f t="shared" si="415"/>
        <v>608.00231692018451</v>
      </c>
      <c r="F530" s="111"/>
      <c r="G530" s="111"/>
      <c r="H530" s="111"/>
      <c r="Y530" s="131" t="s">
        <v>47</v>
      </c>
      <c r="Z530" s="132">
        <f>C525</f>
        <v>5.1047194231581994</v>
      </c>
      <c r="AA530" s="131">
        <v>629</v>
      </c>
      <c r="AB530" s="132">
        <v>622.87078299233849</v>
      </c>
    </row>
    <row r="531" spans="2:28" x14ac:dyDescent="0.45">
      <c r="B531" s="111" t="s">
        <v>54</v>
      </c>
      <c r="C531" s="118">
        <f>M523</f>
        <v>20.997683079815456</v>
      </c>
      <c r="D531" s="118">
        <v>629</v>
      </c>
      <c r="E531" s="118">
        <f t="shared" si="415"/>
        <v>608.00231692018451</v>
      </c>
      <c r="F531" s="111"/>
      <c r="G531" s="111"/>
      <c r="H531" s="111"/>
      <c r="Y531" s="131" t="s">
        <v>48</v>
      </c>
      <c r="Z531" s="132">
        <f t="shared" ref="Z531:Z541" si="416">C526</f>
        <v>17.441318142580322</v>
      </c>
      <c r="AA531" s="131">
        <v>629</v>
      </c>
      <c r="AB531" s="132">
        <v>605.75956160080239</v>
      </c>
    </row>
    <row r="532" spans="2:28" x14ac:dyDescent="0.45">
      <c r="B532" s="111" t="s">
        <v>55</v>
      </c>
      <c r="C532" s="118">
        <f>N523</f>
        <v>6.9159942940206705</v>
      </c>
      <c r="D532" s="118">
        <v>629</v>
      </c>
      <c r="E532" s="118">
        <f t="shared" si="415"/>
        <v>622.08400570597928</v>
      </c>
      <c r="F532" s="111"/>
      <c r="G532" s="111"/>
      <c r="H532" s="111"/>
      <c r="Y532" s="131" t="s">
        <v>51</v>
      </c>
      <c r="Z532" s="132">
        <f t="shared" si="416"/>
        <v>20.997683079815456</v>
      </c>
      <c r="AA532" s="131">
        <v>629</v>
      </c>
      <c r="AB532" s="132">
        <v>600.9858304719952</v>
      </c>
    </row>
    <row r="533" spans="2:28" x14ac:dyDescent="0.45">
      <c r="B533" s="111" t="s">
        <v>56</v>
      </c>
      <c r="C533" s="118">
        <f>O523</f>
        <v>4.2818979569738929</v>
      </c>
      <c r="D533" s="118">
        <v>629</v>
      </c>
      <c r="E533" s="118">
        <f t="shared" si="415"/>
        <v>624.71810204302608</v>
      </c>
      <c r="F533" s="111"/>
      <c r="G533" s="111"/>
      <c r="H533" s="111"/>
      <c r="Y533" s="131" t="s">
        <v>52</v>
      </c>
      <c r="Z533" s="132">
        <f t="shared" si="416"/>
        <v>20.997683079815456</v>
      </c>
      <c r="AA533" s="131">
        <v>629</v>
      </c>
      <c r="AB533" s="132">
        <v>600.9858304719952</v>
      </c>
    </row>
    <row r="534" spans="2:28" x14ac:dyDescent="0.45">
      <c r="B534" s="111" t="s">
        <v>59</v>
      </c>
      <c r="C534" s="118">
        <f>P523</f>
        <v>4.0955035211450497</v>
      </c>
      <c r="D534" s="118">
        <v>629</v>
      </c>
      <c r="E534" s="118">
        <f t="shared" si="415"/>
        <v>624.90449647885498</v>
      </c>
      <c r="F534" s="111"/>
      <c r="G534" s="111"/>
      <c r="H534" s="111"/>
      <c r="Y534" s="131" t="s">
        <v>53</v>
      </c>
      <c r="Z534" s="132">
        <f t="shared" si="416"/>
        <v>20.997683079815456</v>
      </c>
      <c r="AA534" s="131">
        <v>629</v>
      </c>
      <c r="AB534" s="132">
        <v>600.9858304719952</v>
      </c>
    </row>
    <row r="535" spans="2:28" x14ac:dyDescent="0.45">
      <c r="B535" s="111" t="s">
        <v>60</v>
      </c>
      <c r="C535" s="118">
        <f>Q523</f>
        <v>3.7870250334506257</v>
      </c>
      <c r="D535" s="118">
        <v>629</v>
      </c>
      <c r="E535" s="118">
        <f t="shared" si="415"/>
        <v>625.21297496654938</v>
      </c>
      <c r="F535" s="111"/>
      <c r="G535" s="111"/>
      <c r="H535" s="111"/>
      <c r="Y535" s="131" t="s">
        <v>54</v>
      </c>
      <c r="Z535" s="132">
        <f t="shared" si="416"/>
        <v>20.997683079815456</v>
      </c>
      <c r="AA535" s="131">
        <v>629</v>
      </c>
      <c r="AB535" s="132">
        <v>600.9858304719952</v>
      </c>
    </row>
    <row r="536" spans="2:28" x14ac:dyDescent="0.45">
      <c r="B536" s="111" t="s">
        <v>61</v>
      </c>
      <c r="C536" s="118">
        <f>R523</f>
        <v>3.8713259211703623</v>
      </c>
      <c r="D536" s="118">
        <v>629</v>
      </c>
      <c r="E536" s="118">
        <f t="shared" si="415"/>
        <v>625.12867407882959</v>
      </c>
      <c r="F536" s="111"/>
      <c r="G536" s="111"/>
      <c r="H536" s="111"/>
      <c r="Y536" s="131" t="s">
        <v>55</v>
      </c>
      <c r="Z536" s="132">
        <f t="shared" si="416"/>
        <v>20.997683079815456</v>
      </c>
      <c r="AA536" s="131">
        <v>629</v>
      </c>
      <c r="AB536" s="132">
        <v>600.9858304719952</v>
      </c>
    </row>
    <row r="537" spans="2:28" x14ac:dyDescent="0.45">
      <c r="B537" s="111" t="s">
        <v>62</v>
      </c>
      <c r="F537" s="111"/>
      <c r="G537" s="111"/>
      <c r="H537" s="111"/>
      <c r="Y537" s="131" t="s">
        <v>56</v>
      </c>
      <c r="Z537" s="132">
        <f t="shared" si="416"/>
        <v>6.9159942940206705</v>
      </c>
      <c r="AA537" s="131">
        <v>629</v>
      </c>
      <c r="AB537" s="132">
        <v>620.65652010862607</v>
      </c>
    </row>
    <row r="538" spans="2:28" x14ac:dyDescent="0.45">
      <c r="Y538" s="131" t="s">
        <v>59</v>
      </c>
      <c r="Z538" s="132">
        <f t="shared" si="416"/>
        <v>4.2818979569738929</v>
      </c>
      <c r="AA538" s="131">
        <v>629</v>
      </c>
      <c r="AB538" s="132">
        <v>623.87667285577277</v>
      </c>
    </row>
    <row r="539" spans="2:28" x14ac:dyDescent="0.45">
      <c r="Y539" s="131" t="s">
        <v>60</v>
      </c>
      <c r="Z539" s="132">
        <f t="shared" si="416"/>
        <v>4.0955035211450497</v>
      </c>
      <c r="AA539" s="131">
        <v>629</v>
      </c>
      <c r="AB539" s="132">
        <v>625.53413699358089</v>
      </c>
    </row>
    <row r="540" spans="2:28" x14ac:dyDescent="0.45">
      <c r="Y540" s="131" t="s">
        <v>61</v>
      </c>
      <c r="Z540" s="132">
        <f t="shared" si="416"/>
        <v>3.7870250334506257</v>
      </c>
      <c r="AA540" s="131">
        <v>629</v>
      </c>
      <c r="AB540" s="132">
        <v>625.78859507700327</v>
      </c>
    </row>
    <row r="541" spans="2:28" x14ac:dyDescent="0.45">
      <c r="Y541" s="131" t="s">
        <v>62</v>
      </c>
      <c r="Z541" s="132">
        <f t="shared" si="416"/>
        <v>3.8713259211703623</v>
      </c>
      <c r="AA541" s="131">
        <v>629</v>
      </c>
      <c r="AB541" s="132">
        <v>625.71905686550497</v>
      </c>
    </row>
  </sheetData>
  <mergeCells count="3">
    <mergeCell ref="B1:U1"/>
    <mergeCell ref="B457:C457"/>
    <mergeCell ref="B489:C489"/>
  </mergeCells>
  <dataValidations disablePrompts="1" count="1">
    <dataValidation type="list" allowBlank="1" showInputMessage="1" showErrorMessage="1" sqref="F30:R30 F121:R121 F279:R279" xr:uid="{00000000-0002-0000-0100-000000000000}">
      <formula1>"70,72,75,78,80,82,85"</formula1>
    </dataValidation>
  </dataValidations>
  <printOptions horizontalCentered="1"/>
  <pageMargins left="0.98425196850393704" right="0.70866141732283505" top="0.78740157480314998" bottom="0.78740157480314998" header="0.354329615048119" footer="0.354329615048119"/>
  <pageSetup paperSize="8" scale="69" fitToHeight="0" orientation="landscape" r:id="rId1"/>
  <headerFooter>
    <oddHeader>&amp;L&amp;"Gill Sans MT,Italic"&amp;10Hydro Village Pvt. Ltd.
&amp;R&amp;"Gill Sans MT,Italic"&amp;10Myagdi KHola Hydropower Project</oddHeader>
    <oddFooter>&amp;L&amp;"Gill Sans MT,Italic"&amp;10Hydro-Consult Engineering Limited&amp;R&amp;"Gill Sans MT,Italic"&amp;10&amp;P of &amp;N</oddFooter>
  </headerFooter>
  <rowBreaks count="7" manualBreakCount="7">
    <brk id="53" max="17" man="1"/>
    <brk id="97" max="17" man="1"/>
    <brk id="142" max="17" man="1"/>
    <brk id="191" max="17" man="1"/>
    <brk id="232" max="17" man="1"/>
    <brk id="422" max="17" man="1"/>
    <brk id="508" max="17" man="1"/>
  </rowBreak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44BFC-7288-411F-B9B4-47B5B50C80C0}">
  <dimension ref="A2:C13"/>
  <sheetViews>
    <sheetView workbookViewId="0">
      <selection activeCell="B5" sqref="B5"/>
    </sheetView>
  </sheetViews>
  <sheetFormatPr defaultRowHeight="14.4" x14ac:dyDescent="0.3"/>
  <cols>
    <col min="2" max="2" width="10" bestFit="1" customWidth="1"/>
  </cols>
  <sheetData>
    <row r="2" spans="1:3" x14ac:dyDescent="0.3">
      <c r="A2" t="s">
        <v>440</v>
      </c>
    </row>
    <row r="3" spans="1:3" x14ac:dyDescent="0.3">
      <c r="A3" t="s">
        <v>441</v>
      </c>
      <c r="B3">
        <v>1</v>
      </c>
      <c r="C3" t="s">
        <v>110</v>
      </c>
    </row>
    <row r="4" spans="1:3" x14ac:dyDescent="0.3">
      <c r="A4" t="s">
        <v>340</v>
      </c>
      <c r="B4">
        <v>1200</v>
      </c>
      <c r="C4" t="s">
        <v>110</v>
      </c>
    </row>
    <row r="5" spans="1:3" x14ac:dyDescent="0.3">
      <c r="A5" t="s">
        <v>442</v>
      </c>
      <c r="B5">
        <f>B3/B4</f>
        <v>8.3333333333333339E-4</v>
      </c>
    </row>
    <row r="6" spans="1:3" x14ac:dyDescent="0.3">
      <c r="A6" t="s">
        <v>219</v>
      </c>
      <c r="B6">
        <f>12.5</f>
        <v>12.5</v>
      </c>
      <c r="C6" t="s">
        <v>289</v>
      </c>
    </row>
    <row r="7" spans="1:3" x14ac:dyDescent="0.3">
      <c r="A7" t="s">
        <v>340</v>
      </c>
      <c r="B7">
        <f>B4/1000</f>
        <v>1.2</v>
      </c>
      <c r="C7" t="s">
        <v>4</v>
      </c>
    </row>
    <row r="8" spans="1:3" x14ac:dyDescent="0.3">
      <c r="A8" t="s">
        <v>443</v>
      </c>
      <c r="B8">
        <f>PI()*B7^2/4</f>
        <v>1.1309733552923256</v>
      </c>
      <c r="C8" t="s">
        <v>114</v>
      </c>
    </row>
    <row r="9" spans="1:3" x14ac:dyDescent="0.3">
      <c r="A9" t="s">
        <v>444</v>
      </c>
      <c r="B9">
        <f>B6/B8</f>
        <v>11.052426603603843</v>
      </c>
      <c r="C9" t="s">
        <v>117</v>
      </c>
    </row>
    <row r="10" spans="1:3" x14ac:dyDescent="0.3">
      <c r="A10" t="s">
        <v>353</v>
      </c>
      <c r="B10">
        <f>10^-6</f>
        <v>9.9999999999999995E-7</v>
      </c>
      <c r="C10" t="s">
        <v>445</v>
      </c>
    </row>
    <row r="11" spans="1:3" x14ac:dyDescent="0.3">
      <c r="A11" t="s">
        <v>446</v>
      </c>
      <c r="B11">
        <f>B9*B7/B10</f>
        <v>13262911.924324611</v>
      </c>
    </row>
    <row r="13" spans="1:3" x14ac:dyDescent="0.3">
      <c r="A13" t="s">
        <v>221</v>
      </c>
      <c r="B13">
        <v>4.4999999999999997E-3</v>
      </c>
      <c r="C13" t="s">
        <v>447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3"/>
  <sheetViews>
    <sheetView workbookViewId="0"/>
  </sheetViews>
  <sheetFormatPr defaultColWidth="9.109375" defaultRowHeight="16.8" x14ac:dyDescent="0.45"/>
  <cols>
    <col min="1" max="1" width="31.88671875" style="70" customWidth="1"/>
    <col min="2" max="2" width="27.6640625" style="70" customWidth="1"/>
    <col min="3" max="3" width="21.109375" style="70" customWidth="1"/>
    <col min="4" max="16384" width="9.109375" style="70"/>
  </cols>
  <sheetData>
    <row r="1" spans="1:7" x14ac:dyDescent="0.45">
      <c r="A1" s="69" t="s">
        <v>75</v>
      </c>
    </row>
    <row r="2" spans="1:7" x14ac:dyDescent="0.45">
      <c r="A2" s="2" t="s">
        <v>76</v>
      </c>
      <c r="B2" s="8">
        <v>22</v>
      </c>
      <c r="C2" s="2" t="s">
        <v>4</v>
      </c>
    </row>
    <row r="3" spans="1:7" x14ac:dyDescent="0.45">
      <c r="A3" s="2" t="s">
        <v>77</v>
      </c>
      <c r="B3" s="71">
        <v>12.51</v>
      </c>
      <c r="C3" s="2"/>
    </row>
    <row r="4" spans="1:7" x14ac:dyDescent="0.45">
      <c r="A4" s="2" t="s">
        <v>78</v>
      </c>
      <c r="B4" s="72">
        <f>B2/B3^2</f>
        <v>0.14057499004792967</v>
      </c>
      <c r="C4" s="2"/>
    </row>
    <row r="5" spans="1:7" x14ac:dyDescent="0.45">
      <c r="C5" s="2"/>
    </row>
    <row r="6" spans="1:7" x14ac:dyDescent="0.45">
      <c r="A6" s="73" t="s">
        <v>21</v>
      </c>
      <c r="B6" s="74" t="s">
        <v>79</v>
      </c>
      <c r="C6" s="74" t="s">
        <v>80</v>
      </c>
      <c r="G6" s="70" t="s">
        <v>399</v>
      </c>
    </row>
    <row r="7" spans="1:7" ht="17.399999999999999" x14ac:dyDescent="0.45">
      <c r="A7" s="75"/>
      <c r="B7" s="76" t="s">
        <v>13</v>
      </c>
      <c r="C7" s="76" t="s">
        <v>4</v>
      </c>
    </row>
    <row r="8" spans="1:7" x14ac:dyDescent="0.45">
      <c r="A8" s="75" t="str">
        <f>'Energy '!A26</f>
        <v>Baisakh</v>
      </c>
      <c r="B8" s="77">
        <f>'Energy '!E26</f>
        <v>5.6539999999999999</v>
      </c>
      <c r="C8" s="77">
        <f>CEILING($B$4*B8^2,0.1)</f>
        <v>4.5</v>
      </c>
      <c r="E8" s="78">
        <f>[13]Energy_636!F26</f>
        <v>4.8604889697070206</v>
      </c>
      <c r="G8" s="78">
        <f>IF(C8&gt;E8,C8,E8)</f>
        <v>4.8604889697070206</v>
      </c>
    </row>
    <row r="9" spans="1:7" x14ac:dyDescent="0.45">
      <c r="A9" s="75" t="str">
        <f>'Energy '!A27</f>
        <v>Jestha</v>
      </c>
      <c r="B9" s="77">
        <f>'Energy '!E27</f>
        <v>11.364000000000001</v>
      </c>
      <c r="C9" s="77">
        <f t="shared" ref="C9:C23" si="0">CEILING($B$4*B9^2,0.1)</f>
        <v>18.2</v>
      </c>
      <c r="E9" s="78">
        <f>[13]Energy_636!F27</f>
        <v>19.835700339079036</v>
      </c>
      <c r="G9" s="78">
        <f t="shared" ref="G9:G23" si="1">IF(C9&gt;E9,C9,E9)</f>
        <v>19.835700339079036</v>
      </c>
    </row>
    <row r="10" spans="1:7" x14ac:dyDescent="0.45">
      <c r="A10" s="75"/>
      <c r="B10" s="77"/>
      <c r="C10" s="77"/>
      <c r="E10" s="78"/>
      <c r="G10" s="78"/>
    </row>
    <row r="11" spans="1:7" x14ac:dyDescent="0.45">
      <c r="A11" s="75"/>
      <c r="B11" s="77"/>
      <c r="C11" s="77"/>
      <c r="E11" s="78"/>
      <c r="G11" s="78"/>
    </row>
    <row r="12" spans="1:7" x14ac:dyDescent="0.45">
      <c r="A12" s="75" t="str">
        <f>'Energy '!A30</f>
        <v>Asar</v>
      </c>
      <c r="B12" s="77">
        <f>'Energy '!E30</f>
        <v>12.5</v>
      </c>
      <c r="C12" s="77">
        <f t="shared" si="0"/>
        <v>22</v>
      </c>
      <c r="E12" s="78">
        <f>[13]Energy_636!F30</f>
        <v>21.82061939073396</v>
      </c>
      <c r="G12" s="78">
        <f t="shared" si="1"/>
        <v>22</v>
      </c>
    </row>
    <row r="13" spans="1:7" x14ac:dyDescent="0.45">
      <c r="A13" s="75" t="str">
        <f>'Energy '!A31</f>
        <v>Shrawan</v>
      </c>
      <c r="B13" s="77">
        <f>'Energy '!E31</f>
        <v>12.5</v>
      </c>
      <c r="C13" s="77">
        <f t="shared" si="0"/>
        <v>22</v>
      </c>
      <c r="E13" s="78">
        <f>[13]Energy_636!F31</f>
        <v>21.82061939073396</v>
      </c>
      <c r="G13" s="78">
        <f t="shared" si="1"/>
        <v>22</v>
      </c>
    </row>
    <row r="14" spans="1:7" x14ac:dyDescent="0.45">
      <c r="A14" s="75" t="str">
        <f>'Energy '!A32</f>
        <v>Bhadra</v>
      </c>
      <c r="B14" s="77">
        <f>'Energy '!E32</f>
        <v>12.5</v>
      </c>
      <c r="C14" s="77">
        <f t="shared" si="0"/>
        <v>22</v>
      </c>
      <c r="E14" s="78">
        <f>[13]Energy_636!F32</f>
        <v>21.82061939073396</v>
      </c>
      <c r="G14" s="78">
        <f t="shared" si="1"/>
        <v>22</v>
      </c>
    </row>
    <row r="15" spans="1:7" x14ac:dyDescent="0.45">
      <c r="A15" s="75" t="str">
        <f>'Energy '!A33</f>
        <v>Ashoj</v>
      </c>
      <c r="B15" s="77">
        <f>'Energy '!E33</f>
        <v>12.5</v>
      </c>
      <c r="C15" s="77">
        <f t="shared" si="0"/>
        <v>22</v>
      </c>
      <c r="E15" s="78">
        <f>[13]Energy_636!F33</f>
        <v>21.82061939073396</v>
      </c>
      <c r="G15" s="78">
        <f t="shared" si="1"/>
        <v>22</v>
      </c>
    </row>
    <row r="16" spans="1:7" x14ac:dyDescent="0.45">
      <c r="A16" s="75" t="str">
        <f>'Energy '!A34</f>
        <v>Kartik</v>
      </c>
      <c r="B16" s="77">
        <f>'Energy '!E34</f>
        <v>12.5</v>
      </c>
      <c r="C16" s="77">
        <f t="shared" si="0"/>
        <v>22</v>
      </c>
      <c r="E16" s="78">
        <f>[13]Energy_636!F34</f>
        <v>17.689371378818084</v>
      </c>
      <c r="G16" s="78">
        <f t="shared" si="1"/>
        <v>22</v>
      </c>
    </row>
    <row r="17" spans="1:7" x14ac:dyDescent="0.45">
      <c r="A17" s="75" t="str">
        <f>'Energy '!A35</f>
        <v>Mangsir</v>
      </c>
      <c r="B17" s="77">
        <f>'Energy '!E35</f>
        <v>6.6740000000000004</v>
      </c>
      <c r="C17" s="77">
        <f t="shared" si="0"/>
        <v>6.3000000000000007</v>
      </c>
      <c r="E17" s="78">
        <f>[13]Energy_636!F35</f>
        <v>5.9210569757525411</v>
      </c>
      <c r="G17" s="78">
        <f t="shared" si="1"/>
        <v>6.3000000000000007</v>
      </c>
    </row>
    <row r="18" spans="1:7" x14ac:dyDescent="0.45">
      <c r="A18" s="75"/>
      <c r="B18" s="77"/>
      <c r="C18" s="77"/>
      <c r="E18" s="78"/>
      <c r="G18" s="78"/>
    </row>
    <row r="19" spans="1:7" x14ac:dyDescent="0.45">
      <c r="A19" s="75"/>
      <c r="B19" s="77"/>
      <c r="C19" s="77"/>
      <c r="E19" s="78"/>
      <c r="G19" s="78"/>
    </row>
    <row r="20" spans="1:7" x14ac:dyDescent="0.45">
      <c r="A20" s="75" t="str">
        <f>'Energy '!A38</f>
        <v>Poush</v>
      </c>
      <c r="B20" s="77">
        <f>'Energy '!E38</f>
        <v>5.1239999999999997</v>
      </c>
      <c r="C20" s="77">
        <f t="shared" si="0"/>
        <v>3.7</v>
      </c>
      <c r="E20" s="78">
        <f>[13]Energy_636!F38</f>
        <v>2.7414096372400527</v>
      </c>
      <c r="G20" s="78">
        <f t="shared" si="1"/>
        <v>3.7</v>
      </c>
    </row>
    <row r="21" spans="1:7" x14ac:dyDescent="0.45">
      <c r="A21" s="75" t="str">
        <f>'Energy '!A39</f>
        <v>Magh</v>
      </c>
      <c r="B21" s="77">
        <f>'Energy '!E39</f>
        <v>4.1040000000000001</v>
      </c>
      <c r="C21" s="77">
        <f t="shared" si="0"/>
        <v>2.4000000000000004</v>
      </c>
      <c r="E21" s="78">
        <f>[13]Energy_636!F39</f>
        <v>2.1552816432056989</v>
      </c>
      <c r="G21" s="78">
        <f t="shared" si="1"/>
        <v>2.4000000000000004</v>
      </c>
    </row>
    <row r="22" spans="1:7" x14ac:dyDescent="0.45">
      <c r="A22" s="75" t="str">
        <f>'Energy '!A40</f>
        <v>Falgun</v>
      </c>
      <c r="B22" s="77">
        <f>'Energy '!E40</f>
        <v>3.9240000000000004</v>
      </c>
      <c r="C22" s="77">
        <f t="shared" si="0"/>
        <v>2.2000000000000002</v>
      </c>
      <c r="E22" s="78">
        <f>[13]Energy_636!F40</f>
        <v>2.1363318091323471</v>
      </c>
      <c r="G22" s="78">
        <f t="shared" si="1"/>
        <v>2.2000000000000002</v>
      </c>
    </row>
    <row r="23" spans="1:7" x14ac:dyDescent="0.45">
      <c r="A23" s="75" t="str">
        <f>'Energy '!A41</f>
        <v>Chaitra</v>
      </c>
      <c r="B23" s="77">
        <f>'Energy '!E41</f>
        <v>3.9740000000000002</v>
      </c>
      <c r="C23" s="77">
        <f t="shared" si="0"/>
        <v>2.3000000000000003</v>
      </c>
      <c r="E23" s="78">
        <f>[13]Energy_636!F41</f>
        <v>2.3861673754975743</v>
      </c>
      <c r="G23" s="78">
        <f t="shared" si="1"/>
        <v>2.3861673754975743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C00000"/>
  </sheetPr>
  <dimension ref="A1:AG48"/>
  <sheetViews>
    <sheetView tabSelected="1" topLeftCell="A2" zoomScale="85" zoomScaleNormal="85" workbookViewId="0">
      <selection activeCell="E12" sqref="E12"/>
    </sheetView>
  </sheetViews>
  <sheetFormatPr defaultColWidth="9.109375" defaultRowHeight="16.8" x14ac:dyDescent="0.45"/>
  <cols>
    <col min="1" max="1" width="18" style="3" customWidth="1"/>
    <col min="2" max="2" width="10.33203125" style="3" customWidth="1"/>
    <col min="3" max="3" width="8.44140625" style="3" customWidth="1"/>
    <col min="4" max="4" width="9.6640625" style="3" customWidth="1"/>
    <col min="5" max="5" width="10.109375" style="3" customWidth="1"/>
    <col min="6" max="6" width="8.88671875" style="3" customWidth="1"/>
    <col min="7" max="7" width="10" style="3" bestFit="1" customWidth="1"/>
    <col min="8" max="8" width="10.5546875" style="3" hidden="1" customWidth="1"/>
    <col min="9" max="9" width="11.109375" style="3" hidden="1" customWidth="1"/>
    <col min="10" max="10" width="10.109375" style="3" customWidth="1"/>
    <col min="11" max="11" width="8.33203125" style="3" customWidth="1"/>
    <col min="12" max="12" width="11.5546875" style="3" customWidth="1"/>
    <col min="13" max="13" width="15.109375" style="3" customWidth="1"/>
    <col min="14" max="14" width="14.88671875" style="3" customWidth="1"/>
    <col min="15" max="15" width="12.109375" style="3" customWidth="1"/>
    <col min="16" max="16" width="12" style="3" hidden="1" customWidth="1"/>
    <col min="17" max="17" width="12.109375" style="3" hidden="1" customWidth="1"/>
    <col min="18" max="18" width="10.88671875" style="3" hidden="1" customWidth="1"/>
    <col min="19" max="21" width="11.5546875" style="3" hidden="1" customWidth="1"/>
    <col min="22" max="23" width="12.44140625" style="3" hidden="1" customWidth="1"/>
    <col min="24" max="24" width="16.33203125" style="3" hidden="1" customWidth="1"/>
    <col min="25" max="25" width="17.88671875" style="3" hidden="1" customWidth="1"/>
    <col min="26" max="26" width="9.109375" style="3"/>
    <col min="27" max="27" width="17" style="3" bestFit="1" customWidth="1"/>
    <col min="28" max="28" width="10.33203125" style="3" bestFit="1" customWidth="1"/>
    <col min="29" max="29" width="9.44140625" style="3" bestFit="1" customWidth="1"/>
    <col min="30" max="31" width="9.109375" style="3"/>
    <col min="32" max="32" width="15.6640625" style="3" bestFit="1" customWidth="1"/>
    <col min="33" max="33" width="16.33203125" style="3" bestFit="1" customWidth="1"/>
    <col min="34" max="16384" width="9.109375" style="3"/>
  </cols>
  <sheetData>
    <row r="1" spans="1:25" ht="21.6" x14ac:dyDescent="0.55000000000000004">
      <c r="A1" s="37" t="s">
        <v>74</v>
      </c>
    </row>
    <row r="2" spans="1:25" s="2" customFormat="1" ht="21.6" x14ac:dyDescent="0.55000000000000004">
      <c r="A2" s="37" t="s">
        <v>412</v>
      </c>
    </row>
    <row r="3" spans="1:25" ht="9.75" customHeight="1" x14ac:dyDescent="0.45">
      <c r="A3" s="1"/>
      <c r="B3" s="2"/>
      <c r="C3" s="2"/>
      <c r="D3" s="2"/>
      <c r="E3" s="2"/>
      <c r="F3" s="2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 spans="1:25" x14ac:dyDescent="0.45">
      <c r="A4" s="5" t="s">
        <v>0</v>
      </c>
      <c r="B4" s="6"/>
      <c r="C4" s="6"/>
      <c r="D4" s="6"/>
      <c r="E4" s="6"/>
      <c r="F4" s="6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x14ac:dyDescent="0.45">
      <c r="A5" s="286" t="s">
        <v>1</v>
      </c>
      <c r="B5" s="286"/>
      <c r="C5" s="286"/>
      <c r="D5" s="286"/>
      <c r="E5" s="61">
        <v>2482</v>
      </c>
      <c r="F5" s="2" t="s">
        <v>2</v>
      </c>
    </row>
    <row r="6" spans="1:25" x14ac:dyDescent="0.45">
      <c r="A6" s="286" t="s">
        <v>401</v>
      </c>
      <c r="B6" s="286"/>
      <c r="C6" s="286"/>
      <c r="D6" s="286"/>
      <c r="E6" s="61">
        <v>1853</v>
      </c>
      <c r="F6" s="2" t="s">
        <v>2</v>
      </c>
    </row>
    <row r="7" spans="1:25" x14ac:dyDescent="0.45">
      <c r="A7" s="286" t="s">
        <v>3</v>
      </c>
      <c r="B7" s="286"/>
      <c r="C7" s="286"/>
      <c r="D7" s="286"/>
      <c r="E7" s="61">
        <f>E5-E6</f>
        <v>629</v>
      </c>
      <c r="F7" s="8" t="s">
        <v>4</v>
      </c>
      <c r="H7" s="10"/>
      <c r="J7" s="9"/>
      <c r="K7" s="9"/>
      <c r="L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</row>
    <row r="8" spans="1:25" x14ac:dyDescent="0.45">
      <c r="A8" s="287" t="s">
        <v>5</v>
      </c>
      <c r="B8" s="287"/>
      <c r="C8" s="287"/>
      <c r="D8" s="287"/>
      <c r="E8" s="60">
        <v>0.91500000000000004</v>
      </c>
      <c r="F8" s="2"/>
    </row>
    <row r="9" spans="1:25" ht="18" hidden="1" customHeight="1" x14ac:dyDescent="0.45">
      <c r="A9" s="2" t="s">
        <v>6</v>
      </c>
      <c r="B9" s="2"/>
      <c r="E9" s="60">
        <v>0.90500000000000003</v>
      </c>
      <c r="F9" s="2"/>
      <c r="J9" s="11"/>
      <c r="K9" s="11"/>
      <c r="L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</row>
    <row r="10" spans="1:25" x14ac:dyDescent="0.45">
      <c r="A10" s="285" t="s">
        <v>7</v>
      </c>
      <c r="B10" s="285"/>
      <c r="C10" s="285"/>
      <c r="D10" s="285"/>
      <c r="E10" s="60">
        <v>0.97</v>
      </c>
      <c r="F10" s="2"/>
    </row>
    <row r="11" spans="1:25" x14ac:dyDescent="0.45">
      <c r="A11" s="285" t="s">
        <v>8</v>
      </c>
      <c r="B11" s="285"/>
      <c r="C11" s="285"/>
      <c r="D11" s="285"/>
      <c r="E11" s="60">
        <v>0.99</v>
      </c>
      <c r="F11" s="2"/>
    </row>
    <row r="12" spans="1:25" ht="18" customHeight="1" x14ac:dyDescent="0.45">
      <c r="A12" s="285" t="s">
        <v>9</v>
      </c>
      <c r="B12" s="285"/>
      <c r="C12" s="285"/>
      <c r="D12" s="285"/>
      <c r="E12" s="62">
        <f>E8*E10*E11</f>
        <v>0.87867450000000002</v>
      </c>
      <c r="F12" s="2"/>
    </row>
    <row r="13" spans="1:25" x14ac:dyDescent="0.45">
      <c r="A13" s="285" t="s">
        <v>10</v>
      </c>
      <c r="B13" s="285"/>
      <c r="C13" s="285"/>
      <c r="D13" s="285"/>
      <c r="E13" s="63">
        <f>G33</f>
        <v>608.00231692018451</v>
      </c>
      <c r="F13" s="2" t="s">
        <v>4</v>
      </c>
      <c r="J13" s="12"/>
      <c r="K13" s="12"/>
      <c r="L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</row>
    <row r="14" spans="1:25" x14ac:dyDescent="0.45">
      <c r="A14" s="285" t="s">
        <v>11</v>
      </c>
      <c r="B14" s="285"/>
      <c r="C14" s="285"/>
      <c r="D14" s="285"/>
      <c r="E14" s="63">
        <v>3</v>
      </c>
      <c r="F14" s="2"/>
      <c r="J14" s="12"/>
      <c r="K14" s="12"/>
      <c r="L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</row>
    <row r="15" spans="1:25" ht="17.399999999999999" x14ac:dyDescent="0.45">
      <c r="A15" s="285" t="s">
        <v>12</v>
      </c>
      <c r="B15" s="285"/>
      <c r="C15" s="285"/>
      <c r="D15" s="285"/>
      <c r="E15" s="63">
        <v>12.5</v>
      </c>
      <c r="F15" s="7" t="s">
        <v>13</v>
      </c>
      <c r="J15" s="12"/>
      <c r="K15" s="12"/>
      <c r="L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</row>
    <row r="16" spans="1:25" ht="17.399999999999999" hidden="1" x14ac:dyDescent="0.45">
      <c r="A16" s="285" t="s">
        <v>14</v>
      </c>
      <c r="B16" s="285"/>
      <c r="C16" s="285"/>
      <c r="D16" s="285"/>
      <c r="E16" s="63">
        <v>12.5</v>
      </c>
      <c r="F16" s="7" t="s">
        <v>13</v>
      </c>
      <c r="J16" s="12"/>
      <c r="K16" s="12"/>
      <c r="L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</row>
    <row r="17" spans="1:33" ht="17.399999999999999" x14ac:dyDescent="0.45">
      <c r="A17" s="285" t="s">
        <v>15</v>
      </c>
      <c r="B17" s="285"/>
      <c r="C17" s="285"/>
      <c r="D17" s="285"/>
      <c r="E17" s="64">
        <f>E15/E14</f>
        <v>4.166666666666667</v>
      </c>
      <c r="F17" s="7" t="s">
        <v>13</v>
      </c>
      <c r="I17" s="13"/>
    </row>
    <row r="18" spans="1:33" ht="17.399999999999999" x14ac:dyDescent="0.45">
      <c r="A18" s="68" t="s">
        <v>400</v>
      </c>
      <c r="B18" s="68"/>
      <c r="C18" s="68"/>
      <c r="D18" s="68"/>
      <c r="E18" s="64">
        <f>C26</f>
        <v>0.43600000000000005</v>
      </c>
      <c r="F18" s="7" t="s">
        <v>13</v>
      </c>
      <c r="I18" s="13"/>
    </row>
    <row r="19" spans="1:33" x14ac:dyDescent="0.45">
      <c r="A19" s="285" t="s">
        <v>16</v>
      </c>
      <c r="B19" s="285"/>
      <c r="C19" s="285"/>
      <c r="D19" s="285"/>
      <c r="E19" s="65">
        <v>0.04</v>
      </c>
      <c r="F19" s="8"/>
      <c r="I19" s="13"/>
    </row>
    <row r="20" spans="1:33" x14ac:dyDescent="0.45">
      <c r="A20" s="285" t="s">
        <v>17</v>
      </c>
      <c r="B20" s="285"/>
      <c r="C20" s="285"/>
      <c r="D20" s="285"/>
      <c r="E20" s="65">
        <v>0.04</v>
      </c>
      <c r="F20" s="8"/>
    </row>
    <row r="21" spans="1:33" hidden="1" x14ac:dyDescent="0.45">
      <c r="A21" s="285" t="s">
        <v>18</v>
      </c>
      <c r="B21" s="285"/>
      <c r="C21" s="285"/>
      <c r="D21" s="285"/>
      <c r="E21" s="66">
        <v>57.3</v>
      </c>
      <c r="F21" s="8" t="s">
        <v>19</v>
      </c>
    </row>
    <row r="22" spans="1:33" x14ac:dyDescent="0.45">
      <c r="A22" s="285" t="s">
        <v>20</v>
      </c>
      <c r="B22" s="285"/>
      <c r="C22" s="285"/>
      <c r="D22" s="285"/>
      <c r="E22" s="67">
        <f>FLOOR(E15*E13*9.81*E8*E10,5000)</f>
        <v>65000</v>
      </c>
      <c r="F22" s="3" t="s">
        <v>413</v>
      </c>
      <c r="J22" s="2"/>
      <c r="K22" s="2"/>
      <c r="L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33" ht="30.75" customHeight="1" x14ac:dyDescent="0.45">
      <c r="A23" s="288" t="s">
        <v>21</v>
      </c>
      <c r="B23" s="288" t="s">
        <v>22</v>
      </c>
      <c r="C23" s="288" t="s">
        <v>23</v>
      </c>
      <c r="D23" s="288" t="s">
        <v>24</v>
      </c>
      <c r="E23" s="288" t="s">
        <v>25</v>
      </c>
      <c r="F23" s="288" t="s">
        <v>26</v>
      </c>
      <c r="G23" s="288" t="s">
        <v>27</v>
      </c>
      <c r="H23" s="288" t="s">
        <v>28</v>
      </c>
      <c r="I23" s="288"/>
      <c r="J23" s="288" t="s">
        <v>29</v>
      </c>
      <c r="K23" s="288" t="s">
        <v>30</v>
      </c>
      <c r="L23" s="288" t="s">
        <v>31</v>
      </c>
      <c r="M23" s="288" t="s">
        <v>32</v>
      </c>
      <c r="N23" s="288" t="s">
        <v>33</v>
      </c>
      <c r="O23" s="288"/>
      <c r="P23" s="288" t="s">
        <v>34</v>
      </c>
      <c r="Q23" s="288"/>
      <c r="R23" s="288" t="s">
        <v>35</v>
      </c>
      <c r="S23" s="288"/>
      <c r="T23" s="291" t="s">
        <v>36</v>
      </c>
      <c r="U23" s="292"/>
      <c r="V23" s="288" t="s">
        <v>34</v>
      </c>
      <c r="W23" s="288"/>
      <c r="X23" s="289" t="s">
        <v>37</v>
      </c>
      <c r="Y23" s="290"/>
      <c r="AF23" s="282" t="s">
        <v>36</v>
      </c>
      <c r="AG23" s="283"/>
    </row>
    <row r="24" spans="1:33" ht="61.5" customHeight="1" x14ac:dyDescent="0.45">
      <c r="A24" s="288"/>
      <c r="B24" s="288"/>
      <c r="C24" s="288"/>
      <c r="D24" s="288"/>
      <c r="E24" s="288"/>
      <c r="F24" s="288"/>
      <c r="G24" s="288"/>
      <c r="H24" s="15" t="s">
        <v>38</v>
      </c>
      <c r="I24" s="15" t="s">
        <v>9</v>
      </c>
      <c r="J24" s="288"/>
      <c r="K24" s="288"/>
      <c r="L24" s="288"/>
      <c r="M24" s="288"/>
      <c r="N24" s="15" t="s">
        <v>39</v>
      </c>
      <c r="O24" s="15" t="s">
        <v>40</v>
      </c>
      <c r="P24" s="15" t="s">
        <v>39</v>
      </c>
      <c r="Q24" s="15" t="s">
        <v>40</v>
      </c>
      <c r="R24" s="15" t="s">
        <v>39</v>
      </c>
      <c r="S24" s="15" t="s">
        <v>40</v>
      </c>
      <c r="T24" s="15" t="s">
        <v>39</v>
      </c>
      <c r="U24" s="15" t="s">
        <v>40</v>
      </c>
      <c r="V24" s="15" t="s">
        <v>39</v>
      </c>
      <c r="W24" s="15" t="s">
        <v>40</v>
      </c>
      <c r="X24" s="15" t="s">
        <v>39</v>
      </c>
      <c r="Y24" s="15" t="s">
        <v>40</v>
      </c>
      <c r="AB24" s="284" t="s">
        <v>73</v>
      </c>
      <c r="AC24" s="284"/>
      <c r="AD24" s="284"/>
      <c r="AF24" s="15" t="str">
        <f>[14]Energy_636!T24</f>
        <v>Dry season energy</v>
      </c>
      <c r="AG24" s="15" t="str">
        <f>[14]Energy_636!U24</f>
        <v>Wet season energy</v>
      </c>
    </row>
    <row r="25" spans="1:33" ht="20.25" customHeight="1" x14ac:dyDescent="0.45">
      <c r="A25" s="288"/>
      <c r="B25" s="16" t="s">
        <v>41</v>
      </c>
      <c r="C25" s="16" t="s">
        <v>41</v>
      </c>
      <c r="D25" s="16" t="s">
        <v>41</v>
      </c>
      <c r="E25" s="16" t="s">
        <v>41</v>
      </c>
      <c r="F25" s="16" t="s">
        <v>42</v>
      </c>
      <c r="G25" s="16" t="s">
        <v>42</v>
      </c>
      <c r="H25" s="16" t="s">
        <v>43</v>
      </c>
      <c r="I25" s="16" t="s">
        <v>43</v>
      </c>
      <c r="J25" s="16" t="s">
        <v>44</v>
      </c>
      <c r="K25" s="16"/>
      <c r="L25" s="16" t="s">
        <v>45</v>
      </c>
      <c r="M25" s="16" t="s">
        <v>45</v>
      </c>
      <c r="N25" s="16" t="s">
        <v>45</v>
      </c>
      <c r="O25" s="16" t="s">
        <v>45</v>
      </c>
      <c r="P25" s="16" t="s">
        <v>45</v>
      </c>
      <c r="Q25" s="16" t="s">
        <v>45</v>
      </c>
      <c r="R25" s="16" t="s">
        <v>46</v>
      </c>
      <c r="S25" s="16" t="s">
        <v>46</v>
      </c>
      <c r="T25" s="16" t="s">
        <v>46</v>
      </c>
      <c r="U25" s="16" t="s">
        <v>46</v>
      </c>
      <c r="V25" s="16" t="s">
        <v>46</v>
      </c>
      <c r="W25" s="16" t="s">
        <v>46</v>
      </c>
      <c r="X25" s="16" t="s">
        <v>46</v>
      </c>
      <c r="Y25" s="16" t="s">
        <v>46</v>
      </c>
      <c r="AA25" s="57" t="s">
        <v>21</v>
      </c>
      <c r="AB25" s="56" t="s">
        <v>70</v>
      </c>
      <c r="AC25" s="56" t="s">
        <v>71</v>
      </c>
      <c r="AD25" s="56" t="s">
        <v>72</v>
      </c>
      <c r="AF25" s="56" t="str">
        <f>[14]Energy_636!T25</f>
        <v>(GWh)</v>
      </c>
      <c r="AG25" s="56" t="str">
        <f>[14]Energy_636!U25</f>
        <v>(GWh)</v>
      </c>
    </row>
    <row r="26" spans="1:33" x14ac:dyDescent="0.45">
      <c r="A26" s="17" t="s">
        <v>47</v>
      </c>
      <c r="B26" s="49">
        <f>AD26</f>
        <v>6.09</v>
      </c>
      <c r="C26" s="18">
        <f>MIN(B26:B41)*10%</f>
        <v>0.43600000000000005</v>
      </c>
      <c r="D26" s="38">
        <f>B26-C26</f>
        <v>5.6539999999999999</v>
      </c>
      <c r="E26" s="38">
        <f t="shared" ref="E26:E41" si="0">IF(D26&gt;$E$15,$E$15,D26)</f>
        <v>5.6539999999999999</v>
      </c>
      <c r="F26" s="39">
        <f>'Headloss Estimation'!Z530</f>
        <v>5.1047194231581994</v>
      </c>
      <c r="G26" s="39">
        <f t="shared" ref="G26:G41" si="1">$E$7-F26</f>
        <v>623.89528057684186</v>
      </c>
      <c r="H26" s="40">
        <f>E8</f>
        <v>0.91500000000000004</v>
      </c>
      <c r="I26" s="40">
        <f>H26*$E$10*$E$11</f>
        <v>0.87867450000000002</v>
      </c>
      <c r="J26" s="107">
        <f>IF(E26*G26*9.81*$E$8*$E$10&gt;=$E$22,$E$22,E26*G26*9.81*$E$8*$E$10)</f>
        <v>30713.502150656659</v>
      </c>
      <c r="K26" s="42">
        <v>31</v>
      </c>
      <c r="L26" s="43">
        <f>J26*K26*24*$E$11</f>
        <v>22622337.144087669</v>
      </c>
      <c r="M26" s="43">
        <f>$E$19*L26</f>
        <v>904893.48576350673</v>
      </c>
      <c r="N26" s="43">
        <f>L26-M26</f>
        <v>21717443.658324163</v>
      </c>
      <c r="O26" s="43"/>
      <c r="P26" s="43">
        <f>+IF(N26&gt;AF26*1000000,AF26*1000000,N26)</f>
        <v>19084875</v>
      </c>
      <c r="Q26" s="43"/>
      <c r="R26" s="38">
        <f>+N26/10^6</f>
        <v>21.717443658324164</v>
      </c>
      <c r="S26" s="38"/>
      <c r="T26" s="19">
        <v>19.084875</v>
      </c>
      <c r="U26" s="19"/>
      <c r="V26" s="19">
        <f t="shared" ref="V26" si="2">+P26/10^6</f>
        <v>19.084875</v>
      </c>
      <c r="W26" s="21"/>
      <c r="X26" s="22">
        <f>+(-T26+V26)/T26</f>
        <v>0</v>
      </c>
      <c r="Y26" s="21"/>
      <c r="AA26" s="53" t="s">
        <v>47</v>
      </c>
      <c r="AB26" s="55">
        <f>[15]comparison_CAR!J19</f>
        <v>6</v>
      </c>
      <c r="AC26" s="55">
        <f>[15]comparison_CAR!R19</f>
        <v>6.09</v>
      </c>
      <c r="AD26" s="55">
        <f>[15]comparison_CAR!K19</f>
        <v>6.09</v>
      </c>
      <c r="AF26" s="55">
        <f>[14]Energy_636!T26</f>
        <v>19.084875</v>
      </c>
      <c r="AG26" s="55"/>
    </row>
    <row r="27" spans="1:33" x14ac:dyDescent="0.45">
      <c r="A27" s="17" t="s">
        <v>48</v>
      </c>
      <c r="B27" s="49">
        <f>AD27</f>
        <v>11.8</v>
      </c>
      <c r="C27" s="18">
        <f>C26</f>
        <v>0.43600000000000005</v>
      </c>
      <c r="D27" s="38">
        <f t="shared" ref="D27:D41" si="3">B27-C27</f>
        <v>11.364000000000001</v>
      </c>
      <c r="E27" s="38">
        <f t="shared" si="0"/>
        <v>11.364000000000001</v>
      </c>
      <c r="F27" s="39">
        <f>'Headloss Estimation'!Z531</f>
        <v>17.441318142580322</v>
      </c>
      <c r="G27" s="39">
        <f t="shared" si="1"/>
        <v>611.55868185741963</v>
      </c>
      <c r="H27" s="40">
        <f>H26</f>
        <v>0.91500000000000004</v>
      </c>
      <c r="I27" s="40">
        <f t="shared" ref="I27:I41" si="4">H27*$E$10*$E$11</f>
        <v>0.87867450000000002</v>
      </c>
      <c r="J27" s="107">
        <f>IF(E27*G27*9.81*$E$8*$E$10&gt;=$E$22,$E$22,E27*G27*9.81*$E$8*$E$10)</f>
        <v>60510.563415725781</v>
      </c>
      <c r="K27" s="42">
        <v>31</v>
      </c>
      <c r="L27" s="43">
        <f>J27*K27*24*$E$11</f>
        <v>44569660.589486986</v>
      </c>
      <c r="M27" s="43">
        <f t="shared" ref="M27:M35" si="5">$E$20*L27</f>
        <v>1782786.4235794796</v>
      </c>
      <c r="N27" s="43"/>
      <c r="O27" s="43"/>
      <c r="P27" s="43"/>
      <c r="Q27" s="43"/>
      <c r="R27" s="38"/>
      <c r="S27" s="38"/>
      <c r="T27" s="19"/>
      <c r="U27" s="19"/>
      <c r="V27" s="19"/>
      <c r="W27" s="21"/>
      <c r="X27" s="22"/>
      <c r="Y27" s="21"/>
      <c r="AA27" s="58" t="s">
        <v>48</v>
      </c>
      <c r="AB27" s="55">
        <f>[15]comparison_CAR!J20</f>
        <v>10.79</v>
      </c>
      <c r="AC27" s="55">
        <f>[15]comparison_CAR!R20</f>
        <v>12.34444648125252</v>
      </c>
      <c r="AD27" s="55">
        <f>[15]comparison_CAR!K20</f>
        <v>11.8</v>
      </c>
      <c r="AF27" s="55"/>
      <c r="AG27" s="55"/>
    </row>
    <row r="28" spans="1:33" x14ac:dyDescent="0.45">
      <c r="A28" s="50" t="s">
        <v>49</v>
      </c>
      <c r="B28" s="49"/>
      <c r="C28" s="18"/>
      <c r="D28" s="38"/>
      <c r="E28" s="38"/>
      <c r="F28" s="39"/>
      <c r="G28" s="39"/>
      <c r="H28" s="40"/>
      <c r="I28" s="40"/>
      <c r="J28" s="107"/>
      <c r="K28" s="20">
        <v>15</v>
      </c>
      <c r="L28" s="43"/>
      <c r="M28" s="43"/>
      <c r="N28" s="43">
        <f>(K28/$K$27)*($L$27-$M$27)</f>
        <v>20703326.209310085</v>
      </c>
      <c r="O28" s="43"/>
      <c r="P28" s="43">
        <f t="shared" ref="P28:P41" si="6">+IF(N28&gt;AF28*1000000,AF28*1000000,N28)</f>
        <v>18197752</v>
      </c>
      <c r="Q28" s="43"/>
      <c r="R28" s="38">
        <f t="shared" ref="R28:R41" si="7">+N28/10^6</f>
        <v>20.703326209310084</v>
      </c>
      <c r="S28" s="38"/>
      <c r="T28" s="19">
        <v>18.197752000000001</v>
      </c>
      <c r="U28" s="19"/>
      <c r="V28" s="19">
        <f t="shared" ref="V28:V41" si="8">+P28/10^6</f>
        <v>18.197752000000001</v>
      </c>
      <c r="W28" s="21"/>
      <c r="X28" s="22">
        <f t="shared" ref="X28:X41" si="9">+(-T28+V28)/T28</f>
        <v>0</v>
      </c>
      <c r="Y28" s="21"/>
      <c r="AA28" s="58" t="s">
        <v>49</v>
      </c>
      <c r="AB28" s="54"/>
      <c r="AC28" s="54"/>
      <c r="AD28" s="54"/>
      <c r="AF28" s="55">
        <f>[14]Energy_636!T28</f>
        <v>18.197752000000001</v>
      </c>
      <c r="AG28" s="55"/>
    </row>
    <row r="29" spans="1:33" x14ac:dyDescent="0.45">
      <c r="A29" s="50" t="s">
        <v>50</v>
      </c>
      <c r="B29" s="49"/>
      <c r="C29" s="18"/>
      <c r="D29" s="38"/>
      <c r="E29" s="38"/>
      <c r="F29" s="39"/>
      <c r="G29" s="39"/>
      <c r="H29" s="40"/>
      <c r="I29" s="40"/>
      <c r="J29" s="107"/>
      <c r="K29" s="20">
        <v>16</v>
      </c>
      <c r="L29" s="43"/>
      <c r="M29" s="43"/>
      <c r="N29" s="43"/>
      <c r="O29" s="43">
        <f>(K29/$K$27)*($L$27-$M$27)</f>
        <v>22083547.956597425</v>
      </c>
      <c r="P29" s="43"/>
      <c r="Q29" s="43">
        <f>+IF(O29&gt;AG29*1000000,AG29*1000000,O29)</f>
        <v>19410935</v>
      </c>
      <c r="R29" s="38"/>
      <c r="S29" s="38">
        <f t="shared" ref="S29:S36" si="10">+O29/10^6</f>
        <v>22.083547956597425</v>
      </c>
      <c r="T29" s="19"/>
      <c r="U29" s="19">
        <v>19.410934999999998</v>
      </c>
      <c r="V29" s="21"/>
      <c r="W29" s="19">
        <f t="shared" ref="W29:W36" si="11">+Q29/10^6</f>
        <v>19.410934999999998</v>
      </c>
      <c r="X29" s="22"/>
      <c r="Y29" s="23">
        <f>+(-U29+W29)/U29</f>
        <v>0</v>
      </c>
      <c r="AA29" s="53" t="s">
        <v>50</v>
      </c>
      <c r="AB29" s="54"/>
      <c r="AC29" s="54"/>
      <c r="AD29" s="54"/>
      <c r="AF29" s="55"/>
      <c r="AG29" s="55">
        <f>[14]Energy_636!U29</f>
        <v>19.410934999999998</v>
      </c>
    </row>
    <row r="30" spans="1:33" x14ac:dyDescent="0.45">
      <c r="A30" s="17" t="s">
        <v>51</v>
      </c>
      <c r="B30" s="49">
        <f t="shared" ref="B30:B41" si="12">AD30</f>
        <v>45.42</v>
      </c>
      <c r="C30" s="18">
        <f>C27</f>
        <v>0.43600000000000005</v>
      </c>
      <c r="D30" s="38">
        <f t="shared" ref="D30:D35" si="13">B30-C30</f>
        <v>44.984000000000002</v>
      </c>
      <c r="E30" s="38">
        <f t="shared" si="0"/>
        <v>12.5</v>
      </c>
      <c r="F30" s="39">
        <f>'Headloss Estimation'!Z532</f>
        <v>20.997683079815456</v>
      </c>
      <c r="G30" s="39">
        <f t="shared" si="1"/>
        <v>608.00231692018451</v>
      </c>
      <c r="H30" s="40">
        <f>H26</f>
        <v>0.91500000000000004</v>
      </c>
      <c r="I30" s="40">
        <f t="shared" si="4"/>
        <v>0.87867450000000002</v>
      </c>
      <c r="J30" s="107">
        <f t="shared" ref="J30:J35" si="14">IF(E30*G30*9.81*$E$8*$E$10&gt;=$E$22,$E$22,E30*G30*9.81*$E$8*$E$10)</f>
        <v>65000</v>
      </c>
      <c r="K30" s="42">
        <v>32</v>
      </c>
      <c r="L30" s="43">
        <f t="shared" ref="L30:L35" si="15">J30*K30*24*$E$11</f>
        <v>49420800</v>
      </c>
      <c r="M30" s="43">
        <f t="shared" si="5"/>
        <v>1976832</v>
      </c>
      <c r="N30" s="43"/>
      <c r="O30" s="43">
        <f>L30-M30</f>
        <v>47443968</v>
      </c>
      <c r="P30" s="43"/>
      <c r="Q30" s="43">
        <f t="shared" ref="Q30:Q36" si="16">+IF(O30&gt;AG30*1000000,AG30*1000000,O30)</f>
        <v>41823683</v>
      </c>
      <c r="R30" s="38"/>
      <c r="S30" s="38">
        <f t="shared" si="10"/>
        <v>47.443967999999998</v>
      </c>
      <c r="T30" s="19"/>
      <c r="U30" s="19">
        <v>41.823683000000003</v>
      </c>
      <c r="V30" s="21"/>
      <c r="W30" s="19">
        <f t="shared" si="11"/>
        <v>41.823683000000003</v>
      </c>
      <c r="X30" s="22"/>
      <c r="Y30" s="23">
        <f t="shared" ref="Y30:Y36" si="17">+(-U30+W30)/U30</f>
        <v>0</v>
      </c>
      <c r="AA30" s="53" t="s">
        <v>51</v>
      </c>
      <c r="AB30" s="55">
        <f>[15]comparison_CAR!J21</f>
        <v>42.62</v>
      </c>
      <c r="AC30" s="55">
        <f>[15]comparison_CAR!R21</f>
        <v>45.42</v>
      </c>
      <c r="AD30" s="55">
        <f>[15]comparison_CAR!K21</f>
        <v>45.42</v>
      </c>
      <c r="AF30" s="55"/>
      <c r="AG30" s="55">
        <f>[14]Energy_636!U30</f>
        <v>41.823683000000003</v>
      </c>
    </row>
    <row r="31" spans="1:33" x14ac:dyDescent="0.45">
      <c r="A31" s="17" t="s">
        <v>52</v>
      </c>
      <c r="B31" s="49">
        <f t="shared" si="12"/>
        <v>73.28</v>
      </c>
      <c r="C31" s="18">
        <f t="shared" ref="C31:C40" si="18">C30</f>
        <v>0.43600000000000005</v>
      </c>
      <c r="D31" s="38">
        <f t="shared" si="13"/>
        <v>72.843999999999994</v>
      </c>
      <c r="E31" s="38">
        <f t="shared" si="0"/>
        <v>12.5</v>
      </c>
      <c r="F31" s="39">
        <f>'Headloss Estimation'!Z533</f>
        <v>20.997683079815456</v>
      </c>
      <c r="G31" s="39">
        <f t="shared" si="1"/>
        <v>608.00231692018451</v>
      </c>
      <c r="H31" s="40">
        <f>H26</f>
        <v>0.91500000000000004</v>
      </c>
      <c r="I31" s="40">
        <f t="shared" si="4"/>
        <v>0.87867450000000002</v>
      </c>
      <c r="J31" s="107">
        <f t="shared" si="14"/>
        <v>65000</v>
      </c>
      <c r="K31" s="42">
        <v>31</v>
      </c>
      <c r="L31" s="43">
        <f t="shared" si="15"/>
        <v>47876400</v>
      </c>
      <c r="M31" s="43">
        <f t="shared" si="5"/>
        <v>1915056</v>
      </c>
      <c r="N31" s="43"/>
      <c r="O31" s="43">
        <f t="shared" ref="O31:O33" si="19">L31-M31</f>
        <v>45961344</v>
      </c>
      <c r="P31" s="43"/>
      <c r="Q31" s="43">
        <f t="shared" si="16"/>
        <v>40516692</v>
      </c>
      <c r="R31" s="38"/>
      <c r="S31" s="38">
        <f t="shared" si="10"/>
        <v>45.961343999999997</v>
      </c>
      <c r="T31" s="19"/>
      <c r="U31" s="19">
        <v>40.516691999999999</v>
      </c>
      <c r="V31" s="21"/>
      <c r="W31" s="19">
        <f t="shared" si="11"/>
        <v>40.516691999999999</v>
      </c>
      <c r="X31" s="22"/>
      <c r="Y31" s="23">
        <f t="shared" si="17"/>
        <v>0</v>
      </c>
      <c r="AA31" s="53" t="s">
        <v>52</v>
      </c>
      <c r="AB31" s="55">
        <f>[15]comparison_CAR!J22</f>
        <v>81.430000000000007</v>
      </c>
      <c r="AC31" s="55">
        <f>[15]comparison_CAR!R22</f>
        <v>55.662426127241801</v>
      </c>
      <c r="AD31" s="55">
        <f>[15]comparison_CAR!K22</f>
        <v>73.28</v>
      </c>
      <c r="AF31" s="55"/>
      <c r="AG31" s="55">
        <f>[14]Energy_636!U31</f>
        <v>40.516691999999999</v>
      </c>
    </row>
    <row r="32" spans="1:33" x14ac:dyDescent="0.45">
      <c r="A32" s="17" t="s">
        <v>53</v>
      </c>
      <c r="B32" s="49">
        <f t="shared" si="12"/>
        <v>65.41</v>
      </c>
      <c r="C32" s="18">
        <f t="shared" si="18"/>
        <v>0.43600000000000005</v>
      </c>
      <c r="D32" s="38">
        <f t="shared" si="13"/>
        <v>64.97399999999999</v>
      </c>
      <c r="E32" s="38">
        <f t="shared" si="0"/>
        <v>12.5</v>
      </c>
      <c r="F32" s="39">
        <f>'Headloss Estimation'!Z534</f>
        <v>20.997683079815456</v>
      </c>
      <c r="G32" s="39">
        <f t="shared" si="1"/>
        <v>608.00231692018451</v>
      </c>
      <c r="H32" s="40">
        <f>H26</f>
        <v>0.91500000000000004</v>
      </c>
      <c r="I32" s="40">
        <f t="shared" si="4"/>
        <v>0.87867450000000002</v>
      </c>
      <c r="J32" s="107">
        <f t="shared" si="14"/>
        <v>65000</v>
      </c>
      <c r="K32" s="42">
        <v>31</v>
      </c>
      <c r="L32" s="43">
        <f t="shared" si="15"/>
        <v>47876400</v>
      </c>
      <c r="M32" s="43">
        <f t="shared" si="5"/>
        <v>1915056</v>
      </c>
      <c r="N32" s="43"/>
      <c r="O32" s="43">
        <f t="shared" si="19"/>
        <v>45961344</v>
      </c>
      <c r="P32" s="43"/>
      <c r="Q32" s="43">
        <f t="shared" si="16"/>
        <v>40516692</v>
      </c>
      <c r="R32" s="38"/>
      <c r="S32" s="38">
        <f t="shared" si="10"/>
        <v>45.961343999999997</v>
      </c>
      <c r="T32" s="19"/>
      <c r="U32" s="19">
        <v>40.516691999999999</v>
      </c>
      <c r="V32" s="21"/>
      <c r="W32" s="19">
        <f t="shared" si="11"/>
        <v>40.516691999999999</v>
      </c>
      <c r="X32" s="22"/>
      <c r="Y32" s="23">
        <f t="shared" si="17"/>
        <v>0</v>
      </c>
      <c r="AA32" s="53" t="s">
        <v>53</v>
      </c>
      <c r="AB32" s="55">
        <f>[15]comparison_CAR!J23</f>
        <v>68.069999999999993</v>
      </c>
      <c r="AC32" s="55">
        <f>[15]comparison_CAR!R23</f>
        <v>47.643535419876692</v>
      </c>
      <c r="AD32" s="55">
        <f>[15]comparison_CAR!K23</f>
        <v>65.41</v>
      </c>
      <c r="AF32" s="55"/>
      <c r="AG32" s="55">
        <f>[14]Energy_636!U32</f>
        <v>40.516691999999999</v>
      </c>
    </row>
    <row r="33" spans="1:33" x14ac:dyDescent="0.45">
      <c r="A33" s="17" t="s">
        <v>54</v>
      </c>
      <c r="B33" s="49">
        <f t="shared" si="12"/>
        <v>36.1</v>
      </c>
      <c r="C33" s="18">
        <f>C32</f>
        <v>0.43600000000000005</v>
      </c>
      <c r="D33" s="38">
        <f t="shared" si="13"/>
        <v>35.664000000000001</v>
      </c>
      <c r="E33" s="38">
        <f t="shared" si="0"/>
        <v>12.5</v>
      </c>
      <c r="F33" s="39">
        <f>'Headloss Estimation'!Z535</f>
        <v>20.997683079815456</v>
      </c>
      <c r="G33" s="39">
        <f>$E$7-F33</f>
        <v>608.00231692018451</v>
      </c>
      <c r="H33" s="40">
        <f>H26</f>
        <v>0.91500000000000004</v>
      </c>
      <c r="I33" s="40">
        <f t="shared" si="4"/>
        <v>0.87867450000000002</v>
      </c>
      <c r="J33" s="107">
        <f t="shared" si="14"/>
        <v>65000</v>
      </c>
      <c r="K33" s="42">
        <v>31</v>
      </c>
      <c r="L33" s="43">
        <f t="shared" si="15"/>
        <v>47876400</v>
      </c>
      <c r="M33" s="43">
        <f t="shared" si="5"/>
        <v>1915056</v>
      </c>
      <c r="N33" s="43"/>
      <c r="O33" s="43">
        <f t="shared" si="19"/>
        <v>45961344</v>
      </c>
      <c r="P33" s="43"/>
      <c r="Q33" s="43">
        <f t="shared" si="16"/>
        <v>40516692</v>
      </c>
      <c r="R33" s="38"/>
      <c r="S33" s="38">
        <f t="shared" si="10"/>
        <v>45.961343999999997</v>
      </c>
      <c r="T33" s="19"/>
      <c r="U33" s="19">
        <v>40.516691999999999</v>
      </c>
      <c r="V33" s="21"/>
      <c r="W33" s="19">
        <f t="shared" si="11"/>
        <v>40.516691999999999</v>
      </c>
      <c r="X33" s="22"/>
      <c r="Y33" s="23">
        <f t="shared" si="17"/>
        <v>0</v>
      </c>
      <c r="AA33" s="53" t="s">
        <v>54</v>
      </c>
      <c r="AB33" s="55">
        <f>[15]comparison_CAR!J24</f>
        <v>33.14</v>
      </c>
      <c r="AC33" s="55">
        <f>[15]comparison_CAR!R24</f>
        <v>27.157036695760414</v>
      </c>
      <c r="AD33" s="55">
        <f>[15]comparison_CAR!K24</f>
        <v>36.1</v>
      </c>
      <c r="AF33" s="55"/>
      <c r="AG33" s="55">
        <f>[14]Energy_636!U33</f>
        <v>40.516691999999999</v>
      </c>
    </row>
    <row r="34" spans="1:33" x14ac:dyDescent="0.45">
      <c r="A34" s="17" t="s">
        <v>55</v>
      </c>
      <c r="B34" s="49">
        <f t="shared" si="12"/>
        <v>13.49</v>
      </c>
      <c r="C34" s="18">
        <f t="shared" si="18"/>
        <v>0.43600000000000005</v>
      </c>
      <c r="D34" s="38">
        <f t="shared" si="13"/>
        <v>13.054</v>
      </c>
      <c r="E34" s="38">
        <f t="shared" si="0"/>
        <v>12.5</v>
      </c>
      <c r="F34" s="39">
        <f>'Headloss Estimation'!Z536</f>
        <v>20.997683079815456</v>
      </c>
      <c r="G34" s="39">
        <f t="shared" si="1"/>
        <v>608.00231692018451</v>
      </c>
      <c r="H34" s="40">
        <f>H26</f>
        <v>0.91500000000000004</v>
      </c>
      <c r="I34" s="40">
        <f t="shared" si="4"/>
        <v>0.87867450000000002</v>
      </c>
      <c r="J34" s="107">
        <f t="shared" si="14"/>
        <v>65000</v>
      </c>
      <c r="K34" s="42">
        <v>30</v>
      </c>
      <c r="L34" s="43">
        <f t="shared" si="15"/>
        <v>46332000</v>
      </c>
      <c r="M34" s="43">
        <f t="shared" si="5"/>
        <v>1853280</v>
      </c>
      <c r="N34" s="43"/>
      <c r="O34" s="43">
        <f>L34-M34</f>
        <v>44478720</v>
      </c>
      <c r="P34" s="43"/>
      <c r="Q34" s="43">
        <f t="shared" si="16"/>
        <v>39209702</v>
      </c>
      <c r="R34" s="38"/>
      <c r="S34" s="38">
        <f t="shared" si="10"/>
        <v>44.478720000000003</v>
      </c>
      <c r="T34" s="19"/>
      <c r="U34" s="19">
        <v>39.209702</v>
      </c>
      <c r="V34" s="21"/>
      <c r="W34" s="19">
        <f t="shared" si="11"/>
        <v>39.209702</v>
      </c>
      <c r="X34" s="22"/>
      <c r="Y34" s="23">
        <f t="shared" si="17"/>
        <v>0</v>
      </c>
      <c r="AA34" s="53" t="s">
        <v>55</v>
      </c>
      <c r="AB34" s="55">
        <f>[15]comparison_CAR!J25</f>
        <v>13.78</v>
      </c>
      <c r="AC34" s="55">
        <f>[15]comparison_CAR!R25</f>
        <v>11.659600738991886</v>
      </c>
      <c r="AD34" s="55">
        <f>[15]comparison_CAR!K25</f>
        <v>13.49</v>
      </c>
      <c r="AF34" s="55"/>
      <c r="AG34" s="55">
        <f>[14]Energy_636!U34</f>
        <v>39.209702</v>
      </c>
    </row>
    <row r="35" spans="1:33" x14ac:dyDescent="0.45">
      <c r="A35" s="17" t="s">
        <v>56</v>
      </c>
      <c r="B35" s="49">
        <f t="shared" si="12"/>
        <v>7.11</v>
      </c>
      <c r="C35" s="18">
        <f>C34</f>
        <v>0.43600000000000005</v>
      </c>
      <c r="D35" s="38">
        <f t="shared" si="13"/>
        <v>6.6740000000000004</v>
      </c>
      <c r="E35" s="38">
        <f t="shared" si="0"/>
        <v>6.6740000000000004</v>
      </c>
      <c r="F35" s="39">
        <f>'Headloss Estimation'!Z537</f>
        <v>6.9159942940206705</v>
      </c>
      <c r="G35" s="39">
        <f t="shared" si="1"/>
        <v>622.08400570597928</v>
      </c>
      <c r="H35" s="40">
        <f>H26</f>
        <v>0.91500000000000004</v>
      </c>
      <c r="I35" s="40">
        <f t="shared" si="4"/>
        <v>0.87867450000000002</v>
      </c>
      <c r="J35" s="107">
        <f t="shared" si="14"/>
        <v>36149.065395515448</v>
      </c>
      <c r="K35" s="42">
        <v>29</v>
      </c>
      <c r="L35" s="43">
        <f t="shared" si="15"/>
        <v>24908152.020125967</v>
      </c>
      <c r="M35" s="43">
        <f t="shared" si="5"/>
        <v>996326.08080503868</v>
      </c>
      <c r="N35" s="43"/>
      <c r="O35" s="43"/>
      <c r="P35" s="43"/>
      <c r="Q35" s="43"/>
      <c r="R35" s="38"/>
      <c r="S35" s="38"/>
      <c r="T35" s="19"/>
      <c r="U35" s="19"/>
      <c r="V35" s="21"/>
      <c r="W35" s="19">
        <f t="shared" si="11"/>
        <v>0</v>
      </c>
      <c r="X35" s="22"/>
      <c r="Y35" s="23"/>
      <c r="AA35" s="53" t="s">
        <v>56</v>
      </c>
      <c r="AB35" s="55">
        <f>[15]comparison_CAR!J26</f>
        <v>7.86</v>
      </c>
      <c r="AC35" s="55">
        <f>[15]comparison_CAR!R26</f>
        <v>6.7443114937084667</v>
      </c>
      <c r="AD35" s="55">
        <f>[15]comparison_CAR!K26</f>
        <v>7.11</v>
      </c>
      <c r="AF35" s="55"/>
      <c r="AG35" s="55"/>
    </row>
    <row r="36" spans="1:33" x14ac:dyDescent="0.45">
      <c r="A36" s="50" t="s">
        <v>57</v>
      </c>
      <c r="B36" s="49"/>
      <c r="C36" s="18"/>
      <c r="D36" s="38"/>
      <c r="E36" s="38"/>
      <c r="F36" s="39"/>
      <c r="G36" s="39"/>
      <c r="H36" s="40"/>
      <c r="I36" s="40"/>
      <c r="J36" s="107"/>
      <c r="K36" s="20">
        <v>15</v>
      </c>
      <c r="L36" s="43"/>
      <c r="M36" s="43"/>
      <c r="N36" s="43"/>
      <c r="O36" s="43">
        <f>(K36/$K$35)*($L$35-$M$35)</f>
        <v>12368185.830683241</v>
      </c>
      <c r="P36" s="43"/>
      <c r="Q36" s="43">
        <f t="shared" si="16"/>
        <v>10889794</v>
      </c>
      <c r="R36" s="38"/>
      <c r="S36" s="38">
        <f t="shared" si="10"/>
        <v>12.36818583068324</v>
      </c>
      <c r="T36" s="19"/>
      <c r="U36" s="19">
        <v>10.889794</v>
      </c>
      <c r="V36" s="21"/>
      <c r="W36" s="19">
        <f t="shared" si="11"/>
        <v>10.889794</v>
      </c>
      <c r="X36" s="22"/>
      <c r="Y36" s="23">
        <f t="shared" si="17"/>
        <v>0</v>
      </c>
      <c r="AA36" s="58" t="s">
        <v>57</v>
      </c>
      <c r="AB36" s="54"/>
      <c r="AC36" s="54"/>
      <c r="AD36" s="54"/>
      <c r="AF36" s="55"/>
      <c r="AG36" s="55">
        <f>[14]Energy_636!U36</f>
        <v>10.889794</v>
      </c>
    </row>
    <row r="37" spans="1:33" x14ac:dyDescent="0.45">
      <c r="A37" s="50" t="s">
        <v>58</v>
      </c>
      <c r="B37" s="49"/>
      <c r="C37" s="18"/>
      <c r="D37" s="38"/>
      <c r="E37" s="38"/>
      <c r="F37" s="39"/>
      <c r="G37" s="39"/>
      <c r="H37" s="40"/>
      <c r="I37" s="40"/>
      <c r="J37" s="107"/>
      <c r="K37" s="20">
        <v>14</v>
      </c>
      <c r="L37" s="43"/>
      <c r="M37" s="43"/>
      <c r="N37" s="43">
        <f>(K37/$K$35)*($L$35-$M$35)</f>
        <v>11543640.108637691</v>
      </c>
      <c r="O37" s="43"/>
      <c r="P37" s="43">
        <f t="shared" si="6"/>
        <v>10163809</v>
      </c>
      <c r="Q37" s="43"/>
      <c r="R37" s="38">
        <f t="shared" si="7"/>
        <v>11.543640108637691</v>
      </c>
      <c r="S37" s="38"/>
      <c r="T37" s="19">
        <v>10.163809000000001</v>
      </c>
      <c r="U37" s="19"/>
      <c r="V37" s="24">
        <f t="shared" si="8"/>
        <v>10.163809000000001</v>
      </c>
      <c r="W37" s="19"/>
      <c r="X37" s="22">
        <f t="shared" si="9"/>
        <v>0</v>
      </c>
      <c r="Y37" s="21"/>
      <c r="AA37" s="58" t="s">
        <v>58</v>
      </c>
      <c r="AB37" s="54"/>
      <c r="AC37" s="54"/>
      <c r="AD37" s="54"/>
      <c r="AF37" s="55">
        <f>[14]Energy_636!T37</f>
        <v>10.163809000000001</v>
      </c>
      <c r="AG37" s="55"/>
    </row>
    <row r="38" spans="1:33" x14ac:dyDescent="0.45">
      <c r="A38" s="17" t="s">
        <v>59</v>
      </c>
      <c r="B38" s="49">
        <f t="shared" si="12"/>
        <v>5.56</v>
      </c>
      <c r="C38" s="18">
        <f>C35</f>
        <v>0.43600000000000005</v>
      </c>
      <c r="D38" s="38">
        <f t="shared" si="3"/>
        <v>5.1239999999999997</v>
      </c>
      <c r="E38" s="38">
        <f t="shared" si="0"/>
        <v>5.1239999999999997</v>
      </c>
      <c r="F38" s="39">
        <f>'Headloss Estimation'!Z538</f>
        <v>4.2818979569738929</v>
      </c>
      <c r="G38" s="39">
        <f t="shared" si="1"/>
        <v>624.71810204302608</v>
      </c>
      <c r="H38" s="40">
        <f>H26</f>
        <v>0.91500000000000004</v>
      </c>
      <c r="I38" s="40">
        <f t="shared" si="4"/>
        <v>0.87867450000000002</v>
      </c>
      <c r="J38" s="107">
        <f>IF(E38*G38*9.81*$E$8*$E$10&gt;=$E$22,$E$22,E38*G38*9.81*$E$8*$E$10)</f>
        <v>27871.160174267607</v>
      </c>
      <c r="K38" s="42">
        <v>30</v>
      </c>
      <c r="L38" s="43">
        <f>J38*K38*24*$E$11</f>
        <v>19866562.972217947</v>
      </c>
      <c r="M38" s="43">
        <f>$E$19*L38</f>
        <v>794662.51888871787</v>
      </c>
      <c r="N38" s="43">
        <f>L38-M38</f>
        <v>19071900.453329228</v>
      </c>
      <c r="O38" s="43"/>
      <c r="P38" s="43">
        <f t="shared" si="6"/>
        <v>16756440.999999998</v>
      </c>
      <c r="Q38" s="43"/>
      <c r="R38" s="38">
        <f t="shared" si="7"/>
        <v>19.071900453329228</v>
      </c>
      <c r="S38" s="38"/>
      <c r="T38" s="19">
        <v>16.756440999999999</v>
      </c>
      <c r="U38" s="19"/>
      <c r="V38" s="24">
        <f t="shared" si="8"/>
        <v>16.756440999999999</v>
      </c>
      <c r="W38" s="21"/>
      <c r="X38" s="25">
        <f t="shared" si="9"/>
        <v>0</v>
      </c>
      <c r="Y38" s="21"/>
      <c r="AA38" s="53" t="s">
        <v>59</v>
      </c>
      <c r="AB38" s="55">
        <f>[15]comparison_CAR!J27</f>
        <v>5.72</v>
      </c>
      <c r="AC38" s="55">
        <f>[15]comparison_CAR!R27</f>
        <v>4.4936370445151486</v>
      </c>
      <c r="AD38" s="55">
        <f>[15]comparison_CAR!K27</f>
        <v>5.56</v>
      </c>
      <c r="AF38" s="55">
        <f>[14]Energy_636!T38</f>
        <v>16.756440999999999</v>
      </c>
      <c r="AG38" s="55"/>
    </row>
    <row r="39" spans="1:33" x14ac:dyDescent="0.45">
      <c r="A39" s="17" t="s">
        <v>60</v>
      </c>
      <c r="B39" s="49">
        <f t="shared" si="12"/>
        <v>4.54</v>
      </c>
      <c r="C39" s="18">
        <f t="shared" si="18"/>
        <v>0.43600000000000005</v>
      </c>
      <c r="D39" s="38">
        <f t="shared" si="3"/>
        <v>4.1040000000000001</v>
      </c>
      <c r="E39" s="38">
        <f t="shared" si="0"/>
        <v>4.1040000000000001</v>
      </c>
      <c r="F39" s="39">
        <f>'Headloss Estimation'!Z539</f>
        <v>4.0955035211450497</v>
      </c>
      <c r="G39" s="39">
        <f t="shared" si="1"/>
        <v>624.90449647885498</v>
      </c>
      <c r="H39" s="40">
        <f>H26</f>
        <v>0.91500000000000004</v>
      </c>
      <c r="I39" s="40">
        <f t="shared" si="4"/>
        <v>0.87867450000000002</v>
      </c>
      <c r="J39" s="107">
        <f>IF(E39*G39*9.81*$E$8*$E$10&gt;=$E$22,$E$22,E39*G39*9.81*$E$8*$E$10)</f>
        <v>22329.697382469865</v>
      </c>
      <c r="K39" s="42">
        <v>29</v>
      </c>
      <c r="L39" s="43">
        <f>J39*K39*24*$E$11</f>
        <v>15386054.684417035</v>
      </c>
      <c r="M39" s="43">
        <f>$E$19*L39</f>
        <v>615442.18737668148</v>
      </c>
      <c r="N39" s="43">
        <f t="shared" ref="N39:N41" si="20">L39-M39</f>
        <v>14770612.497040354</v>
      </c>
      <c r="O39" s="43"/>
      <c r="P39" s="43">
        <f t="shared" si="6"/>
        <v>12995863</v>
      </c>
      <c r="Q39" s="43"/>
      <c r="R39" s="38">
        <f t="shared" si="7"/>
        <v>14.770612497040354</v>
      </c>
      <c r="S39" s="38"/>
      <c r="T39" s="19">
        <v>12.995863</v>
      </c>
      <c r="U39" s="19"/>
      <c r="V39" s="24">
        <f t="shared" si="8"/>
        <v>12.995863</v>
      </c>
      <c r="W39" s="21"/>
      <c r="X39" s="25">
        <f t="shared" si="9"/>
        <v>0</v>
      </c>
      <c r="Y39" s="21"/>
      <c r="AA39" s="53" t="s">
        <v>60</v>
      </c>
      <c r="AB39" s="55">
        <f>[15]comparison_CAR!J28</f>
        <v>4.66</v>
      </c>
      <c r="AC39" s="55">
        <f>[15]comparison_CAR!R28</f>
        <v>3.9165834856166404</v>
      </c>
      <c r="AD39" s="55">
        <f>[15]comparison_CAR!K28</f>
        <v>4.54</v>
      </c>
      <c r="AF39" s="55">
        <f>[14]Energy_636!T39</f>
        <v>12.995863</v>
      </c>
      <c r="AG39" s="55"/>
    </row>
    <row r="40" spans="1:33" x14ac:dyDescent="0.45">
      <c r="A40" s="17" t="s">
        <v>61</v>
      </c>
      <c r="B40" s="49">
        <f t="shared" si="12"/>
        <v>4.3600000000000003</v>
      </c>
      <c r="C40" s="18">
        <f t="shared" si="18"/>
        <v>0.43600000000000005</v>
      </c>
      <c r="D40" s="38">
        <f t="shared" si="3"/>
        <v>3.9240000000000004</v>
      </c>
      <c r="E40" s="38">
        <f t="shared" si="0"/>
        <v>3.9240000000000004</v>
      </c>
      <c r="F40" s="39">
        <f>'Headloss Estimation'!Z540</f>
        <v>3.7870250334506257</v>
      </c>
      <c r="G40" s="39">
        <f t="shared" si="1"/>
        <v>625.21297496654938</v>
      </c>
      <c r="H40" s="40">
        <f>H26</f>
        <v>0.91500000000000004</v>
      </c>
      <c r="I40" s="40">
        <f t="shared" si="4"/>
        <v>0.87867450000000002</v>
      </c>
      <c r="J40" s="107">
        <f>IF(E40*G40*9.81*$E$8*$E$10&gt;=$E$22,$E$22,E40*G40*9.81*$E$8*$E$10)</f>
        <v>21360.864086130914</v>
      </c>
      <c r="K40" s="42">
        <v>30</v>
      </c>
      <c r="L40" s="43">
        <f>J40*K40*24*$E$11</f>
        <v>15226023.920594115</v>
      </c>
      <c r="M40" s="43">
        <f>$E$19*L40</f>
        <v>609040.9568237646</v>
      </c>
      <c r="N40" s="43">
        <f t="shared" si="20"/>
        <v>14616982.96377035</v>
      </c>
      <c r="O40" s="43"/>
      <c r="P40" s="43">
        <f t="shared" si="6"/>
        <v>12890288</v>
      </c>
      <c r="Q40" s="43"/>
      <c r="R40" s="38">
        <f t="shared" si="7"/>
        <v>14.616982963770351</v>
      </c>
      <c r="S40" s="38"/>
      <c r="T40" s="19">
        <v>12.890288</v>
      </c>
      <c r="U40" s="19"/>
      <c r="V40" s="24">
        <f t="shared" si="8"/>
        <v>12.890288</v>
      </c>
      <c r="W40" s="21"/>
      <c r="X40" s="25">
        <f t="shared" si="9"/>
        <v>0</v>
      </c>
      <c r="Y40" s="21"/>
      <c r="AA40" s="53" t="s">
        <v>61</v>
      </c>
      <c r="AB40" s="55">
        <f>[15]comparison_CAR!J29</f>
        <v>4.17</v>
      </c>
      <c r="AC40" s="55">
        <f>[16]comparison_CAR!$R$29</f>
        <v>3.8959999999999999</v>
      </c>
      <c r="AD40" s="55">
        <f>[15]comparison_CAR!K29</f>
        <v>4.3600000000000003</v>
      </c>
      <c r="AF40" s="55">
        <f>[14]Energy_636!T40</f>
        <v>12.890288</v>
      </c>
      <c r="AG40" s="55"/>
    </row>
    <row r="41" spans="1:33" x14ac:dyDescent="0.45">
      <c r="A41" s="17" t="s">
        <v>62</v>
      </c>
      <c r="B41" s="49">
        <f t="shared" si="12"/>
        <v>4.41</v>
      </c>
      <c r="C41" s="18">
        <f>C40</f>
        <v>0.43600000000000005</v>
      </c>
      <c r="D41" s="38">
        <f t="shared" si="3"/>
        <v>3.9740000000000002</v>
      </c>
      <c r="E41" s="38">
        <f t="shared" si="0"/>
        <v>3.9740000000000002</v>
      </c>
      <c r="F41" s="39">
        <f>'Headloss Estimation'!Z541</f>
        <v>3.8713259211703623</v>
      </c>
      <c r="G41" s="39">
        <f t="shared" si="1"/>
        <v>625.12867407882959</v>
      </c>
      <c r="H41" s="40">
        <f>H26</f>
        <v>0.91500000000000004</v>
      </c>
      <c r="I41" s="40">
        <f t="shared" si="4"/>
        <v>0.87867450000000002</v>
      </c>
      <c r="J41" s="41">
        <f>IF(I41*9.81*E41*G41&gt;=$E$22*1000,$E$22*1000,I41*9.81*E41*G41)</f>
        <v>21413.828153688784</v>
      </c>
      <c r="K41" s="42">
        <v>30</v>
      </c>
      <c r="L41" s="43">
        <f>J41*K41*24*$E$11</f>
        <v>15263776.707949363</v>
      </c>
      <c r="M41" s="43">
        <f>$E$19*L41</f>
        <v>610551.06831797457</v>
      </c>
      <c r="N41" s="43">
        <f t="shared" si="20"/>
        <v>14653225.639631389</v>
      </c>
      <c r="O41" s="43"/>
      <c r="P41" s="43">
        <f t="shared" si="6"/>
        <v>13020546</v>
      </c>
      <c r="Q41" s="43"/>
      <c r="R41" s="38">
        <f t="shared" si="7"/>
        <v>14.653225639631389</v>
      </c>
      <c r="S41" s="38"/>
      <c r="T41" s="19">
        <v>13.020546</v>
      </c>
      <c r="U41" s="19"/>
      <c r="V41" s="24">
        <f t="shared" si="8"/>
        <v>13.020546</v>
      </c>
      <c r="W41" s="21"/>
      <c r="X41" s="22">
        <f t="shared" si="9"/>
        <v>0</v>
      </c>
      <c r="Y41" s="21"/>
      <c r="AA41" s="53" t="s">
        <v>62</v>
      </c>
      <c r="AB41" s="55">
        <f>[15]comparison_CAR!J30</f>
        <v>4.45</v>
      </c>
      <c r="AC41" s="55">
        <f>[16]comparison_CAR!$R$30</f>
        <v>4.41</v>
      </c>
      <c r="AD41" s="55">
        <f>[15]comparison_CAR!K30</f>
        <v>4.41</v>
      </c>
      <c r="AF41" s="55">
        <f>[14]Energy_636!T41</f>
        <v>13.020546</v>
      </c>
      <c r="AG41" s="55"/>
    </row>
    <row r="42" spans="1:33" x14ac:dyDescent="0.45">
      <c r="A42" s="26" t="s">
        <v>63</v>
      </c>
      <c r="B42" s="49"/>
      <c r="C42" s="49"/>
      <c r="D42" s="38"/>
      <c r="E42" s="44"/>
      <c r="F42" s="45"/>
      <c r="G42" s="44"/>
      <c r="H42" s="44"/>
      <c r="I42" s="44"/>
      <c r="J42" s="42"/>
      <c r="K42" s="46">
        <f>SUM(K26:K27)+SUM(K30:K35)+SUM(K38:K41)</f>
        <v>365</v>
      </c>
      <c r="L42" s="43"/>
      <c r="M42" s="43"/>
      <c r="N42" s="47">
        <f t="shared" ref="N42:W42" si="21">SUM(N26:N41)</f>
        <v>117077131.53004326</v>
      </c>
      <c r="O42" s="47">
        <f t="shared" si="21"/>
        <v>264258453.78728065</v>
      </c>
      <c r="P42" s="47">
        <f t="shared" si="21"/>
        <v>103109574</v>
      </c>
      <c r="Q42" s="47">
        <f t="shared" si="21"/>
        <v>232884190</v>
      </c>
      <c r="R42" s="48">
        <f t="shared" si="21"/>
        <v>117.07713153004327</v>
      </c>
      <c r="S42" s="48">
        <f t="shared" si="21"/>
        <v>264.25845378728064</v>
      </c>
      <c r="T42" s="27">
        <f t="shared" si="21"/>
        <v>103.10957399999999</v>
      </c>
      <c r="U42" s="27">
        <f t="shared" si="21"/>
        <v>232.88418999999999</v>
      </c>
      <c r="V42" s="27">
        <f t="shared" si="21"/>
        <v>103.10957399999999</v>
      </c>
      <c r="W42" s="27">
        <f t="shared" si="21"/>
        <v>232.88418999999999</v>
      </c>
      <c r="X42" s="27"/>
      <c r="Y42" s="27"/>
      <c r="AB42" s="10"/>
      <c r="AC42" s="10"/>
      <c r="AD42" s="10"/>
      <c r="AF42" s="59">
        <f>SUM(AF26:AF41)</f>
        <v>103.10957399999999</v>
      </c>
      <c r="AG42" s="59">
        <f>SUM(AG26:AG41)</f>
        <v>232.88418999999999</v>
      </c>
    </row>
    <row r="43" spans="1:33" s="2" customFormat="1" hidden="1" x14ac:dyDescent="0.45">
      <c r="A43" s="28" t="s">
        <v>64</v>
      </c>
      <c r="B43" s="28"/>
      <c r="C43" s="28"/>
      <c r="D43" s="28"/>
      <c r="E43" s="28"/>
      <c r="F43" s="28"/>
      <c r="G43" s="28"/>
      <c r="H43" s="28"/>
      <c r="I43" s="28"/>
      <c r="J43" s="28"/>
      <c r="K43" s="26"/>
      <c r="L43" s="28"/>
      <c r="M43" s="28"/>
      <c r="N43" s="29">
        <f t="shared" ref="N43:W43" si="22">N42/1000000</f>
        <v>117.07713153004326</v>
      </c>
      <c r="O43" s="29">
        <f t="shared" si="22"/>
        <v>264.25845378728064</v>
      </c>
      <c r="P43" s="30">
        <f t="shared" si="22"/>
        <v>103.10957399999999</v>
      </c>
      <c r="Q43" s="30">
        <f t="shared" si="22"/>
        <v>232.88418999999999</v>
      </c>
      <c r="R43" s="30">
        <f t="shared" si="22"/>
        <v>1.1707713153004328E-4</v>
      </c>
      <c r="S43" s="30">
        <f t="shared" si="22"/>
        <v>2.6425845378728066E-4</v>
      </c>
      <c r="T43" s="30"/>
      <c r="U43" s="30"/>
      <c r="V43" s="30">
        <f t="shared" si="22"/>
        <v>1.0310957399999999E-4</v>
      </c>
      <c r="W43" s="30">
        <f t="shared" si="22"/>
        <v>2.3288418999999999E-4</v>
      </c>
      <c r="X43" s="31"/>
      <c r="Y43" s="31"/>
      <c r="AA43" s="284" t="s">
        <v>66</v>
      </c>
      <c r="AB43" s="284"/>
      <c r="AF43" s="55">
        <f>[14]Energy_636!T43</f>
        <v>0</v>
      </c>
    </row>
    <row r="44" spans="1:33" s="2" customFormat="1" ht="24.75" customHeight="1" x14ac:dyDescent="0.45">
      <c r="A44" s="295"/>
      <c r="B44" s="295"/>
      <c r="C44" s="295"/>
      <c r="E44" s="284" t="s">
        <v>65</v>
      </c>
      <c r="F44" s="284"/>
      <c r="G44" s="79" t="s">
        <v>36</v>
      </c>
      <c r="H44" s="79"/>
      <c r="I44" s="79"/>
      <c r="J44" s="79" t="s">
        <v>439</v>
      </c>
      <c r="N44" s="32"/>
      <c r="O44" s="32"/>
      <c r="P44" s="31"/>
      <c r="Q44" s="31"/>
      <c r="R44" s="31"/>
      <c r="S44" s="31"/>
      <c r="T44" s="31"/>
      <c r="U44" s="31"/>
      <c r="V44" s="31"/>
      <c r="W44" s="31"/>
      <c r="X44" s="31"/>
      <c r="Y44" s="31"/>
      <c r="AF44" s="14">
        <f>SUM(AF42:AG42)</f>
        <v>335.993764</v>
      </c>
    </row>
    <row r="45" spans="1:33" s="2" customFormat="1" x14ac:dyDescent="0.45">
      <c r="A45" s="293" t="s">
        <v>67</v>
      </c>
      <c r="B45" s="293"/>
      <c r="C45" s="293"/>
      <c r="D45" s="293"/>
      <c r="E45" s="51">
        <f>N43</f>
        <v>117.07713153004326</v>
      </c>
      <c r="F45" s="33">
        <f>E45/$E$47</f>
        <v>0.30701863670189322</v>
      </c>
      <c r="G45" s="79">
        <v>103.11</v>
      </c>
      <c r="H45" s="79"/>
      <c r="I45" s="79"/>
      <c r="J45" s="108">
        <f>E45-G45</f>
        <v>13.967131530043261</v>
      </c>
      <c r="K45" s="110">
        <f>J45/$J$47</f>
        <v>0.30801524409273051</v>
      </c>
      <c r="L45" s="104"/>
      <c r="M45" s="105"/>
      <c r="N45" s="105"/>
      <c r="O45" s="34"/>
      <c r="P45" s="35"/>
      <c r="Q45" s="34"/>
      <c r="R45" s="34"/>
      <c r="S45" s="34"/>
      <c r="T45" s="34"/>
      <c r="U45" s="34"/>
      <c r="V45" s="34"/>
      <c r="W45" s="34"/>
      <c r="X45" s="34"/>
      <c r="Y45" s="34"/>
    </row>
    <row r="46" spans="1:33" s="2" customFormat="1" x14ac:dyDescent="0.45">
      <c r="A46" s="293" t="s">
        <v>68</v>
      </c>
      <c r="B46" s="293"/>
      <c r="C46" s="293"/>
      <c r="D46" s="294"/>
      <c r="E46" s="51">
        <f>O43</f>
        <v>264.25845378728064</v>
      </c>
      <c r="F46" s="33">
        <f>E46/$E$47</f>
        <v>0.69298136329810689</v>
      </c>
      <c r="G46" s="79">
        <v>232.88</v>
      </c>
      <c r="H46" s="79"/>
      <c r="I46" s="79"/>
      <c r="J46" s="108">
        <f>E46-G46</f>
        <v>31.378453787280648</v>
      </c>
      <c r="K46" s="109">
        <f>J46/$J$47</f>
        <v>0.69198475590726949</v>
      </c>
      <c r="L46" s="104"/>
      <c r="M46" s="105"/>
      <c r="N46" s="105"/>
      <c r="O46" s="3"/>
      <c r="P46" s="10"/>
      <c r="Q46" s="3"/>
      <c r="R46" s="3"/>
      <c r="S46" s="3"/>
      <c r="T46" s="3"/>
      <c r="U46" s="3"/>
      <c r="V46" s="3"/>
      <c r="W46" s="3"/>
      <c r="X46" s="3"/>
      <c r="Y46" s="3"/>
    </row>
    <row r="47" spans="1:33" s="2" customFormat="1" x14ac:dyDescent="0.45">
      <c r="A47" s="293" t="s">
        <v>69</v>
      </c>
      <c r="B47" s="293"/>
      <c r="C47" s="293"/>
      <c r="D47" s="294"/>
      <c r="E47" s="52">
        <f>SUM(E45:E46)</f>
        <v>381.33558531732388</v>
      </c>
      <c r="F47" s="33">
        <f>E47/$E$47</f>
        <v>1</v>
      </c>
      <c r="G47" s="79">
        <f>SUM(G45:G46)</f>
        <v>335.99</v>
      </c>
      <c r="H47" s="79"/>
      <c r="I47" s="79"/>
      <c r="J47" s="108">
        <f>SUM(J45:J46)</f>
        <v>45.345585317323909</v>
      </c>
      <c r="K47" s="109">
        <f>J47/$J$47</f>
        <v>1</v>
      </c>
      <c r="L47" s="106"/>
      <c r="M47" s="105"/>
      <c r="N47" s="105"/>
      <c r="AA47" s="3"/>
      <c r="AB47" s="3"/>
    </row>
    <row r="48" spans="1:33" x14ac:dyDescent="0.45">
      <c r="P48" s="36"/>
    </row>
  </sheetData>
  <mergeCells count="42">
    <mergeCell ref="A47:D47"/>
    <mergeCell ref="E44:F44"/>
    <mergeCell ref="A45:D45"/>
    <mergeCell ref="A46:D46"/>
    <mergeCell ref="A44:C44"/>
    <mergeCell ref="V23:W23"/>
    <mergeCell ref="X23:Y23"/>
    <mergeCell ref="AA43:AB43"/>
    <mergeCell ref="L23:L24"/>
    <mergeCell ref="M23:M24"/>
    <mergeCell ref="N23:O23"/>
    <mergeCell ref="P23:Q23"/>
    <mergeCell ref="R23:S23"/>
    <mergeCell ref="T23:U23"/>
    <mergeCell ref="E23:E24"/>
    <mergeCell ref="F23:F24"/>
    <mergeCell ref="G23:G24"/>
    <mergeCell ref="J23:J24"/>
    <mergeCell ref="K23:K24"/>
    <mergeCell ref="A20:D20"/>
    <mergeCell ref="A21:D21"/>
    <mergeCell ref="A22:D22"/>
    <mergeCell ref="A23:A25"/>
    <mergeCell ref="B23:B24"/>
    <mergeCell ref="C23:C24"/>
    <mergeCell ref="D23:D24"/>
    <mergeCell ref="AF23:AG23"/>
    <mergeCell ref="AB24:AD24"/>
    <mergeCell ref="A17:D17"/>
    <mergeCell ref="A5:D5"/>
    <mergeCell ref="A6:D6"/>
    <mergeCell ref="A7:D7"/>
    <mergeCell ref="A8:D8"/>
    <mergeCell ref="A10:D10"/>
    <mergeCell ref="A11:D11"/>
    <mergeCell ref="A12:D12"/>
    <mergeCell ref="A13:D13"/>
    <mergeCell ref="A14:D14"/>
    <mergeCell ref="A15:D15"/>
    <mergeCell ref="A16:D16"/>
    <mergeCell ref="H23:I23"/>
    <mergeCell ref="A19:D19"/>
  </mergeCells>
  <printOptions horizontalCentered="1"/>
  <pageMargins left="0.25" right="0.19" top="1.02" bottom="0.6" header="0.5" footer="0.33"/>
  <pageSetup paperSize="9" scale="46" orientation="landscape" r:id="rId1"/>
  <headerFooter alignWithMargins="0">
    <oddFooter>&amp;L&amp;"Gill Sans MT,Italic"&amp;8Hydro-Consult Engineering Ltd&amp;C&amp;"Gill Sans MT,Regular"&amp;8&amp;A&amp;R&amp;"Gill Sans MT,Italic"&amp;8Page &amp;P of &amp;N</oddFooter>
  </headerFooter>
  <colBreaks count="1" manualBreakCount="1">
    <brk id="19" max="4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efficiency from chart </vt:lpstr>
      <vt:lpstr>Headloss Estimation</vt:lpstr>
      <vt:lpstr>Sheet1</vt:lpstr>
      <vt:lpstr>HL calculation_Coefficient</vt:lpstr>
      <vt:lpstr>Energy </vt:lpstr>
      <vt:lpstr>'efficiency from chart '!Print_Area</vt:lpstr>
      <vt:lpstr>'Energy '!Print_Area</vt:lpstr>
      <vt:lpstr>'Headloss Estimation'!Print_Area</vt:lpstr>
      <vt:lpstr>'Energy '!Print_Titles</vt:lpstr>
      <vt:lpstr>'Headloss Estimation'!Print_Titles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Jeevika Khadka</dc:creator>
  <cp:lastModifiedBy>Pravash Mool</cp:lastModifiedBy>
  <cp:lastPrinted>2021-06-04T08:43:31Z</cp:lastPrinted>
  <dcterms:created xsi:type="dcterms:W3CDTF">2021-01-17T13:13:07Z</dcterms:created>
  <dcterms:modified xsi:type="dcterms:W3CDTF">2023-01-23T07:49:36Z</dcterms:modified>
</cp:coreProperties>
</file>