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D\Jobs\OPEN\930100 TD of Myagdi Khola HPP\61 Design\Headloss &amp; Energy Calculation\"/>
    </mc:Choice>
  </mc:AlternateContent>
  <xr:revisionPtr revIDLastSave="0" documentId="13_ncr:1_{AAEA2636-9C72-4A0B-B212-E348C9496D68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efficiency from chart " sheetId="4" state="hidden" r:id="rId1"/>
    <sheet name="Headloss Summary" sheetId="5" r:id="rId2"/>
    <sheet name="HL calculation_Coefficient" sheetId="2" state="hidden" r:id="rId3"/>
    <sheet name="Energy 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Kt1" localSheetId="3">#REF!</definedName>
    <definedName name="_Kt1" localSheetId="2">#REF!</definedName>
    <definedName name="_Kt1">#REF!</definedName>
    <definedName name="Ai" localSheetId="0">'[1]settling basin 240'!$D$7</definedName>
    <definedName name="Ai" localSheetId="3">'[2]settling basin 240'!$D$7</definedName>
    <definedName name="Ai" localSheetId="2">'[1]settling basin 240'!$D$7</definedName>
    <definedName name="Ai">'[2]settling basin 240'!$D$7</definedName>
    <definedName name="anscount" hidden="1">5</definedName>
    <definedName name="Area_orifice" localSheetId="3">#REF!</definedName>
    <definedName name="Area_orifice" localSheetId="2">#REF!</definedName>
    <definedName name="Area_orifice">#REF!</definedName>
    <definedName name="Area3000" localSheetId="3">#REF!</definedName>
    <definedName name="Area3000">#REF!</definedName>
    <definedName name="Area5000" localSheetId="3">#REF!</definedName>
    <definedName name="Area5000">#REF!</definedName>
    <definedName name="AverageParticle" localSheetId="3">#REF!</definedName>
    <definedName name="AverageParticle">#REF!</definedName>
    <definedName name="AX" localSheetId="3">#REF!</definedName>
    <definedName name="AX">#REF!</definedName>
    <definedName name="AX_canal" localSheetId="3">#REF!</definedName>
    <definedName name="AX_canal">#REF!</definedName>
    <definedName name="AX_headcanal" localSheetId="3">#REF!</definedName>
    <definedName name="AX_headcanal">#REF!</definedName>
    <definedName name="B" localSheetId="0">'[1]settling basin 240'!$D$6</definedName>
    <definedName name="B" localSheetId="3">'[2]settling basin 240'!$D$6</definedName>
    <definedName name="B" localSheetId="2">'[1]settling basin 240'!$D$6</definedName>
    <definedName name="B">'[2]settling basin 240'!$D$6</definedName>
    <definedName name="Basin" localSheetId="3">#REF!</definedName>
    <definedName name="Basin" localSheetId="2">#REF!</definedName>
    <definedName name="Basin">#REF!</definedName>
    <definedName name="Basin_area" localSheetId="3">#REF!</definedName>
    <definedName name="Basin_area">#REF!</definedName>
    <definedName name="Bcanal">'[3]Intake Canal'!$C$13</definedName>
    <definedName name="Bgt" localSheetId="3">#REF!</definedName>
    <definedName name="Bgt" localSheetId="2">#REF!</definedName>
    <definedName name="Bgt">#REF!</definedName>
    <definedName name="Bheadcanal" localSheetId="3">#REF!</definedName>
    <definedName name="Bheadcanal">#REF!</definedName>
    <definedName name="bt" localSheetId="3">#REF!</definedName>
    <definedName name="bt">#REF!</definedName>
    <definedName name="Cgt" localSheetId="3">#REF!</definedName>
    <definedName name="Cgt">#REF!</definedName>
    <definedName name="Corific" localSheetId="3">#REF!</definedName>
    <definedName name="Corific">#REF!</definedName>
    <definedName name="Cresrlevel" localSheetId="3">#REF!</definedName>
    <definedName name="Cresrlevel">#REF!</definedName>
    <definedName name="CW" localSheetId="3">#REF!</definedName>
    <definedName name="CW">#REF!</definedName>
    <definedName name="Cweir" localSheetId="3">#REF!</definedName>
    <definedName name="Cweir">#REF!</definedName>
    <definedName name="DesignDischarge">'[3]Side Intake and Orifice'!$C$8</definedName>
    <definedName name="Discharg_1_basin" localSheetId="3">#REF!</definedName>
    <definedName name="Discharg_1_basin" localSheetId="2">#REF!</definedName>
    <definedName name="Discharg_1_basin">#REF!</definedName>
    <definedName name="dlimit" localSheetId="3">#REF!</definedName>
    <definedName name="dlimit">#REF!</definedName>
    <definedName name="FLinlet" localSheetId="3">#REF!</definedName>
    <definedName name="FLinlet">#REF!</definedName>
    <definedName name="Freaboard" localSheetId="3">#REF!</definedName>
    <definedName name="Freaboard">#REF!</definedName>
    <definedName name="g" localSheetId="3">#REF!</definedName>
    <definedName name="g">#REF!</definedName>
    <definedName name="H" localSheetId="3">#REF!</definedName>
    <definedName name="H">#REF!</definedName>
    <definedName name="H_100" localSheetId="3">#REF!</definedName>
    <definedName name="H_100">#REF!</definedName>
    <definedName name="H_20" localSheetId="3">#REF!</definedName>
    <definedName name="H_20">#REF!</definedName>
    <definedName name="H_L_orifice" localSheetId="3">#REF!</definedName>
    <definedName name="H_L_orifice">#REF!</definedName>
    <definedName name="H100y">'[4]Water Level'!$B$19</definedName>
    <definedName name="H10y" localSheetId="3">#REF!</definedName>
    <definedName name="H10y" localSheetId="2">#REF!</definedName>
    <definedName name="H10y">#REF!</definedName>
    <definedName name="H20y" localSheetId="3">#REF!</definedName>
    <definedName name="H20y">#REF!</definedName>
    <definedName name="H2y" localSheetId="3">#REF!</definedName>
    <definedName name="H2y">#REF!</definedName>
    <definedName name="H5y" localSheetId="3">#REF!</definedName>
    <definedName name="H5y">#REF!</definedName>
    <definedName name="Hbasin">'[5]Settling Basin'!$I$31</definedName>
    <definedName name="Hcanal" localSheetId="3">#REF!</definedName>
    <definedName name="Hcanal" localSheetId="2">#REF!</definedName>
    <definedName name="Hcanal">#REF!</definedName>
    <definedName name="HcatCrest" localSheetId="3">#REF!</definedName>
    <definedName name="HcatCrest">#REF!</definedName>
    <definedName name="Hd">'[4]Water Level'!$B$14</definedName>
    <definedName name="Head" localSheetId="3">#REF!</definedName>
    <definedName name="Head" localSheetId="2">#REF!</definedName>
    <definedName name="Head">#REF!</definedName>
    <definedName name="Height_Orifice" localSheetId="3">#REF!</definedName>
    <definedName name="Height_Orifice">#REF!</definedName>
    <definedName name="HFL" localSheetId="3">#REF!</definedName>
    <definedName name="HFL">#REF!</definedName>
    <definedName name="Hflood" localSheetId="3">#REF!</definedName>
    <definedName name="Hflood">#REF!</definedName>
    <definedName name="Hmin" localSheetId="3">#REF!</definedName>
    <definedName name="Hmin">#REF!</definedName>
    <definedName name="Hr">'[4]Side Intake and Orifice'!$H$18</definedName>
    <definedName name="Htrash" localSheetId="3">#REF!</definedName>
    <definedName name="Htrash" localSheetId="2">#REF!</definedName>
    <definedName name="Htrash">#REF!</definedName>
    <definedName name="hWEIR" localSheetId="3">#REF!</definedName>
    <definedName name="hWEIR">#REF!</definedName>
    <definedName name="kt" localSheetId="3">#REF!</definedName>
    <definedName name="kt">#REF!</definedName>
    <definedName name="Kv" localSheetId="3">#REF!</definedName>
    <definedName name="Kv">#REF!</definedName>
    <definedName name="Laceyf" localSheetId="3">#REF!</definedName>
    <definedName name="Laceyf">#REF!</definedName>
    <definedName name="Lbasin" localSheetId="3">#REF!</definedName>
    <definedName name="Lbasin">#REF!</definedName>
    <definedName name="Lcanal" localSheetId="3">#REF!</definedName>
    <definedName name="Lcanal">#REF!</definedName>
    <definedName name="Lcrest" localSheetId="3">#REF!</definedName>
    <definedName name="Lcrest">#REF!</definedName>
    <definedName name="Lgt" localSheetId="3">#REF!</definedName>
    <definedName name="Lgt">#REF!</definedName>
    <definedName name="LHeadCanal" localSheetId="3">#REF!</definedName>
    <definedName name="LHeadCanal">#REF!</definedName>
    <definedName name="limcount" hidden="1">1</definedName>
    <definedName name="Lo" localSheetId="2">'[6]fixing of water way crest '!$D$353</definedName>
    <definedName name="Lo">'[7]fixing of water way crest '!$D$353</definedName>
    <definedName name="MWI" localSheetId="3">#REF!</definedName>
    <definedName name="MWI" localSheetId="2">#REF!</definedName>
    <definedName name="MWI">#REF!</definedName>
    <definedName name="n">'[5]Intake Canal'!$C$10</definedName>
    <definedName name="N_basin" localSheetId="3">#REF!</definedName>
    <definedName name="N_basin" localSheetId="2">#REF!</definedName>
    <definedName name="N_basin">#REF!</definedName>
    <definedName name="n_flush" localSheetId="3">#REF!</definedName>
    <definedName name="n_flush">#REF!</definedName>
    <definedName name="ncanal" localSheetId="3">#REF!</definedName>
    <definedName name="ncanal">#REF!</definedName>
    <definedName name="Nhead" localSheetId="3">#REF!</definedName>
    <definedName name="Nhead">#REF!</definedName>
    <definedName name="Nmaning" localSheetId="3">#REF!</definedName>
    <definedName name="Nmaning">#REF!</definedName>
    <definedName name="NRs_USD" localSheetId="3">#REF!</definedName>
    <definedName name="NWL" localSheetId="3">#REF!</definedName>
    <definedName name="NWL">#REF!</definedName>
    <definedName name="optAheadcanal">'[5]Headrace Canal '!$H$20</definedName>
    <definedName name="OptbCanal" localSheetId="3">#REF!</definedName>
    <definedName name="OptbCanal" localSheetId="2">#REF!</definedName>
    <definedName name="OptbCanal">#REF!</definedName>
    <definedName name="optBheadcanal" localSheetId="3">#REF!</definedName>
    <definedName name="optBheadcanal">#REF!</definedName>
    <definedName name="optHheadcanal" localSheetId="3">#REF!</definedName>
    <definedName name="optHheadcanal">#REF!</definedName>
    <definedName name="optHLheadcanal" localSheetId="3">#REF!</definedName>
    <definedName name="optHLheadcanal">#REF!</definedName>
    <definedName name="optPheadcanal" localSheetId="3">#REF!</definedName>
    <definedName name="optPheadcanal">#REF!</definedName>
    <definedName name="optRheadCanal" localSheetId="3">#REF!</definedName>
    <definedName name="optRheadCanal">#REF!</definedName>
    <definedName name="optSlopeheadcanal" localSheetId="3">#REF!</definedName>
    <definedName name="optSlopeheadcanal">#REF!</definedName>
    <definedName name="PAGE1" localSheetId="3">#REF!</definedName>
    <definedName name="PAGE2" localSheetId="3">#REF!</definedName>
    <definedName name="PAGE3" localSheetId="3">#REF!</definedName>
    <definedName name="Perimeter" localSheetId="3">#REF!</definedName>
    <definedName name="Perimeter">#REF!</definedName>
    <definedName name="Pfactor" localSheetId="3">#REF!</definedName>
    <definedName name="Pfactor">#REF!</definedName>
    <definedName name="Pi">'[2]settling basin 240'!$D$8</definedName>
    <definedName name="Popt" localSheetId="3">#REF!</definedName>
    <definedName name="Popt" localSheetId="2">#REF!</definedName>
    <definedName name="Popt">#REF!</definedName>
    <definedName name="Power" localSheetId="3">#REF!</definedName>
    <definedName name="Power">#REF!</definedName>
    <definedName name="_xlnm.Print_Area" localSheetId="0">'efficiency from chart '!$B$1:$K$58</definedName>
    <definedName name="_xlnm.Print_Area" localSheetId="3">'Energy '!$A$1:$O$47</definedName>
    <definedName name="_xlnm.Print_Titles" localSheetId="3">'Energy '!$2:$3</definedName>
    <definedName name="q" localSheetId="3">#REF!</definedName>
    <definedName name="q" localSheetId="2">#REF!</definedName>
    <definedName name="q">#REF!</definedName>
    <definedName name="Q_100" localSheetId="3">#REF!</definedName>
    <definedName name="Q_100">#REF!</definedName>
    <definedName name="Q_20" localSheetId="3">#REF!</definedName>
    <definedName name="Q_20">#REF!</definedName>
    <definedName name="Q_des" localSheetId="2">'[6]fixing of water way crest '!$D$351</definedName>
    <definedName name="Q_des">'[7]fixing of water way crest '!$D$351</definedName>
    <definedName name="Q_idf" localSheetId="2">'[6]fixing of water way crest '!$D$1</definedName>
    <definedName name="Q_idf">'[7]fixing of water way crest '!$D$1</definedName>
    <definedName name="Q_o" localSheetId="2">'[6]fixing of water way crest '!$D$349</definedName>
    <definedName name="Q_o">'[7]fixing of water way crest '!$D$349</definedName>
    <definedName name="Q_p" localSheetId="2">'[6]fixing of water way crest '!$D$348</definedName>
    <definedName name="Q_p">'[7]fixing of water way crest '!$D$348</definedName>
    <definedName name="q_per" localSheetId="2">'[6]fixing of water way crest '!$D$397</definedName>
    <definedName name="q_per">'[7]fixing of water way crest '!$D$397</definedName>
    <definedName name="qd" localSheetId="3">#REF!</definedName>
    <definedName name="qd" localSheetId="2">#REF!</definedName>
    <definedName name="qd">#REF!</definedName>
    <definedName name="Qf" localSheetId="2">'[6]fixing of water way crest '!$D$2</definedName>
    <definedName name="Qf">'[7]fixing of water way crest '!$D$2</definedName>
    <definedName name="Qflush" localSheetId="3">#REF!</definedName>
    <definedName name="Qflush" localSheetId="2">#REF!</definedName>
    <definedName name="Qflush">#REF!</definedName>
    <definedName name="Qintake" localSheetId="3">#REF!</definedName>
    <definedName name="Qintake">#REF!</definedName>
    <definedName name="Qo">'[8]Side Intake and Orifice'!$H$22</definedName>
    <definedName name="Qtotal" localSheetId="3">#REF!</definedName>
    <definedName name="Qtotal" localSheetId="2">#REF!</definedName>
    <definedName name="Qtotal">#REF!</definedName>
    <definedName name="R_" localSheetId="3">#REF!</definedName>
    <definedName name="R_">#REF!</definedName>
    <definedName name="R_hyd">'[2]settling basin 240'!$D$9</definedName>
    <definedName name="Rcanal" localSheetId="3">#REF!</definedName>
    <definedName name="Rcanal" localSheetId="2">#REF!</definedName>
    <definedName name="Rcanal">#REF!</definedName>
    <definedName name="Ressources" localSheetId="3">#REF!</definedName>
    <definedName name="Return100D">[9]Hydrology!$B$22</definedName>
    <definedName name="Return10D" localSheetId="3">#REF!</definedName>
    <definedName name="Return10D" localSheetId="2">#REF!</definedName>
    <definedName name="Return10D">#REF!</definedName>
    <definedName name="Return20D" localSheetId="3">#REF!</definedName>
    <definedName name="Return20D">#REF!</definedName>
    <definedName name="Return2D" localSheetId="3">#REF!</definedName>
    <definedName name="Return2D">#REF!</definedName>
    <definedName name="Return5D" localSheetId="3">#REF!</definedName>
    <definedName name="Return5D">#REF!</definedName>
    <definedName name="ReverBed" localSheetId="3">#REF!</definedName>
    <definedName name="ReverBed">#REF!</definedName>
    <definedName name="Rflush" localSheetId="3">#REF!</definedName>
    <definedName name="Rflush">#REF!</definedName>
    <definedName name="Rscour" localSheetId="3">#REF!</definedName>
    <definedName name="Rscour">#REF!</definedName>
    <definedName name="s" localSheetId="3">#REF!</definedName>
    <definedName name="s">#REF!</definedName>
    <definedName name="S_flushCanal" localSheetId="3">#REF!</definedName>
    <definedName name="S_flushCanal">#REF!</definedName>
    <definedName name="SConc" localSheetId="3">#REF!</definedName>
    <definedName name="SConc">#REF!</definedName>
    <definedName name="Sediment_load" localSheetId="3">#REF!</definedName>
    <definedName name="Sediment_load">#REF!</definedName>
    <definedName name="sencount" hidden="1">1</definedName>
    <definedName name="Slope" localSheetId="3">#REF!</definedName>
    <definedName name="Slope" localSheetId="2">#REF!</definedName>
    <definedName name="Slope">#REF!</definedName>
    <definedName name="SlopeCanal" localSheetId="3">#REF!</definedName>
    <definedName name="SlopeCanal">#REF!</definedName>
    <definedName name="solver_adj" localSheetId="0" hidden="1">'[10]subs weir(100)'!$G$97</definedName>
    <definedName name="solver_adj" localSheetId="3" hidden="1">'[11]subs weir(100)'!$G$97</definedName>
    <definedName name="solver_adj" localSheetId="2" hidden="1">'[10]subs weir(100)'!$G$97</definedName>
    <definedName name="solver_adj" hidden="1">'[11]subs weir(100)'!$G$97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0" hidden="1">'[10]subs weir(100)'!$G$98</definedName>
    <definedName name="solver_opt" localSheetId="3" hidden="1">'[11]subs weir(100)'!$G$98</definedName>
    <definedName name="solver_opt" localSheetId="2" hidden="1">'[10]subs weir(100)'!$G$98</definedName>
    <definedName name="solver_opt" hidden="1">'[11]subs weir(100)'!$G$98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pt" localSheetId="3">#REF!</definedName>
    <definedName name="Sopt" localSheetId="2">#REF!</definedName>
    <definedName name="Sopt">#REF!</definedName>
    <definedName name="T" localSheetId="3">#REF!</definedName>
    <definedName name="T">#REF!</definedName>
    <definedName name="TopWHeadCanal" localSheetId="3">#REF!</definedName>
    <definedName name="TopWHeadCanal">#REF!</definedName>
    <definedName name="Trash_Surface" localSheetId="3">#REF!</definedName>
    <definedName name="Trash_Surface">#REF!</definedName>
    <definedName name="tt" localSheetId="3">#REF!</definedName>
    <definedName name="tt">#REF!</definedName>
    <definedName name="Tw" localSheetId="3">#REF!</definedName>
    <definedName name="Tw">#REF!</definedName>
    <definedName name="V_orrifice" localSheetId="3">#REF!</definedName>
    <definedName name="V_orrifice">#REF!</definedName>
    <definedName name="Va" localSheetId="3">#REF!</definedName>
    <definedName name="Va">#REF!</definedName>
    <definedName name="Vapproach" localSheetId="3">#REF!</definedName>
    <definedName name="Vapproach">#REF!</definedName>
    <definedName name="Vc_canal" localSheetId="3">#REF!</definedName>
    <definedName name="Vc_canal">#REF!</definedName>
    <definedName name="VheadCanal" localSheetId="3">#REF!</definedName>
    <definedName name="VheadCanal">#REF!</definedName>
    <definedName name="VIntakeCanal" localSheetId="3">#REF!</definedName>
    <definedName name="VIntakeCanal">#REF!</definedName>
    <definedName name="Vlimit" localSheetId="3">#REF!</definedName>
    <definedName name="Vlimit">#REF!</definedName>
    <definedName name="Volume_sediment" localSheetId="3">#REF!</definedName>
    <definedName name="Volume_sediment">#REF!</definedName>
    <definedName name="Vtrash" localSheetId="3">#REF!</definedName>
    <definedName name="Vtrash">#REF!</definedName>
    <definedName name="Wbasin">'[8]Settling Basin'!$C$20</definedName>
    <definedName name="Wcrest" localSheetId="3">#REF!</definedName>
    <definedName name="Wcrest" localSheetId="2">#REF!</definedName>
    <definedName name="Wcrest">#REF!</definedName>
    <definedName name="Weffec" localSheetId="3">#REF!</definedName>
    <definedName name="Weffec">#REF!</definedName>
    <definedName name="Wfall" localSheetId="3">#REF!</definedName>
    <definedName name="Wfall">#REF!</definedName>
    <definedName name="WLc" localSheetId="3">#REF!</definedName>
    <definedName name="WLc">#REF!</definedName>
    <definedName name="WLcanal" localSheetId="3">#REF!</definedName>
    <definedName name="WLcanal">#REF!</definedName>
    <definedName name="WLgt" localSheetId="3">#REF!</definedName>
    <definedName name="WLgt">#REF!</definedName>
    <definedName name="WLHeadCanal" localSheetId="3">#REF!</definedName>
    <definedName name="WLHeadCanal">#REF!</definedName>
    <definedName name="WLriver" localSheetId="3">#REF!</definedName>
    <definedName name="WLriver">#REF!</definedName>
    <definedName name="WLsetling" localSheetId="3">#REF!</definedName>
    <definedName name="WLsetling">#REF!</definedName>
    <definedName name="wrn.5." localSheetId="0" hidden="1">{"Mahesh Maskey - Personal View",#N/A,FALSE,"HeadLossApril (2)";#N/A,#N/A,FALSE,"Hydraulic Gadient"}</definedName>
    <definedName name="wrn.5." localSheetId="3" hidden="1">{"Mahesh Maskey - Personal View",#N/A,FALSE,"HeadLossApril (2)";#N/A,#N/A,FALSE,"Hydraulic Gadient"}</definedName>
    <definedName name="wrn.5." localSheetId="2" hidden="1">{"Mahesh Maskey - Personal View",#N/A,FALSE,"HeadLossApril (2)";#N/A,#N/A,FALSE,"Hydraulic Gadient"}</definedName>
    <definedName name="wrn.5." hidden="1">{"Mahesh Maskey - Personal View",#N/A,FALSE,"HeadLossApril (2)";#N/A,#N/A,FALSE,"Hydraulic Gadient"}</definedName>
    <definedName name="wrn.Print." localSheetId="0" hidden="1">{#N/A,#N/A,TRUE,"Flat Before Crest";#N/A,#N/A,TRUE,"1-4 Before Crest";#N/A,#N/A,TRUE,"Crest";#N/A,#N/A,TRUE,"after crest";#N/A,#N/A,TRUE,"Data"}</definedName>
    <definedName name="wrn.Print." localSheetId="3" hidden="1">{#N/A,#N/A,TRUE,"Flat Before Crest";#N/A,#N/A,TRUE,"1-4 Before Crest";#N/A,#N/A,TRUE,"Crest";#N/A,#N/A,TRUE,"after crest";#N/A,#N/A,TRUE,"Data"}</definedName>
    <definedName name="wrn.Print." localSheetId="2" hidden="1">{#N/A,#N/A,TRUE,"Flat Before Crest";#N/A,#N/A,TRUE,"1-4 Before Crest";#N/A,#N/A,TRUE,"Crest";#N/A,#N/A,TRUE,"after crest";#N/A,#N/A,TRUE,"Data"}</definedName>
    <definedName name="wrn.Print." hidden="1">{#N/A,#N/A,TRUE,"Flat Before Crest";#N/A,#N/A,TRUE,"1-4 Before Crest";#N/A,#N/A,TRUE,"Crest";#N/A,#N/A,TRUE,"after crest";#N/A,#N/A,TRUE,"Data"}</definedName>
    <definedName name="Wspill" localSheetId="3">#REF!</definedName>
    <definedName name="Wspill" localSheetId="2">#REF!</definedName>
    <definedName name="Wspill">#REF!</definedName>
    <definedName name="β" localSheetId="3">'[7]fixing of water way crest '!#REF!</definedName>
    <definedName name="β" localSheetId="2">'[6]fixing of water way crest '!#REF!</definedName>
    <definedName name="β">'[7]fixing of water way crest 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K45" i="1"/>
  <c r="G47" i="1"/>
  <c r="K42" i="1"/>
  <c r="B41" i="1"/>
  <c r="B40" i="1"/>
  <c r="B39" i="1"/>
  <c r="B38" i="1"/>
  <c r="B35" i="1"/>
  <c r="C26" i="1" s="1"/>
  <c r="C27" i="1" s="1"/>
  <c r="B34" i="1"/>
  <c r="B33" i="1"/>
  <c r="B32" i="1"/>
  <c r="B31" i="1"/>
  <c r="B30" i="1"/>
  <c r="B27" i="1"/>
  <c r="H26" i="1"/>
  <c r="H32" i="1" s="1"/>
  <c r="I32" i="1" s="1"/>
  <c r="B26" i="1"/>
  <c r="I26" i="1" l="1"/>
  <c r="H30" i="1"/>
  <c r="I30" i="1" s="1"/>
  <c r="H27" i="1"/>
  <c r="I27" i="1" s="1"/>
  <c r="H31" i="1"/>
  <c r="I31" i="1" s="1"/>
  <c r="D27" i="1"/>
  <c r="E27" i="1" s="1"/>
  <c r="C30" i="1"/>
  <c r="D26" i="1"/>
  <c r="E26" i="1" s="1"/>
  <c r="H41" i="1"/>
  <c r="I41" i="1" s="1"/>
  <c r="H40" i="1"/>
  <c r="I40" i="1" s="1"/>
  <c r="H39" i="1"/>
  <c r="I39" i="1" s="1"/>
  <c r="H35" i="1"/>
  <c r="I35" i="1" s="1"/>
  <c r="H38" i="1"/>
  <c r="I38" i="1" s="1"/>
  <c r="H34" i="1"/>
  <c r="I34" i="1" s="1"/>
  <c r="H33" i="1"/>
  <c r="I33" i="1" s="1"/>
  <c r="D30" i="1" l="1"/>
  <c r="E30" i="1" s="1"/>
  <c r="C31" i="1"/>
  <c r="C32" i="1" l="1"/>
  <c r="D31" i="1"/>
  <c r="E31" i="1" s="1"/>
  <c r="C33" i="1" l="1"/>
  <c r="D32" i="1"/>
  <c r="E32" i="1" s="1"/>
  <c r="C34" i="1" l="1"/>
  <c r="D33" i="1"/>
  <c r="E33" i="1" s="1"/>
  <c r="C35" i="1" l="1"/>
  <c r="D34" i="1"/>
  <c r="E34" i="1" s="1"/>
  <c r="C38" i="1" l="1"/>
  <c r="D35" i="1"/>
  <c r="E35" i="1" s="1"/>
  <c r="C39" i="1" l="1"/>
  <c r="D38" i="1"/>
  <c r="E38" i="1" s="1"/>
  <c r="D39" i="1" l="1"/>
  <c r="E39" i="1" s="1"/>
  <c r="C40" i="1"/>
  <c r="C41" i="1" l="1"/>
  <c r="D41" i="1" s="1"/>
  <c r="E41" i="1" s="1"/>
  <c r="D40" i="1"/>
  <c r="E40" i="1" s="1"/>
  <c r="E11" i="5" l="1"/>
  <c r="F26" i="1" s="1"/>
  <c r="G26" i="1" s="1"/>
  <c r="J26" i="1" s="1"/>
  <c r="L26" i="1" s="1"/>
  <c r="M26" i="1" s="1"/>
  <c r="N26" i="1" s="1"/>
  <c r="F11" i="5"/>
  <c r="F27" i="1" s="1"/>
  <c r="G27" i="1" s="1"/>
  <c r="J27" i="1" s="1"/>
  <c r="L27" i="1" s="1"/>
  <c r="G11" i="5"/>
  <c r="F30" i="1" s="1"/>
  <c r="G30" i="1" s="1"/>
  <c r="J30" i="1" s="1"/>
  <c r="L30" i="1" s="1"/>
  <c r="M30" i="1" s="1"/>
  <c r="O30" i="1" s="1"/>
  <c r="H11" i="5"/>
  <c r="F31" i="1" s="1"/>
  <c r="G31" i="1" s="1"/>
  <c r="J31" i="1" s="1"/>
  <c r="L31" i="1" s="1"/>
  <c r="M31" i="1" s="1"/>
  <c r="O31" i="1" s="1"/>
  <c r="I11" i="5"/>
  <c r="F32" i="1" s="1"/>
  <c r="G32" i="1" s="1"/>
  <c r="J32" i="1" s="1"/>
  <c r="L32" i="1" s="1"/>
  <c r="M32" i="1" s="1"/>
  <c r="O32" i="1" s="1"/>
  <c r="J11" i="5"/>
  <c r="F33" i="1" s="1"/>
  <c r="G33" i="1" s="1"/>
  <c r="J33" i="1" s="1"/>
  <c r="L33" i="1" s="1"/>
  <c r="M33" i="1" s="1"/>
  <c r="O33" i="1" s="1"/>
  <c r="K11" i="5"/>
  <c r="F34" i="1" s="1"/>
  <c r="G34" i="1" s="1"/>
  <c r="J34" i="1" s="1"/>
  <c r="L34" i="1" s="1"/>
  <c r="M34" i="1" s="1"/>
  <c r="O34" i="1" s="1"/>
  <c r="L11" i="5"/>
  <c r="F35" i="1" s="1"/>
  <c r="G35" i="1" s="1"/>
  <c r="J35" i="1" s="1"/>
  <c r="L35" i="1" s="1"/>
  <c r="M11" i="5"/>
  <c r="F38" i="1" s="1"/>
  <c r="G38" i="1" s="1"/>
  <c r="J38" i="1" s="1"/>
  <c r="L38" i="1" s="1"/>
  <c r="M38" i="1" s="1"/>
  <c r="N38" i="1" s="1"/>
  <c r="N11" i="5"/>
  <c r="F39" i="1" s="1"/>
  <c r="G39" i="1" s="1"/>
  <c r="J39" i="1" s="1"/>
  <c r="L39" i="1" s="1"/>
  <c r="M39" i="1" s="1"/>
  <c r="N39" i="1" s="1"/>
  <c r="O11" i="5"/>
  <c r="F40" i="1" s="1"/>
  <c r="G40" i="1" s="1"/>
  <c r="J40" i="1" s="1"/>
  <c r="L40" i="1" s="1"/>
  <c r="M40" i="1" s="1"/>
  <c r="N40" i="1" s="1"/>
  <c r="P11" i="5"/>
  <c r="F41" i="1" s="1"/>
  <c r="G41" i="1" s="1"/>
  <c r="J41" i="1" s="1"/>
  <c r="L41" i="1" s="1"/>
  <c r="M41" i="1" s="1"/>
  <c r="N41" i="1" s="1"/>
  <c r="D11" i="5"/>
  <c r="M35" i="1" l="1"/>
  <c r="O36" i="1" s="1"/>
  <c r="M27" i="1"/>
  <c r="O29" i="1" s="1"/>
  <c r="N28" i="1"/>
  <c r="D11" i="4"/>
  <c r="D10" i="4"/>
  <c r="B25" i="4"/>
  <c r="B24" i="4"/>
  <c r="B23" i="4"/>
  <c r="B22" i="4"/>
  <c r="B21" i="4"/>
  <c r="B20" i="4"/>
  <c r="B19" i="4"/>
  <c r="B18" i="4"/>
  <c r="B17" i="4"/>
  <c r="B16" i="4"/>
  <c r="B15" i="4"/>
  <c r="B14" i="4"/>
  <c r="O42" i="1" l="1"/>
  <c r="O43" i="1" s="1"/>
  <c r="E46" i="1" s="1"/>
  <c r="N37" i="1"/>
  <c r="N42" i="1" s="1"/>
  <c r="N43" i="1" s="1"/>
  <c r="E45" i="1" s="1"/>
  <c r="J46" i="1"/>
  <c r="D12" i="4"/>
  <c r="E9" i="2"/>
  <c r="E12" i="2"/>
  <c r="E13" i="2"/>
  <c r="E14" i="2"/>
  <c r="E15" i="2"/>
  <c r="E16" i="2"/>
  <c r="E17" i="2"/>
  <c r="E20" i="2"/>
  <c r="E21" i="2"/>
  <c r="E22" i="2"/>
  <c r="E23" i="2"/>
  <c r="E8" i="2"/>
  <c r="A17" i="2"/>
  <c r="A9" i="2"/>
  <c r="A12" i="2"/>
  <c r="A13" i="2"/>
  <c r="A14" i="2"/>
  <c r="A15" i="2"/>
  <c r="A16" i="2"/>
  <c r="A20" i="2"/>
  <c r="A21" i="2"/>
  <c r="A22" i="2"/>
  <c r="A23" i="2"/>
  <c r="A8" i="2"/>
  <c r="B4" i="2"/>
  <c r="E47" i="1" l="1"/>
  <c r="J45" i="1"/>
  <c r="J47" i="1" s="1"/>
  <c r="C15" i="4"/>
  <c r="C14" i="4"/>
  <c r="C16" i="4"/>
  <c r="B12" i="2"/>
  <c r="C12" i="2" s="1"/>
  <c r="G12" i="2" s="1"/>
  <c r="B8" i="2"/>
  <c r="C8" i="2" s="1"/>
  <c r="G8" i="2" s="1"/>
  <c r="K47" i="1" l="1"/>
  <c r="F45" i="1"/>
  <c r="F47" i="1"/>
  <c r="F46" i="1"/>
  <c r="K46" i="1"/>
  <c r="B9" i="2"/>
  <c r="C9" i="2" s="1"/>
  <c r="G9" i="2" s="1"/>
  <c r="C17" i="4"/>
  <c r="E16" i="4"/>
  <c r="D16" i="4"/>
  <c r="F16" i="4"/>
  <c r="E15" i="4"/>
  <c r="D15" i="4"/>
  <c r="F15" i="4"/>
  <c r="F14" i="4"/>
  <c r="D14" i="4"/>
  <c r="E14" i="4"/>
  <c r="B13" i="2"/>
  <c r="C13" i="2" s="1"/>
  <c r="G13" i="2" s="1"/>
  <c r="C18" i="4" l="1"/>
  <c r="F17" i="4"/>
  <c r="D17" i="4"/>
  <c r="E17" i="4"/>
  <c r="B14" i="2"/>
  <c r="C14" i="2" s="1"/>
  <c r="G14" i="2" s="1"/>
  <c r="C19" i="4" l="1"/>
  <c r="D18" i="4"/>
  <c r="E18" i="4"/>
  <c r="F18" i="4"/>
  <c r="B15" i="2"/>
  <c r="C15" i="2" s="1"/>
  <c r="G15" i="2" s="1"/>
  <c r="C20" i="4" l="1"/>
  <c r="F19" i="4"/>
  <c r="E19" i="4"/>
  <c r="D19" i="4"/>
  <c r="B16" i="2"/>
  <c r="C16" i="2" s="1"/>
  <c r="G16" i="2" s="1"/>
  <c r="F20" i="4" l="1"/>
  <c r="D20" i="4"/>
  <c r="E20" i="4"/>
  <c r="C21" i="4"/>
  <c r="B17" i="2"/>
  <c r="C17" i="2" s="1"/>
  <c r="G17" i="2" s="1"/>
  <c r="C22" i="4" l="1"/>
  <c r="E21" i="4"/>
  <c r="D21" i="4"/>
  <c r="F21" i="4"/>
  <c r="B20" i="2"/>
  <c r="C20" i="2" s="1"/>
  <c r="G20" i="2" s="1"/>
  <c r="F22" i="4" l="1"/>
  <c r="E22" i="4"/>
  <c r="D22" i="4"/>
  <c r="C23" i="4"/>
  <c r="B21" i="2"/>
  <c r="C21" i="2" s="1"/>
  <c r="G21" i="2" s="1"/>
  <c r="C24" i="4" l="1"/>
  <c r="C25" i="4"/>
  <c r="F23" i="4"/>
  <c r="D23" i="4"/>
  <c r="E23" i="4"/>
  <c r="B22" i="2"/>
  <c r="C22" i="2" s="1"/>
  <c r="G22" i="2" s="1"/>
  <c r="B23" i="2"/>
  <c r="C23" i="2" s="1"/>
  <c r="G23" i="2" s="1"/>
  <c r="E25" i="4" l="1"/>
  <c r="F25" i="4"/>
  <c r="D25" i="4"/>
  <c r="E24" i="4"/>
  <c r="F24" i="4"/>
  <c r="D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Jeevika Khadka</author>
  </authors>
  <commentList>
    <comment ref="G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Jeevika Khadka:</t>
        </r>
        <r>
          <rPr>
            <sz val="9"/>
            <color indexed="81"/>
            <rFont val="Tahoma"/>
            <family val="2"/>
          </rPr>
          <t xml:space="preserve">
efficiency at rated discharge is 91</t>
        </r>
      </text>
    </comment>
  </commentList>
</comments>
</file>

<file path=xl/sharedStrings.xml><?xml version="1.0" encoding="utf-8"?>
<sst xmlns="http://schemas.openxmlformats.org/spreadsheetml/2006/main" count="192" uniqueCount="111">
  <si>
    <t>Assumptions and input parameters</t>
  </si>
  <si>
    <t>Normal water level (Crest level at weir)</t>
  </si>
  <si>
    <t>masl</t>
  </si>
  <si>
    <t>Gross head</t>
  </si>
  <si>
    <t>m</t>
  </si>
  <si>
    <t xml:space="preserve">Turbine rated efficiency </t>
  </si>
  <si>
    <t>Turbine efficiency for energy generation</t>
  </si>
  <si>
    <t>Generator efficiency</t>
  </si>
  <si>
    <t>Transformer efficiency</t>
  </si>
  <si>
    <t>Overall efficiency</t>
  </si>
  <si>
    <t>Rated net head, m</t>
  </si>
  <si>
    <t>Number of Units</t>
  </si>
  <si>
    <r>
      <t>Design flow, m</t>
    </r>
    <r>
      <rPr>
        <vertAlign val="superscript"/>
        <sz val="10"/>
        <rFont val="Gill Sans MT"/>
        <family val="2"/>
      </rPr>
      <t>3</t>
    </r>
    <r>
      <rPr>
        <sz val="10"/>
        <rFont val="Gill Sans MT"/>
        <family val="2"/>
      </rPr>
      <t>/s</t>
    </r>
  </si>
  <si>
    <r>
      <t>m</t>
    </r>
    <r>
      <rPr>
        <vertAlign val="superscript"/>
        <sz val="10"/>
        <rFont val="Gill Sans MT"/>
        <family val="2"/>
      </rPr>
      <t>3</t>
    </r>
    <r>
      <rPr>
        <sz val="10"/>
        <rFont val="Gill Sans MT"/>
        <family val="2"/>
      </rPr>
      <t>/s</t>
    </r>
  </si>
  <si>
    <t>Design flow, m3/s (Generation License)</t>
  </si>
  <si>
    <r>
      <t>Per Unit Design flow, m</t>
    </r>
    <r>
      <rPr>
        <vertAlign val="superscript"/>
        <sz val="10"/>
        <rFont val="Gill Sans MT"/>
        <family val="2"/>
      </rPr>
      <t>3</t>
    </r>
    <r>
      <rPr>
        <sz val="10"/>
        <rFont val="Gill Sans MT"/>
        <family val="2"/>
      </rPr>
      <t>/s</t>
    </r>
  </si>
  <si>
    <t>Dry season outage + Self consumption</t>
  </si>
  <si>
    <t>Wet season outage + Self consumption</t>
  </si>
  <si>
    <t>Installed Capacity (PPA)</t>
  </si>
  <si>
    <t>MW</t>
  </si>
  <si>
    <t>Installed Capacity</t>
  </si>
  <si>
    <t>Month</t>
  </si>
  <si>
    <t>Mean monthly Flow</t>
  </si>
  <si>
    <t>D/S release</t>
  </si>
  <si>
    <t xml:space="preserve">Available flow </t>
  </si>
  <si>
    <t>Diverted flow for power generation</t>
  </si>
  <si>
    <t xml:space="preserve">Total Head loss </t>
  </si>
  <si>
    <t>Net Head</t>
  </si>
  <si>
    <t>Efficiency</t>
  </si>
  <si>
    <t>Average monthly power</t>
  </si>
  <si>
    <t>Operating days</t>
  </si>
  <si>
    <t>Monthly energy generation</t>
  </si>
  <si>
    <t>Outage &amp; self consumption</t>
  </si>
  <si>
    <t>Generated Net energy for revenue</t>
  </si>
  <si>
    <t>Saleable Net energy for revenue</t>
  </si>
  <si>
    <t xml:space="preserve">Generated Net Energy </t>
  </si>
  <si>
    <t>PPA Energy</t>
  </si>
  <si>
    <t>% difference between PPA energy and Saleable energy</t>
  </si>
  <si>
    <t>Turbine efficiency</t>
  </si>
  <si>
    <t>Dry season energy</t>
  </si>
  <si>
    <t>Wet season energy</t>
  </si>
  <si>
    <r>
      <t>(m</t>
    </r>
    <r>
      <rPr>
        <b/>
        <vertAlign val="superscript"/>
        <sz val="10"/>
        <color indexed="8"/>
        <rFont val="Gill Sans MT"/>
        <family val="2"/>
      </rPr>
      <t>3</t>
    </r>
    <r>
      <rPr>
        <b/>
        <sz val="10"/>
        <color indexed="8"/>
        <rFont val="Gill Sans MT"/>
        <family val="2"/>
      </rPr>
      <t>/s)</t>
    </r>
  </si>
  <si>
    <t>(m)</t>
  </si>
  <si>
    <t>%</t>
  </si>
  <si>
    <t>(kW)</t>
  </si>
  <si>
    <t>(KWh)</t>
  </si>
  <si>
    <t>(GWh)</t>
  </si>
  <si>
    <t>Baisakh</t>
  </si>
  <si>
    <t>Jestha</t>
  </si>
  <si>
    <t>Jestha 1-15</t>
  </si>
  <si>
    <t>Jestha 16 onwards</t>
  </si>
  <si>
    <t>Asar</t>
  </si>
  <si>
    <t>Shrawan</t>
  </si>
  <si>
    <t>Bhadra</t>
  </si>
  <si>
    <t>Ashoj</t>
  </si>
  <si>
    <t>Kartik</t>
  </si>
  <si>
    <t>Mangsir</t>
  </si>
  <si>
    <t>Mangsir 1-15</t>
  </si>
  <si>
    <t>Mangsir 16 onwards</t>
  </si>
  <si>
    <t>Poush</t>
  </si>
  <si>
    <t>Magh</t>
  </si>
  <si>
    <t>Falgun</t>
  </si>
  <si>
    <t>Chaitra</t>
  </si>
  <si>
    <t>Total</t>
  </si>
  <si>
    <t>Annual energy generation, GWH</t>
  </si>
  <si>
    <t>Energy Generated</t>
  </si>
  <si>
    <t>Payable Energy</t>
  </si>
  <si>
    <t>Dry Season Energy, GWh</t>
  </si>
  <si>
    <t>Wet season Energy, GWh</t>
  </si>
  <si>
    <t>Total Annual Energy, GWh</t>
  </si>
  <si>
    <t>PPA flow</t>
  </si>
  <si>
    <t>Mean Monthly Flow</t>
  </si>
  <si>
    <t>Myagdi Khola HPP</t>
  </si>
  <si>
    <t>Headloss Calculation</t>
  </si>
  <si>
    <t>Total head loss</t>
  </si>
  <si>
    <t>Design Q</t>
  </si>
  <si>
    <t>Coefficient</t>
  </si>
  <si>
    <t>Power generating flow</t>
  </si>
  <si>
    <t>System head loss</t>
  </si>
  <si>
    <t>SN</t>
  </si>
  <si>
    <t>Unit</t>
  </si>
  <si>
    <t>Ashad</t>
  </si>
  <si>
    <t>Srawan</t>
  </si>
  <si>
    <t>Asoj</t>
  </si>
  <si>
    <t>TOTAL HEADLOSS IN HEADWORKS</t>
  </si>
  <si>
    <t>Design discharge</t>
  </si>
  <si>
    <t>m3/s</t>
  </si>
  <si>
    <t>Headloss</t>
  </si>
  <si>
    <t>TOTAL HEADLOSS IN HRT</t>
  </si>
  <si>
    <t>TOTAL HEADLOSS IN PENSTOCK</t>
  </si>
  <si>
    <t>OTHER MINOR LOSSES</t>
  </si>
  <si>
    <t>Adopted HL</t>
  </si>
  <si>
    <t>Downsrtream release</t>
  </si>
  <si>
    <t>Turbine CL Level</t>
  </si>
  <si>
    <t>% of Q</t>
  </si>
  <si>
    <t>Efficiency from available energy curve</t>
  </si>
  <si>
    <t>Overrating</t>
  </si>
  <si>
    <t>No of unit</t>
  </si>
  <si>
    <t>Per unit discharge</t>
  </si>
  <si>
    <t>Power Generating Discharge, m³/s</t>
  </si>
  <si>
    <t>Unit 1</t>
  </si>
  <si>
    <t>Unit 2</t>
  </si>
  <si>
    <t>Remarks</t>
  </si>
  <si>
    <t>Unit 3</t>
  </si>
  <si>
    <t>Power and Energy Calculation with PPA monthly flow</t>
  </si>
  <si>
    <t>KW</t>
  </si>
  <si>
    <t>Diff</t>
  </si>
  <si>
    <t>Component</t>
  </si>
  <si>
    <t>TOTAL HEADLOSS IN HEADRACE PIPE</t>
  </si>
  <si>
    <t>TOTAL HEADLOSS AFTER SURGE SHAFT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</si>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</sst>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0000"/>
    <numFmt numFmtId="165" formatCode="0.0"/>
    <numFmt numFmtId="166" formatCode="0.0%"/>
    <numFmt numFmtId="167" formatCode="0.000"/>
    <numFmt numFmtId="168" formatCode="0.00_)"/>
    <numFmt numFmtId="169" formatCode="0.000000"/>
    <numFmt numFmtId="170" formatCode="0.0000"/>
    <numFmt numFmtId="171" formatCode="_-* #,##0_-;\-* #,##0_-;_-* &quot;-&quot;??_-;_-@_-"/>
    <numFmt numFmtId="172" formatCode="0.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sz val="10"/>
      <name val="Courier New"/>
      <family val="3"/>
    </font>
    <font>
      <sz val="10"/>
      <color indexed="53"/>
      <name val="Gill Sans MT"/>
      <family val="2"/>
    </font>
    <font>
      <vertAlign val="superscript"/>
      <sz val="10"/>
      <name val="Gill Sans MT"/>
      <family val="2"/>
    </font>
    <font>
      <sz val="10"/>
      <color rgb="FF000000"/>
      <name val="Gill Sans MT"/>
      <family val="2"/>
    </font>
    <font>
      <b/>
      <vertAlign val="superscript"/>
      <sz val="10"/>
      <color indexed="8"/>
      <name val="Gill Sans MT"/>
      <family val="2"/>
    </font>
    <font>
      <b/>
      <sz val="14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name val="Arial"/>
      <family val="2"/>
    </font>
    <font>
      <sz val="10"/>
      <color rgb="FFFF0000"/>
      <name val="Gill Sans MT"/>
      <family val="2"/>
    </font>
    <font>
      <b/>
      <sz val="11"/>
      <color rgb="FFFF0000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140">
    <xf numFmtId="0" fontId="0" fillId="0" borderId="0" xfId="0"/>
    <xf numFmtId="0" fontId="3" fillId="0" borderId="0" xfId="2" applyFont="1"/>
    <xf numFmtId="0" fontId="4" fillId="0" borderId="0" xfId="2" applyFont="1"/>
    <xf numFmtId="0" fontId="6" fillId="0" borderId="0" xfId="2" applyFont="1"/>
    <xf numFmtId="164" fontId="3" fillId="0" borderId="0" xfId="3" applyNumberFormat="1" applyFont="1"/>
    <xf numFmtId="0" fontId="3" fillId="2" borderId="0" xfId="2" applyFont="1" applyFill="1"/>
    <xf numFmtId="0" fontId="4" fillId="2" borderId="0" xfId="2" applyFont="1" applyFill="1"/>
    <xf numFmtId="165" fontId="4" fillId="0" borderId="0" xfId="2" applyNumberFormat="1" applyFont="1"/>
    <xf numFmtId="2" fontId="4" fillId="0" borderId="0" xfId="2" applyNumberFormat="1" applyFont="1"/>
    <xf numFmtId="2" fontId="8" fillId="0" borderId="0" xfId="2" applyNumberFormat="1" applyFont="1" applyAlignment="1">
      <alignment vertical="center"/>
    </xf>
    <xf numFmtId="2" fontId="6" fillId="0" borderId="0" xfId="2" applyNumberFormat="1" applyFont="1"/>
    <xf numFmtId="0" fontId="6" fillId="3" borderId="0" xfId="2" applyFont="1" applyFill="1"/>
    <xf numFmtId="0" fontId="6" fillId="0" borderId="0" xfId="2" applyFont="1" applyAlignment="1">
      <alignment vertical="center"/>
    </xf>
    <xf numFmtId="0" fontId="10" fillId="0" borderId="0" xfId="2" applyFont="1" applyAlignment="1">
      <alignment horizontal="center" readingOrder="1"/>
    </xf>
    <xf numFmtId="2" fontId="3" fillId="0" borderId="0" xfId="2" applyNumberFormat="1" applyFont="1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left"/>
    </xf>
    <xf numFmtId="167" fontId="4" fillId="0" borderId="1" xfId="2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169" fontId="6" fillId="0" borderId="1" xfId="2" applyNumberFormat="1" applyFont="1" applyBorder="1" applyAlignment="1">
      <alignment horizontal="right" vertical="center"/>
    </xf>
    <xf numFmtId="10" fontId="6" fillId="0" borderId="1" xfId="1" applyNumberFormat="1" applyFont="1" applyFill="1" applyBorder="1" applyAlignment="1">
      <alignment horizontal="right" vertical="center"/>
    </xf>
    <xf numFmtId="9" fontId="6" fillId="0" borderId="1" xfId="1" applyFont="1" applyFill="1" applyBorder="1" applyAlignment="1">
      <alignment horizontal="right" vertical="center"/>
    </xf>
    <xf numFmtId="167" fontId="6" fillId="0" borderId="1" xfId="2" applyNumberFormat="1" applyFont="1" applyBorder="1" applyAlignment="1">
      <alignment horizontal="right" vertical="center"/>
    </xf>
    <xf numFmtId="10" fontId="6" fillId="3" borderId="1" xfId="1" applyNumberFormat="1" applyFont="1" applyFill="1" applyBorder="1" applyAlignment="1">
      <alignment horizontal="right" vertical="center"/>
    </xf>
    <xf numFmtId="0" fontId="5" fillId="0" borderId="1" xfId="2" applyFont="1" applyBorder="1" applyAlignment="1">
      <alignment vertical="center"/>
    </xf>
    <xf numFmtId="2" fontId="5" fillId="0" borderId="1" xfId="6" applyNumberFormat="1" applyFont="1" applyFill="1" applyBorder="1" applyAlignment="1">
      <alignment horizontal="right" vertical="center"/>
    </xf>
    <xf numFmtId="0" fontId="5" fillId="0" borderId="5" xfId="2" applyFont="1" applyBorder="1" applyAlignment="1">
      <alignment vertical="center"/>
    </xf>
    <xf numFmtId="43" fontId="5" fillId="0" borderId="5" xfId="2" applyNumberFormat="1" applyFont="1" applyBorder="1" applyAlignment="1">
      <alignment vertical="center"/>
    </xf>
    <xf numFmtId="43" fontId="5" fillId="0" borderId="1" xfId="2" applyNumberFormat="1" applyFont="1" applyBorder="1" applyAlignment="1">
      <alignment vertical="center"/>
    </xf>
    <xf numFmtId="43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10" fontId="5" fillId="0" borderId="1" xfId="4" quotePrefix="1" applyNumberFormat="1" applyFont="1" applyBorder="1" applyAlignment="1">
      <alignment horizontal="center" vertical="center"/>
    </xf>
    <xf numFmtId="2" fontId="6" fillId="0" borderId="0" xfId="2" applyNumberFormat="1" applyFont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43" fontId="6" fillId="0" borderId="0" xfId="2" applyNumberFormat="1" applyFont="1"/>
    <xf numFmtId="0" fontId="12" fillId="0" borderId="0" xfId="2" applyFont="1"/>
    <xf numFmtId="2" fontId="6" fillId="0" borderId="1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10" fontId="4" fillId="0" borderId="1" xfId="4" applyNumberFormat="1" applyFont="1" applyFill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71" fontId="6" fillId="0" borderId="1" xfId="5" applyNumberFormat="1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5" fillId="0" borderId="1" xfId="6" applyNumberFormat="1" applyFont="1" applyFill="1" applyBorder="1" applyAlignment="1">
      <alignment horizontal="center" vertical="center"/>
    </xf>
    <xf numFmtId="2" fontId="5" fillId="0" borderId="1" xfId="6" applyNumberFormat="1" applyFont="1" applyFill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right"/>
    </xf>
    <xf numFmtId="43" fontId="5" fillId="0" borderId="1" xfId="6" quotePrefix="1" applyFont="1" applyBorder="1" applyAlignment="1">
      <alignment horizontal="left" vertical="center"/>
    </xf>
    <xf numFmtId="43" fontId="5" fillId="0" borderId="1" xfId="6" applyFont="1" applyBorder="1"/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6" fillId="0" borderId="1" xfId="2" applyFont="1" applyBorder="1" applyAlignment="1">
      <alignment horizontal="right"/>
    </xf>
    <xf numFmtId="2" fontId="5" fillId="0" borderId="1" xfId="2" applyNumberFormat="1" applyFont="1" applyBorder="1" applyAlignment="1">
      <alignment horizontal="center"/>
    </xf>
    <xf numFmtId="166" fontId="13" fillId="0" borderId="0" xfId="4" applyNumberFormat="1" applyFont="1" applyFill="1" applyAlignment="1">
      <alignment horizontal="center"/>
    </xf>
    <xf numFmtId="2" fontId="13" fillId="0" borderId="0" xfId="4" applyNumberFormat="1" applyFont="1" applyFill="1" applyAlignment="1">
      <alignment horizontal="center"/>
    </xf>
    <xf numFmtId="10" fontId="13" fillId="0" borderId="0" xfId="4" applyNumberFormat="1" applyFont="1" applyFill="1" applyAlignment="1">
      <alignment horizontal="center"/>
    </xf>
    <xf numFmtId="2" fontId="13" fillId="0" borderId="0" xfId="2" applyNumberFormat="1" applyFont="1" applyAlignment="1">
      <alignment horizontal="center"/>
    </xf>
    <xf numFmtId="167" fontId="13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3" fillId="0" borderId="0" xfId="7" applyFont="1"/>
    <xf numFmtId="0" fontId="4" fillId="0" borderId="0" xfId="7" applyFont="1"/>
    <xf numFmtId="2" fontId="16" fillId="0" borderId="0" xfId="2" applyNumberFormat="1" applyFont="1"/>
    <xf numFmtId="172" fontId="4" fillId="0" borderId="0" xfId="2" applyNumberFormat="1" applyFont="1"/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 wrapText="1"/>
    </xf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2" fontId="4" fillId="0" borderId="1" xfId="7" applyNumberFormat="1" applyFont="1" applyBorder="1" applyAlignment="1">
      <alignment horizontal="center" vertical="center"/>
    </xf>
    <xf numFmtId="2" fontId="4" fillId="0" borderId="0" xfId="7" applyNumberFormat="1" applyFont="1"/>
    <xf numFmtId="0" fontId="4" fillId="0" borderId="1" xfId="2" applyFont="1" applyBorder="1"/>
    <xf numFmtId="0" fontId="4" fillId="0" borderId="1" xfId="2" applyFont="1" applyBorder="1" applyAlignment="1">
      <alignment wrapText="1"/>
    </xf>
    <xf numFmtId="0" fontId="4" fillId="0" borderId="0" xfId="2" applyFont="1" applyAlignment="1">
      <alignment horizontal="center"/>
    </xf>
    <xf numFmtId="0" fontId="17" fillId="0" borderId="1" xfId="2" applyFont="1" applyBorder="1" applyAlignment="1">
      <alignment horizontal="center"/>
    </xf>
    <xf numFmtId="10" fontId="16" fillId="4" borderId="1" xfId="4" applyNumberFormat="1" applyFont="1" applyFill="1" applyBorder="1"/>
    <xf numFmtId="10" fontId="4" fillId="0" borderId="0" xfId="4" applyNumberFormat="1" applyFont="1"/>
    <xf numFmtId="0" fontId="17" fillId="0" borderId="0" xfId="2" applyFont="1" applyAlignment="1">
      <alignment horizontal="center"/>
    </xf>
    <xf numFmtId="10" fontId="16" fillId="0" borderId="0" xfId="4" applyNumberFormat="1" applyFont="1" applyFill="1" applyBorder="1"/>
    <xf numFmtId="0" fontId="20" fillId="0" borderId="1" xfId="2" applyFont="1" applyBorder="1" applyAlignment="1">
      <alignment horizontal="center"/>
    </xf>
    <xf numFmtId="10" fontId="4" fillId="5" borderId="1" xfId="4" applyNumberFormat="1" applyFont="1" applyFill="1" applyBorder="1"/>
    <xf numFmtId="0" fontId="20" fillId="0" borderId="0" xfId="2" applyFont="1" applyAlignment="1">
      <alignment horizontal="center"/>
    </xf>
    <xf numFmtId="10" fontId="4" fillId="0" borderId="0" xfId="4" applyNumberFormat="1" applyFont="1" applyFill="1" applyBorder="1"/>
    <xf numFmtId="10" fontId="4" fillId="0" borderId="0" xfId="2" applyNumberFormat="1" applyFont="1"/>
    <xf numFmtId="0" fontId="20" fillId="0" borderId="1" xfId="2" applyFont="1" applyBorder="1" applyAlignment="1">
      <alignment horizontal="center" wrapText="1"/>
    </xf>
    <xf numFmtId="0" fontId="20" fillId="0" borderId="0" xfId="2" applyFont="1" applyAlignment="1">
      <alignment horizontal="center" wrapText="1"/>
    </xf>
    <xf numFmtId="2" fontId="16" fillId="4" borderId="0" xfId="2" applyNumberFormat="1" applyFont="1" applyFill="1"/>
    <xf numFmtId="0" fontId="4" fillId="0" borderId="1" xfId="2" applyFont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/>
    <xf numFmtId="0" fontId="4" fillId="0" borderId="5" xfId="2" applyFont="1" applyBorder="1" applyAlignment="1">
      <alignment vertical="center"/>
    </xf>
    <xf numFmtId="9" fontId="4" fillId="0" borderId="1" xfId="4" applyFont="1" applyBorder="1" applyAlignment="1">
      <alignment horizontal="center"/>
    </xf>
    <xf numFmtId="166" fontId="4" fillId="0" borderId="1" xfId="4" applyNumberFormat="1" applyFont="1" applyBorder="1" applyAlignment="1">
      <alignment horizontal="center"/>
    </xf>
    <xf numFmtId="9" fontId="4" fillId="0" borderId="0" xfId="4" applyFont="1"/>
    <xf numFmtId="0" fontId="4" fillId="0" borderId="7" xfId="2" applyFont="1" applyBorder="1" applyAlignment="1">
      <alignment horizontal="center"/>
    </xf>
    <xf numFmtId="43" fontId="5" fillId="0" borderId="0" xfId="6" quotePrefix="1" applyFont="1" applyBorder="1" applyAlignment="1">
      <alignment horizontal="left" vertical="center"/>
    </xf>
    <xf numFmtId="10" fontId="5" fillId="0" borderId="0" xfId="4" quotePrefix="1" applyNumberFormat="1" applyFont="1" applyBorder="1" applyAlignment="1">
      <alignment horizontal="center" vertical="center"/>
    </xf>
    <xf numFmtId="43" fontId="5" fillId="0" borderId="0" xfId="6" applyFont="1" applyBorder="1"/>
    <xf numFmtId="165" fontId="5" fillId="0" borderId="1" xfId="2" applyNumberFormat="1" applyFont="1" applyBorder="1" applyAlignment="1">
      <alignment horizontal="center" vertical="center"/>
    </xf>
    <xf numFmtId="43" fontId="4" fillId="0" borderId="1" xfId="2" applyNumberFormat="1" applyFont="1" applyBorder="1"/>
    <xf numFmtId="166" fontId="4" fillId="0" borderId="0" xfId="1" applyNumberFormat="1" applyFont="1"/>
    <xf numFmtId="10" fontId="4" fillId="0" borderId="0" xfId="1" applyNumberFormat="1" applyFont="1"/>
    <xf numFmtId="0" fontId="20" fillId="0" borderId="0" xfId="0" applyFont="1"/>
    <xf numFmtId="0" fontId="14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167" fontId="13" fillId="0" borderId="1" xfId="0" applyNumberFormat="1" applyFont="1" applyBorder="1" applyAlignment="1">
      <alignment horizontal="right" vertical="center"/>
    </xf>
    <xf numFmtId="167" fontId="4" fillId="0" borderId="1" xfId="2" applyNumberFormat="1" applyFont="1" applyBorder="1"/>
    <xf numFmtId="0" fontId="13" fillId="0" borderId="1" xfId="0" applyFont="1" applyBorder="1" applyAlignment="1">
      <alignment wrapText="1"/>
    </xf>
    <xf numFmtId="0" fontId="21" fillId="0" borderId="0" xfId="0" applyFont="1"/>
    <xf numFmtId="167" fontId="13" fillId="0" borderId="1" xfId="0" applyNumberFormat="1" applyFont="1" applyBorder="1"/>
    <xf numFmtId="167" fontId="14" fillId="0" borderId="1" xfId="0" applyNumberFormat="1" applyFont="1" applyBorder="1"/>
    <xf numFmtId="0" fontId="14" fillId="0" borderId="1" xfId="0" applyFont="1" applyBorder="1"/>
    <xf numFmtId="10" fontId="5" fillId="0" borderId="0" xfId="1" quotePrefix="1" applyNumberFormat="1" applyFont="1" applyBorder="1" applyAlignment="1">
      <alignment horizontal="left" vertical="center"/>
    </xf>
    <xf numFmtId="0" fontId="4" fillId="0" borderId="7" xfId="2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5" fillId="0" borderId="1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0" xfId="2" applyFont="1" applyAlignment="1">
      <alignment vertical="center"/>
    </xf>
  </cellXfs>
  <cellStyles count="8">
    <cellStyle name="Comma 2" xfId="6" xr:uid="{00000000-0005-0000-0000-000000000000}"/>
    <cellStyle name="Comma_Energy Calculation" xfId="5" xr:uid="{00000000-0005-0000-0000-000001000000}"/>
    <cellStyle name="Normal" xfId="0" builtinId="0"/>
    <cellStyle name="Normal 2" xfId="2" xr:uid="{00000000-0005-0000-0000-000003000000}"/>
    <cellStyle name="Normal 3" xfId="7" xr:uid="{00000000-0005-0000-0000-000004000000}"/>
    <cellStyle name="Normal_FULL" xfId="3" xr:uid="{00000000-0005-0000-0000-000005000000}"/>
    <cellStyle name="Percent" xfId="1" builtinId="5"/>
    <cellStyle name="Percent 3" xfId="4" xr:uid="{00000000-0005-0000-0000-000007000000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39780</xdr:rowOff>
    </xdr:from>
    <xdr:ext cx="8169808" cy="6302749"/>
    <xdr:pic>
      <xdr:nvPicPr>
        <xdr:cNvPr id="2" name="Picture 1" descr="untitled.bmp">
          <a:extLst>
            <a:ext uri="{FF2B5EF4-FFF2-40B4-BE49-F238E27FC236}">
              <a16:creationId xmlns:a16="http://schemas.microsoft.com/office/drawing/2014/main" id="{436737E6-6AA5-483B-A108-37419E0F4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14800"/>
          <a:ext cx="8169808" cy="6302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3</xdr:col>
      <xdr:colOff>1154206</xdr:colOff>
      <xdr:row>27</xdr:row>
      <xdr:rowOff>156883</xdr:rowOff>
    </xdr:from>
    <xdr:to>
      <xdr:col>4</xdr:col>
      <xdr:colOff>2241</xdr:colOff>
      <xdr:row>55</xdr:row>
      <xdr:rowOff>106457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9E876-440C-447D-963E-60C5BD0A465A}"/>
            </a:ext>
          </a:extLst>
        </xdr:cNvPr>
        <xdr:cNvCxnSpPr/>
      </xdr:nvCxnSpPr>
      <xdr:spPr>
        <a:xfrm>
          <a:off x="4552726" y="6245263"/>
          <a:ext cx="90095" cy="5923654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168088</xdr:colOff>
      <xdr:row>38</xdr:row>
      <xdr:rowOff>11205</xdr:rowOff>
    </xdr:from>
    <xdr:to>
      <xdr:col>10</xdr:col>
      <xdr:colOff>414618</xdr:colOff>
      <xdr:row>38</xdr:row>
      <xdr:rowOff>179292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BC60DD-F49E-4BC6-8969-3DB21C8B294A}"/>
            </a:ext>
          </a:extLst>
        </xdr:cNvPr>
        <xdr:cNvCxnSpPr/>
      </xdr:nvCxnSpPr>
      <xdr:spPr>
        <a:xfrm flipV="1">
          <a:off x="168088" y="8446545"/>
          <a:ext cx="8712350" cy="16808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383600</xdr:colOff>
      <xdr:row>1</xdr:row>
      <xdr:rowOff>123825</xdr:rowOff>
    </xdr:from>
    <xdr:to>
      <xdr:col>18</xdr:col>
      <xdr:colOff>164728</xdr:colOff>
      <xdr:row>19</xdr:row>
      <xdr:rowOff>143996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9F653-D918-4686-A6D2-9CFBD71DA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26" t="16865" r="37410" b="12669"/>
        <a:stretch/>
      </xdr:blipFill>
      <xdr:spPr>
        <a:xfrm>
          <a:off x="8849420" y="337185"/>
          <a:ext cx="4947488" cy="4188311"/>
        </a:xfrm>
        <a:prstGeom prst="rect">
          <a:avLst/>
        </a:prstGeom>
      </xdr:spPr>
    </xdr:pic>
    <xdr:clientData/>
  </xdr:twoCellAnchor>
  <xdr:twoCellAnchor>
    <xdr:from>
      <xdr:col>19</xdr:col>
      <xdr:colOff>201707</xdr:colOff>
      <xdr:row>43</xdr:row>
      <xdr:rowOff>22413</xdr:rowOff>
    </xdr:from>
    <xdr:to>
      <xdr:col>19</xdr:col>
      <xdr:colOff>224118</xdr:colOff>
      <xdr:row>70</xdr:row>
      <xdr:rowOff>100853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C18D9FB-F897-487F-B8E8-B8BB3C57A195}"/>
            </a:ext>
          </a:extLst>
        </xdr:cNvPr>
        <xdr:cNvCxnSpPr/>
      </xdr:nvCxnSpPr>
      <xdr:spPr>
        <a:xfrm>
          <a:off x="14458727" y="9524553"/>
          <a:ext cx="22411" cy="583916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280146</xdr:colOff>
      <xdr:row>56</xdr:row>
      <xdr:rowOff>89648</xdr:rowOff>
    </xdr:from>
    <xdr:to>
      <xdr:col>26</xdr:col>
      <xdr:colOff>302558</xdr:colOff>
      <xdr:row>56</xdr:row>
      <xdr:rowOff>100853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79444A5-5E8D-4253-BFE3-92FD1384E762}"/>
            </a:ext>
          </a:extLst>
        </xdr:cNvPr>
        <xdr:cNvCxnSpPr/>
      </xdr:nvCxnSpPr>
      <xdr:spPr>
        <a:xfrm flipV="1">
          <a:off x="10620486" y="12365468"/>
          <a:ext cx="8312972" cy="1120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s\OPEN\751340%20Balephi\61Design_HW\final\settling%20basi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HKSHP\Design\Weir%20hydraulics_diwash(final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HKSHP\Design\Weir%20hydraulics_diwash(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evika\Desktop\Palun\Energy_calc_Palun_Nepali_Dec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D\Jobs\OPEN\933034%20DD%20of%20Myagdi%20Khola%20HPP\21%20Hydrology%20and%20Energy\Headloss%20and%20Energ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bs\OPEN\751340%20Balephi\61Design_HW\final\settling%20bas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ork\Khare\mhs\overall%20design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Khare\751030%20Khare.ms\61Hydraulics\OLD\Basic%20Desig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Basic%20Desig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_all\Pravash\from%20kirty\sankhuwa%20as%20khimti%20n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_all\Pravash\from%20kirty\sankhuwa%20as%20khimti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751020%20Lower%20Hongu.np\61Hydraulics\Headwork\Supporting%20xls\Basic%20Design%20L.%20Hong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640%20Khare\61Hydraulics\Basic%20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/>
      <sheetData sheetId="1"/>
      <sheetData sheetId="2"/>
      <sheetData sheetId="3"/>
      <sheetData sheetId="4"/>
      <sheetData sheetId="5">
        <row r="6">
          <cell r="D6">
            <v>3.8</v>
          </cell>
        </row>
        <row r="7">
          <cell r="D7">
            <v>1.026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 to Nepali Calender"/>
      <sheetName val="Summary"/>
      <sheetName val="Monthly flow"/>
      <sheetName val="Head loss_ Q30"/>
      <sheetName val="Total Energy_Q30"/>
      <sheetName val="Head loss_ Q35"/>
      <sheetName val="Total Energy_Q35"/>
      <sheetName val="Head loss_ Q43(old)"/>
      <sheetName val="Total Energy(Old)"/>
      <sheetName val="Head loss_ Q43"/>
      <sheetName val="Total Energy_Q43 "/>
      <sheetName val="Head loss_ Q45"/>
      <sheetName val="Total Energy_Q45"/>
      <sheetName val="Head loss_ Q50"/>
      <sheetName val="Total Energy_Q50"/>
      <sheetName val="Head loss_ Q55"/>
      <sheetName val="Total Energy_Q55"/>
      <sheetName val="Head loss_ Q60"/>
      <sheetName val="Total Energy_Q60"/>
      <sheetName val="TWL"/>
      <sheetName val="efficiency from chart "/>
      <sheetName val="Summary of all layout options"/>
      <sheetName val="Total Energy_Pipecanal"/>
      <sheetName val="NPV(Diffof Pipe&amp;canal)"/>
      <sheetName val="Bend loss"/>
      <sheetName val="Capcity finalization"/>
      <sheetName val="Energy summary"/>
      <sheetName val="Total Energy_with 16.2"/>
      <sheetName val="Incremental cost SB"/>
      <sheetName val="efficiency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B28" t="str">
            <v>Baishakh</v>
          </cell>
        </row>
        <row r="29">
          <cell r="B29" t="str">
            <v>Jestha</v>
          </cell>
        </row>
        <row r="32">
          <cell r="B32" t="str">
            <v>Ashadh</v>
          </cell>
        </row>
        <row r="33">
          <cell r="B33" t="str">
            <v>Shrawan</v>
          </cell>
        </row>
        <row r="34">
          <cell r="B34" t="str">
            <v>Bhadra</v>
          </cell>
        </row>
        <row r="35">
          <cell r="B35" t="str">
            <v>Ashwin</v>
          </cell>
        </row>
        <row r="36">
          <cell r="B36" t="str">
            <v>Kartik</v>
          </cell>
        </row>
        <row r="37">
          <cell r="B37" t="str">
            <v>Mangshir</v>
          </cell>
        </row>
        <row r="40">
          <cell r="B40" t="str">
            <v>Paush</v>
          </cell>
        </row>
        <row r="41">
          <cell r="B41" t="str">
            <v>Magh</v>
          </cell>
        </row>
        <row r="42">
          <cell r="B42" t="str">
            <v>Fagun</v>
          </cell>
        </row>
        <row r="43">
          <cell r="B43" t="str">
            <v>Chaitra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od Summary (2)"/>
      <sheetName val="Salient Features "/>
      <sheetName val="Flood Summary"/>
      <sheetName val="Coffer dam "/>
      <sheetName val="Spillway_Levels "/>
      <sheetName val="Weir "/>
      <sheetName val="Q2 "/>
      <sheetName val="Stilling basin "/>
      <sheetName val="Ds Flow aftr weir"/>
      <sheetName val="Stilling basin floor"/>
      <sheetName val="Undersluice Section "/>
      <sheetName val="Undersluice "/>
      <sheetName val="Trash Passage"/>
      <sheetName val="Intake"/>
      <sheetName val="Sheet2"/>
      <sheetName val="Gravel Trap"/>
      <sheetName val="Approach Culvert "/>
      <sheetName val="Ogee des "/>
      <sheetName val="HL one bay operation"/>
      <sheetName val="Energy  Nep (3)"/>
      <sheetName val="Compare Energy_564"/>
      <sheetName val="Energy_564"/>
      <sheetName val="Energy_636"/>
      <sheetName val="Compare Energy"/>
      <sheetName val="Headloss Estimation"/>
      <sheetName val="Sheet7"/>
      <sheetName val="Bend loss"/>
      <sheetName val="headloss summary"/>
      <sheetName val="Sheet5"/>
      <sheetName val="Bearing check_ central cut-off"/>
      <sheetName val="Settling Basin_Camp_final"/>
      <sheetName val="Settling Basin_vetter_16.2"/>
      <sheetName val="Settling Basin_vetter_20.2"/>
      <sheetName val="Settling Basin Flushing Outage"/>
      <sheetName val="Submergence at outlet of SB"/>
      <sheetName val="Spillway at SB"/>
      <sheetName val="Surge in Settling basin"/>
      <sheetName val="GT Spillway"/>
      <sheetName val="Stage Discharge Curve"/>
      <sheetName val="stilling basin length"/>
      <sheetName val="Bellmouth"/>
      <sheetName val="Flood"/>
      <sheetName val="Sheet1"/>
      <sheetName val="Gate Details"/>
      <sheetName val="Sheet3"/>
      <sheetName val="Sheet4"/>
    </sheetNames>
    <sheetDataSet>
      <sheetData sheetId="0"/>
      <sheetData sheetId="1"/>
      <sheetData sheetId="2">
        <row r="1">
          <cell r="B1" t="str">
            <v>Lower Erkhuwa Hydropower Project (14.15 MW)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9">
          <cell r="G29">
            <v>494</v>
          </cell>
        </row>
      </sheetData>
      <sheetData sheetId="14"/>
      <sheetData sheetId="15"/>
      <sheetData sheetId="16">
        <row r="44">
          <cell r="G44">
            <v>0.32870833333333327</v>
          </cell>
        </row>
      </sheetData>
      <sheetData sheetId="17"/>
      <sheetData sheetId="18">
        <row r="84">
          <cell r="M84">
            <v>495.21436432867444</v>
          </cell>
        </row>
      </sheetData>
      <sheetData sheetId="19"/>
      <sheetData sheetId="20"/>
      <sheetData sheetId="21"/>
      <sheetData sheetId="22">
        <row r="26">
          <cell r="E26">
            <v>5.6539999999999999</v>
          </cell>
          <cell r="F26">
            <v>4.8604889697070206</v>
          </cell>
        </row>
        <row r="27">
          <cell r="F27">
            <v>19.835700339079036</v>
          </cell>
        </row>
        <row r="30">
          <cell r="F30">
            <v>21.82061939073396</v>
          </cell>
        </row>
        <row r="31">
          <cell r="F31">
            <v>21.82061939073396</v>
          </cell>
        </row>
        <row r="32">
          <cell r="F32">
            <v>21.82061939073396</v>
          </cell>
        </row>
        <row r="33">
          <cell r="F33">
            <v>21.82061939073396</v>
          </cell>
        </row>
        <row r="34">
          <cell r="F34">
            <v>17.689371378818084</v>
          </cell>
        </row>
        <row r="35">
          <cell r="F35">
            <v>5.9210569757525411</v>
          </cell>
        </row>
        <row r="38">
          <cell r="F38">
            <v>2.7414096372400527</v>
          </cell>
        </row>
        <row r="39">
          <cell r="F39">
            <v>2.1552816432056989</v>
          </cell>
        </row>
        <row r="40">
          <cell r="F40">
            <v>2.1363318091323471</v>
          </cell>
        </row>
        <row r="41">
          <cell r="F41">
            <v>2.3861673754975743</v>
          </cell>
        </row>
      </sheetData>
      <sheetData sheetId="23"/>
      <sheetData sheetId="24"/>
      <sheetData sheetId="25"/>
      <sheetData sheetId="26">
        <row r="23">
          <cell r="H23">
            <v>0.23771200000000001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>
            <v>3.8</v>
          </cell>
        </row>
        <row r="7">
          <cell r="D7">
            <v>1.026</v>
          </cell>
        </row>
        <row r="8">
          <cell r="D8">
            <v>2.98</v>
          </cell>
        </row>
        <row r="9">
          <cell r="D9">
            <v>0.34429530201342284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Flushing Chanel "/>
      <sheetName val="Headrace Cana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Surge Shaft"/>
      <sheetName val="Penstock"/>
      <sheetName val="Format 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>
        <row r="8">
          <cell r="C8">
            <v>2.94</v>
          </cell>
        </row>
      </sheetData>
      <sheetData sheetId="10"/>
      <sheetData sheetId="11"/>
      <sheetData sheetId="12"/>
      <sheetData sheetId="13">
        <row r="13">
          <cell r="C13">
            <v>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loss final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4">
          <cell r="B14">
            <v>1535.41</v>
          </cell>
        </row>
        <row r="19">
          <cell r="B19">
            <v>1537.81</v>
          </cell>
        </row>
      </sheetData>
      <sheetData sheetId="7"/>
      <sheetData sheetId="8"/>
      <sheetData sheetId="9"/>
      <sheetData sheetId="10">
        <row r="18">
          <cell r="H18">
            <v>1.6415788877562578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Canal "/>
      <sheetName val="Headrace Tunnel1 - Option 1"/>
      <sheetName val="Headrace Canal  (2)"/>
      <sheetName val="Headrace Tunnel2 - Option 1"/>
      <sheetName val="Headrace Tunnel - Option2"/>
      <sheetName val="HeadLoss"/>
      <sheetName val="Hydraulic Gadient"/>
      <sheetName val="Format A"/>
      <sheetName val="subs weir(100)"/>
      <sheetName val="Headloss final"/>
    </sheetNames>
    <sheetDataSet>
      <sheetData sheetId="0">
        <row r="7">
          <cell r="B7">
            <v>2.94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C10">
            <v>0.02</v>
          </cell>
        </row>
      </sheetData>
      <sheetData sheetId="14">
        <row r="31">
          <cell r="I31">
            <v>2.8266242162540216</v>
          </cell>
        </row>
      </sheetData>
      <sheetData sheetId="15"/>
      <sheetData sheetId="16">
        <row r="20">
          <cell r="H20">
            <v>3.375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dersluice hydraulics NWL  (2)"/>
      <sheetName val="fine trash rack "/>
      <sheetName val="submergence depth "/>
      <sheetName val="side intake "/>
      <sheetName val="hl loss"/>
      <sheetName val="gravel trap "/>
      <sheetName val="fixing of water way crest "/>
      <sheetName val="undersluice hydraulics HFL"/>
      <sheetName val="undersluice hydraulics NWL "/>
      <sheetName val="undersluice HFL "/>
      <sheetName val="boulder weir "/>
      <sheetName val="ogee weir "/>
      <sheetName val="head over the weir "/>
      <sheetName val="sheet pile "/>
      <sheetName val="khosla analysis"/>
      <sheetName val="floor thickness "/>
      <sheetName val="Protection works "/>
      <sheetName val="vertical drop weir "/>
      <sheetName val="undersluice 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>
            <v>426</v>
          </cell>
        </row>
        <row r="2">
          <cell r="D2">
            <v>426</v>
          </cell>
        </row>
        <row r="348">
          <cell r="D348">
            <v>12</v>
          </cell>
        </row>
        <row r="349">
          <cell r="D349">
            <v>2</v>
          </cell>
        </row>
        <row r="351">
          <cell r="D351">
            <v>412</v>
          </cell>
        </row>
        <row r="353">
          <cell r="D353">
            <v>10.3</v>
          </cell>
        </row>
        <row r="397">
          <cell r="D397">
            <v>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dersluice hydraulics NWL  (2)"/>
      <sheetName val="fine trash rack "/>
      <sheetName val="submergence depth "/>
      <sheetName val="side intake "/>
      <sheetName val="hl loss"/>
      <sheetName val="gravel trap "/>
      <sheetName val="fixing of water way crest "/>
      <sheetName val="undersluice hydraulics HFL"/>
      <sheetName val="undersluice hydraulics NWL "/>
      <sheetName val="undersluice HFL "/>
      <sheetName val="boulder weir "/>
      <sheetName val="ogee weir "/>
      <sheetName val="head over the weir "/>
      <sheetName val="sheet pile "/>
      <sheetName val="khosla analysis"/>
      <sheetName val="floor thickness "/>
      <sheetName val="Protection works "/>
      <sheetName val="vertical drop weir "/>
      <sheetName val="undersluice 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>
            <v>426</v>
          </cell>
        </row>
        <row r="2">
          <cell r="D2">
            <v>426</v>
          </cell>
        </row>
        <row r="348">
          <cell r="D348">
            <v>12</v>
          </cell>
        </row>
        <row r="349">
          <cell r="D349">
            <v>2</v>
          </cell>
        </row>
        <row r="351">
          <cell r="D351">
            <v>412</v>
          </cell>
        </row>
        <row r="353">
          <cell r="D353">
            <v>10.3</v>
          </cell>
        </row>
        <row r="397">
          <cell r="D397">
            <v>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51.720844308653703</v>
          </cell>
        </row>
      </sheetData>
      <sheetData sheetId="11"/>
      <sheetData sheetId="12"/>
      <sheetData sheetId="13"/>
      <sheetData sheetId="14"/>
      <sheetData sheetId="15">
        <row r="20">
          <cell r="C20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race Canal "/>
      <sheetName val="Submergence"/>
      <sheetName val="Headrace Tunnel I"/>
      <sheetName val="Headrace Tunnel II Phase 1"/>
      <sheetName val="Headrace Canal Option II"/>
      <sheetName val="Headrace Tunnel II Phase 2"/>
      <sheetName val="Basic Design"/>
      <sheetName val="HeadLossApril (2)"/>
      <sheetName val="Headloss final"/>
    </sheetNames>
    <sheetDataSet>
      <sheetData sheetId="0"/>
      <sheetData sheetId="1"/>
      <sheetData sheetId="2"/>
      <sheetData sheetId="3"/>
      <sheetData sheetId="4">
        <row r="22">
          <cell r="B22">
            <v>207.30894043101549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workbookViewId="0"/>
  </sheetViews>
  <sheetFormatPr defaultColWidth="9.109375" defaultRowHeight="16.8" x14ac:dyDescent="0.45"/>
  <cols>
    <col min="1" max="1" width="9.109375" style="2"/>
    <col min="2" max="2" width="14.33203125" style="2" bestFit="1" customWidth="1"/>
    <col min="3" max="3" width="28.5546875" style="2" bestFit="1" customWidth="1"/>
    <col min="4" max="4" width="18.109375" style="2" customWidth="1"/>
    <col min="5" max="6" width="12.5546875" style="2" customWidth="1"/>
    <col min="7" max="7" width="15.88671875" style="2" customWidth="1"/>
    <col min="8" max="13" width="9.109375" style="2"/>
    <col min="14" max="14" width="11.5546875" style="2" bestFit="1" customWidth="1"/>
    <col min="15" max="16384" width="9.109375" style="2"/>
  </cols>
  <sheetData>
    <row r="2" spans="2:15" ht="33.6" x14ac:dyDescent="0.45">
      <c r="B2" s="79" t="s">
        <v>94</v>
      </c>
      <c r="C2" s="80" t="s">
        <v>95</v>
      </c>
      <c r="D2" s="81"/>
    </row>
    <row r="3" spans="2:15" ht="18" x14ac:dyDescent="0.5">
      <c r="B3" s="82">
        <v>100</v>
      </c>
      <c r="C3" s="83">
        <v>0.90500000000000003</v>
      </c>
      <c r="E3" s="84"/>
      <c r="F3" s="84"/>
      <c r="N3" s="85"/>
      <c r="O3" s="86"/>
    </row>
    <row r="4" spans="2:15" ht="18" x14ac:dyDescent="0.5">
      <c r="B4" s="87">
        <v>90</v>
      </c>
      <c r="C4" s="88">
        <v>0.90500000000000003</v>
      </c>
      <c r="E4" s="84"/>
      <c r="F4" s="84"/>
      <c r="N4" s="89"/>
      <c r="O4" s="90"/>
    </row>
    <row r="5" spans="2:15" ht="18" x14ac:dyDescent="0.5">
      <c r="B5" s="87">
        <v>80</v>
      </c>
      <c r="C5" s="88">
        <v>0.90500000000000003</v>
      </c>
      <c r="E5" s="91"/>
      <c r="F5" s="91"/>
      <c r="N5" s="89"/>
      <c r="O5" s="90"/>
    </row>
    <row r="6" spans="2:15" ht="18" x14ac:dyDescent="0.5">
      <c r="B6" s="87">
        <v>70</v>
      </c>
      <c r="C6" s="88">
        <v>0.90500000000000003</v>
      </c>
      <c r="E6" s="91"/>
      <c r="F6" s="91"/>
      <c r="N6" s="89"/>
      <c r="O6" s="90"/>
    </row>
    <row r="7" spans="2:15" ht="18" x14ac:dyDescent="0.5">
      <c r="B7" s="87">
        <v>60</v>
      </c>
      <c r="C7" s="88">
        <v>0.90500000000000003</v>
      </c>
      <c r="N7" s="89"/>
      <c r="O7" s="90"/>
    </row>
    <row r="8" spans="2:15" ht="18" x14ac:dyDescent="0.5">
      <c r="B8" s="87">
        <v>50</v>
      </c>
      <c r="C8" s="88">
        <v>0.90500000000000003</v>
      </c>
      <c r="G8" s="8"/>
      <c r="N8" s="89"/>
      <c r="O8" s="90"/>
    </row>
    <row r="9" spans="2:15" ht="18.75" customHeight="1" x14ac:dyDescent="0.5">
      <c r="B9" s="92" t="s">
        <v>96</v>
      </c>
      <c r="C9" s="88">
        <v>0.90500000000000003</v>
      </c>
      <c r="G9" s="8"/>
      <c r="N9" s="93"/>
      <c r="O9" s="90"/>
    </row>
    <row r="10" spans="2:15" x14ac:dyDescent="0.45">
      <c r="B10" s="2" t="s">
        <v>85</v>
      </c>
      <c r="D10" s="94">
        <f>'Energy '!E15</f>
        <v>12.5</v>
      </c>
      <c r="E10" s="2" t="s">
        <v>86</v>
      </c>
    </row>
    <row r="11" spans="2:15" x14ac:dyDescent="0.45">
      <c r="B11" s="2" t="s">
        <v>97</v>
      </c>
      <c r="D11" s="8">
        <f>'Energy '!E14</f>
        <v>3</v>
      </c>
    </row>
    <row r="12" spans="2:15" x14ac:dyDescent="0.45">
      <c r="B12" s="95"/>
      <c r="C12" s="95" t="s">
        <v>98</v>
      </c>
      <c r="D12" s="96">
        <f>D10/D11</f>
        <v>4.166666666666667</v>
      </c>
      <c r="E12" s="97"/>
      <c r="F12" s="103"/>
      <c r="G12" s="98"/>
      <c r="H12" s="124"/>
      <c r="I12" s="124"/>
    </row>
    <row r="13" spans="2:15" x14ac:dyDescent="0.45">
      <c r="B13" s="95" t="s">
        <v>21</v>
      </c>
      <c r="C13" s="95" t="s">
        <v>99</v>
      </c>
      <c r="D13" s="95" t="s">
        <v>100</v>
      </c>
      <c r="E13" s="95" t="s">
        <v>101</v>
      </c>
      <c r="F13" s="95" t="s">
        <v>103</v>
      </c>
      <c r="G13" s="99" t="s">
        <v>28</v>
      </c>
      <c r="H13" s="125" t="s">
        <v>102</v>
      </c>
      <c r="I13" s="125"/>
    </row>
    <row r="14" spans="2:15" x14ac:dyDescent="0.45">
      <c r="B14" s="95" t="str">
        <f>'[12]Total Energy(Old)'!B28</f>
        <v>Baishakh</v>
      </c>
      <c r="C14" s="96">
        <f>'Energy '!E26</f>
        <v>5.6539999999999999</v>
      </c>
      <c r="D14" s="100">
        <f>C14/1/$D$12</f>
        <v>1.3569599999999999</v>
      </c>
      <c r="E14" s="100">
        <f>C14/2/$D$12</f>
        <v>0.67847999999999997</v>
      </c>
      <c r="F14" s="100">
        <f>C14/3/$D$12</f>
        <v>0.45232</v>
      </c>
      <c r="G14" s="101">
        <v>0.91</v>
      </c>
      <c r="H14" s="17">
        <v>2</v>
      </c>
      <c r="I14" s="95"/>
      <c r="J14" s="102">
        <v>0.9</v>
      </c>
    </row>
    <row r="15" spans="2:15" x14ac:dyDescent="0.45">
      <c r="B15" s="95" t="str">
        <f>'[12]Total Energy(Old)'!B29</f>
        <v>Jestha</v>
      </c>
      <c r="C15" s="96">
        <f>'Energy '!E27</f>
        <v>11.364000000000001</v>
      </c>
      <c r="D15" s="100">
        <f t="shared" ref="D15:D25" si="0">C15/1/$D$12</f>
        <v>2.72736</v>
      </c>
      <c r="E15" s="100">
        <f t="shared" ref="E15:E25" si="1">C15/2/$D$12</f>
        <v>1.36368</v>
      </c>
      <c r="F15" s="100">
        <f t="shared" ref="F15:F25" si="2">C15/3/$D$12</f>
        <v>0.90912000000000004</v>
      </c>
      <c r="G15" s="101">
        <v>0.91</v>
      </c>
      <c r="H15" s="17">
        <v>3</v>
      </c>
      <c r="I15" s="95"/>
      <c r="J15" s="102">
        <v>0.91</v>
      </c>
    </row>
    <row r="16" spans="2:15" x14ac:dyDescent="0.45">
      <c r="B16" s="95" t="str">
        <f>'[12]Total Energy(Old)'!B32</f>
        <v>Ashadh</v>
      </c>
      <c r="C16" s="96">
        <f>'Energy '!E30</f>
        <v>12.5</v>
      </c>
      <c r="D16" s="100">
        <f t="shared" si="0"/>
        <v>3</v>
      </c>
      <c r="E16" s="100">
        <f t="shared" si="1"/>
        <v>1.5</v>
      </c>
      <c r="F16" s="100">
        <f t="shared" si="2"/>
        <v>1</v>
      </c>
      <c r="G16" s="101">
        <v>0.91</v>
      </c>
      <c r="H16" s="17">
        <v>3</v>
      </c>
      <c r="I16" s="95"/>
      <c r="J16" s="102">
        <v>0.91</v>
      </c>
    </row>
    <row r="17" spans="2:10" x14ac:dyDescent="0.45">
      <c r="B17" s="95" t="str">
        <f>'[12]Total Energy(Old)'!B33</f>
        <v>Shrawan</v>
      </c>
      <c r="C17" s="96">
        <f>'Energy '!E31</f>
        <v>12.5</v>
      </c>
      <c r="D17" s="100">
        <f t="shared" si="0"/>
        <v>3</v>
      </c>
      <c r="E17" s="100">
        <f t="shared" si="1"/>
        <v>1.5</v>
      </c>
      <c r="F17" s="100">
        <f t="shared" si="2"/>
        <v>1</v>
      </c>
      <c r="G17" s="101">
        <v>0.91</v>
      </c>
      <c r="H17" s="17">
        <v>3</v>
      </c>
      <c r="I17" s="95"/>
      <c r="J17" s="102">
        <v>0.91</v>
      </c>
    </row>
    <row r="18" spans="2:10" x14ac:dyDescent="0.45">
      <c r="B18" s="95" t="str">
        <f>'[12]Total Energy(Old)'!B34</f>
        <v>Bhadra</v>
      </c>
      <c r="C18" s="96">
        <f>'Energy '!E32</f>
        <v>12.5</v>
      </c>
      <c r="D18" s="100">
        <f t="shared" si="0"/>
        <v>3</v>
      </c>
      <c r="E18" s="100">
        <f t="shared" si="1"/>
        <v>1.5</v>
      </c>
      <c r="F18" s="100">
        <f t="shared" si="2"/>
        <v>1</v>
      </c>
      <c r="G18" s="101">
        <v>0.91</v>
      </c>
      <c r="H18" s="17">
        <v>3</v>
      </c>
      <c r="I18" s="95"/>
      <c r="J18" s="102">
        <v>0.91</v>
      </c>
    </row>
    <row r="19" spans="2:10" x14ac:dyDescent="0.45">
      <c r="B19" s="95" t="str">
        <f>'[12]Total Energy(Old)'!B35</f>
        <v>Ashwin</v>
      </c>
      <c r="C19" s="96">
        <f>'Energy '!E33</f>
        <v>12.5</v>
      </c>
      <c r="D19" s="100">
        <f t="shared" si="0"/>
        <v>3</v>
      </c>
      <c r="E19" s="100">
        <f t="shared" si="1"/>
        <v>1.5</v>
      </c>
      <c r="F19" s="100">
        <f t="shared" si="2"/>
        <v>1</v>
      </c>
      <c r="G19" s="101">
        <v>0.91</v>
      </c>
      <c r="H19" s="17">
        <v>3</v>
      </c>
      <c r="I19" s="95"/>
      <c r="J19" s="102">
        <v>0.91</v>
      </c>
    </row>
    <row r="20" spans="2:10" x14ac:dyDescent="0.45">
      <c r="B20" s="95" t="str">
        <f>'[12]Total Energy(Old)'!B36</f>
        <v>Kartik</v>
      </c>
      <c r="C20" s="96">
        <f>'Energy '!E34</f>
        <v>12.5</v>
      </c>
      <c r="D20" s="100">
        <f t="shared" si="0"/>
        <v>3</v>
      </c>
      <c r="E20" s="100">
        <f t="shared" si="1"/>
        <v>1.5</v>
      </c>
      <c r="F20" s="100">
        <f t="shared" si="2"/>
        <v>1</v>
      </c>
      <c r="G20" s="101">
        <v>0.91</v>
      </c>
      <c r="H20" s="17">
        <v>3</v>
      </c>
      <c r="I20" s="95"/>
      <c r="J20" s="102">
        <v>0.91</v>
      </c>
    </row>
    <row r="21" spans="2:10" x14ac:dyDescent="0.45">
      <c r="B21" s="95" t="str">
        <f>'[12]Total Energy(Old)'!B37</f>
        <v>Mangshir</v>
      </c>
      <c r="C21" s="96">
        <f>'Energy '!E35</f>
        <v>6.6740000000000004</v>
      </c>
      <c r="D21" s="100">
        <f t="shared" si="0"/>
        <v>1.6017600000000001</v>
      </c>
      <c r="E21" s="100">
        <f t="shared" si="1"/>
        <v>0.80088000000000004</v>
      </c>
      <c r="F21" s="100">
        <f t="shared" si="2"/>
        <v>0.53391999999999995</v>
      </c>
      <c r="G21" s="101">
        <v>0.91</v>
      </c>
      <c r="H21" s="17">
        <v>3</v>
      </c>
      <c r="I21" s="95"/>
      <c r="J21" s="102">
        <v>0.89</v>
      </c>
    </row>
    <row r="22" spans="2:10" x14ac:dyDescent="0.45">
      <c r="B22" s="95" t="str">
        <f>'[12]Total Energy(Old)'!B40</f>
        <v>Paush</v>
      </c>
      <c r="C22" s="96">
        <f>'Energy '!E38</f>
        <v>5.1239999999999997</v>
      </c>
      <c r="D22" s="100">
        <f t="shared" si="0"/>
        <v>1.2297599999999997</v>
      </c>
      <c r="E22" s="100">
        <f t="shared" si="1"/>
        <v>0.61487999999999987</v>
      </c>
      <c r="F22" s="100">
        <f t="shared" si="2"/>
        <v>0.40991999999999995</v>
      </c>
      <c r="G22" s="101">
        <v>0.91</v>
      </c>
      <c r="H22" s="17">
        <v>2</v>
      </c>
      <c r="I22" s="95"/>
      <c r="J22" s="102">
        <v>0.89</v>
      </c>
    </row>
    <row r="23" spans="2:10" x14ac:dyDescent="0.45">
      <c r="B23" s="95" t="str">
        <f>'[12]Total Energy(Old)'!B41</f>
        <v>Magh</v>
      </c>
      <c r="C23" s="96">
        <f>'Energy '!E39</f>
        <v>4.1040000000000001</v>
      </c>
      <c r="D23" s="100">
        <f t="shared" si="0"/>
        <v>0.98495999999999995</v>
      </c>
      <c r="E23" s="100">
        <f t="shared" si="1"/>
        <v>0.49247999999999997</v>
      </c>
      <c r="F23" s="100">
        <f t="shared" si="2"/>
        <v>0.32832</v>
      </c>
      <c r="G23" s="101">
        <v>0.91</v>
      </c>
      <c r="H23" s="17">
        <v>2</v>
      </c>
      <c r="I23" s="95"/>
      <c r="J23" s="102">
        <v>0.9</v>
      </c>
    </row>
    <row r="24" spans="2:10" x14ac:dyDescent="0.45">
      <c r="B24" s="95" t="str">
        <f>'[12]Total Energy(Old)'!B42</f>
        <v>Fagun</v>
      </c>
      <c r="C24" s="96">
        <f>'Energy '!E40</f>
        <v>3.9240000000000004</v>
      </c>
      <c r="D24" s="100">
        <f t="shared" si="0"/>
        <v>0.94176000000000004</v>
      </c>
      <c r="E24" s="100">
        <f t="shared" si="1"/>
        <v>0.47088000000000002</v>
      </c>
      <c r="F24" s="100">
        <f t="shared" si="2"/>
        <v>0.31391999999999998</v>
      </c>
      <c r="G24" s="101">
        <v>0.91</v>
      </c>
      <c r="H24" s="17">
        <v>1</v>
      </c>
      <c r="I24" s="95"/>
      <c r="J24" s="102">
        <v>0.89</v>
      </c>
    </row>
    <row r="25" spans="2:10" x14ac:dyDescent="0.45">
      <c r="B25" s="95" t="str">
        <f>'[12]Total Energy(Old)'!B43</f>
        <v>Chaitra</v>
      </c>
      <c r="C25" s="96">
        <f>'Energy '!E41</f>
        <v>3.9740000000000002</v>
      </c>
      <c r="D25" s="100">
        <f t="shared" si="0"/>
        <v>0.95375999999999994</v>
      </c>
      <c r="E25" s="100">
        <f t="shared" si="1"/>
        <v>0.47687999999999997</v>
      </c>
      <c r="F25" s="100">
        <f t="shared" si="2"/>
        <v>0.31791999999999998</v>
      </c>
      <c r="G25" s="101">
        <v>0.91</v>
      </c>
      <c r="H25" s="17">
        <v>1</v>
      </c>
      <c r="I25" s="95"/>
      <c r="J25" s="102">
        <v>0.9</v>
      </c>
    </row>
  </sheetData>
  <mergeCells count="2">
    <mergeCell ref="H12:I12"/>
    <mergeCell ref="H13:I13"/>
  </mergeCells>
  <printOptions horizontalCentered="1"/>
  <pageMargins left="0.7" right="0.7" top="0.75" bottom="0.75" header="0.3" footer="0.3"/>
  <pageSetup paperSize="9" scale="6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activeCell="A4" sqref="A4"/>
    </sheetView>
  </sheetViews>
  <sheetFormatPr defaultColWidth="9.109375" defaultRowHeight="18" x14ac:dyDescent="0.5"/>
  <cols>
    <col min="1" max="1" width="9.109375" style="119"/>
    <col min="2" max="2" width="39.6640625" style="119" customWidth="1"/>
    <col min="3" max="16384" width="9.109375" style="119"/>
  </cols>
  <sheetData>
    <row r="1" spans="1:16" x14ac:dyDescent="0.5">
      <c r="A1" s="111" t="s">
        <v>72</v>
      </c>
      <c r="B1" s="111"/>
      <c r="C1" s="111"/>
      <c r="D1" s="111"/>
      <c r="E1" s="111"/>
      <c r="F1" s="111"/>
      <c r="G1" s="111"/>
    </row>
    <row r="2" spans="1:16" x14ac:dyDescent="0.5">
      <c r="A2" s="111" t="s">
        <v>104</v>
      </c>
      <c r="B2" s="111"/>
      <c r="C2" s="111"/>
      <c r="D2" s="111"/>
      <c r="E2" s="111"/>
      <c r="F2" s="111"/>
      <c r="G2" s="111"/>
    </row>
    <row r="3" spans="1:16" x14ac:dyDescent="0.5">
      <c r="A3" s="111"/>
      <c r="B3" s="111"/>
      <c r="C3" s="111"/>
      <c r="D3" s="111"/>
      <c r="E3" s="111"/>
      <c r="F3" s="111"/>
      <c r="G3" s="111"/>
    </row>
    <row r="4" spans="1:16" x14ac:dyDescent="0.5">
      <c r="A4" s="112" t="s">
        <v>79</v>
      </c>
      <c r="B4" s="113" t="s">
        <v>107</v>
      </c>
      <c r="C4" s="113" t="s">
        <v>80</v>
      </c>
      <c r="D4" s="114" t="s">
        <v>87</v>
      </c>
      <c r="E4" s="114" t="s">
        <v>47</v>
      </c>
      <c r="F4" s="114" t="s">
        <v>48</v>
      </c>
      <c r="G4" s="114" t="s">
        <v>81</v>
      </c>
      <c r="H4" s="114" t="s">
        <v>82</v>
      </c>
      <c r="I4" s="114" t="s">
        <v>53</v>
      </c>
      <c r="J4" s="114" t="s">
        <v>83</v>
      </c>
      <c r="K4" s="114" t="s">
        <v>55</v>
      </c>
      <c r="L4" s="114" t="s">
        <v>56</v>
      </c>
      <c r="M4" s="114" t="s">
        <v>59</v>
      </c>
      <c r="N4" s="114" t="s">
        <v>60</v>
      </c>
      <c r="O4" s="114" t="s">
        <v>61</v>
      </c>
      <c r="P4" s="114" t="s">
        <v>62</v>
      </c>
    </row>
    <row r="5" spans="1:16" x14ac:dyDescent="0.5">
      <c r="A5" s="115">
        <v>1</v>
      </c>
      <c r="B5" s="115" t="s">
        <v>84</v>
      </c>
      <c r="C5" s="115" t="s">
        <v>4</v>
      </c>
      <c r="D5" s="116">
        <v>2.0402435658824296</v>
      </c>
      <c r="E5" s="116">
        <v>0.41742033206372336</v>
      </c>
      <c r="F5" s="116">
        <v>1.6862596227767401</v>
      </c>
      <c r="G5" s="116">
        <v>2.0402435658824296</v>
      </c>
      <c r="H5" s="116">
        <v>2.0402435658824296</v>
      </c>
      <c r="I5" s="116">
        <v>2.0402435658824296</v>
      </c>
      <c r="J5" s="116">
        <v>2.0402435658824296</v>
      </c>
      <c r="K5" s="116">
        <v>2.0402435658824296</v>
      </c>
      <c r="L5" s="116">
        <v>0.58161338892005987</v>
      </c>
      <c r="M5" s="116">
        <v>0.34283111650447329</v>
      </c>
      <c r="N5" s="116">
        <v>0.21992606064218645</v>
      </c>
      <c r="O5" s="116">
        <v>0.20105736584255293</v>
      </c>
      <c r="P5" s="116">
        <v>0.20621379582122148</v>
      </c>
    </row>
    <row r="6" spans="1:16" x14ac:dyDescent="0.5">
      <c r="A6" s="115">
        <v>2</v>
      </c>
      <c r="B6" s="117" t="s">
        <v>108</v>
      </c>
      <c r="C6" s="115" t="s">
        <v>4</v>
      </c>
      <c r="D6" s="116">
        <v>1.5068767660909796</v>
      </c>
      <c r="E6" s="116">
        <v>0.30829701443452706</v>
      </c>
      <c r="F6" s="116">
        <v>1.2454324030967365</v>
      </c>
      <c r="G6" s="116">
        <v>1.5068767660909796</v>
      </c>
      <c r="H6" s="116">
        <v>1.5068767660909796</v>
      </c>
      <c r="I6" s="116">
        <v>1.5068767660909796</v>
      </c>
      <c r="J6" s="116">
        <v>1.5068767660909796</v>
      </c>
      <c r="K6" s="116">
        <v>1.5068767660909796</v>
      </c>
      <c r="L6" s="116">
        <v>0.42956621320455579</v>
      </c>
      <c r="M6" s="116">
        <v>0.25320714290804935</v>
      </c>
      <c r="N6" s="116">
        <v>0.1624323078780506</v>
      </c>
      <c r="O6" s="116">
        <v>0.14849632578478913</v>
      </c>
      <c r="P6" s="116">
        <v>0.15230474584833684</v>
      </c>
    </row>
    <row r="7" spans="1:16" x14ac:dyDescent="0.5">
      <c r="A7" s="115">
        <v>3</v>
      </c>
      <c r="B7" s="118" t="s">
        <v>88</v>
      </c>
      <c r="C7" s="115" t="s">
        <v>4</v>
      </c>
      <c r="D7" s="120">
        <v>7.9602188970218313</v>
      </c>
      <c r="E7" s="120">
        <v>1.6289434466866344</v>
      </c>
      <c r="F7" s="120">
        <v>6.5804690163370294</v>
      </c>
      <c r="G7" s="120">
        <v>7.9618579427065317</v>
      </c>
      <c r="H7" s="120">
        <v>7.9618579427065317</v>
      </c>
      <c r="I7" s="120">
        <v>7.9618579427065317</v>
      </c>
      <c r="J7" s="120">
        <v>7.9618579427065317</v>
      </c>
      <c r="K7" s="120">
        <v>7.9618579427065317</v>
      </c>
      <c r="L7" s="120">
        <v>2.2696913533236893</v>
      </c>
      <c r="M7" s="120">
        <v>1.337866073243817</v>
      </c>
      <c r="N7" s="120">
        <v>0.85824069342172571</v>
      </c>
      <c r="O7" s="120">
        <v>0.78460739293194237</v>
      </c>
      <c r="P7" s="120">
        <v>0.80472987422202091</v>
      </c>
    </row>
    <row r="8" spans="1:16" x14ac:dyDescent="0.5">
      <c r="A8" s="115">
        <v>4</v>
      </c>
      <c r="B8" s="115" t="s">
        <v>109</v>
      </c>
      <c r="C8" s="115" t="s">
        <v>4</v>
      </c>
      <c r="D8" s="116">
        <v>0.64576794787759739</v>
      </c>
      <c r="E8" s="116">
        <v>0.13211984870178456</v>
      </c>
      <c r="F8" s="116">
        <v>0.53372667577481658</v>
      </c>
      <c r="G8" s="116">
        <v>0.64576794787759739</v>
      </c>
      <c r="H8" s="116">
        <v>0.64576794787759739</v>
      </c>
      <c r="I8" s="116">
        <v>0.64576794787759739</v>
      </c>
      <c r="J8" s="116">
        <v>0.64576794787759739</v>
      </c>
      <c r="K8" s="116">
        <v>0.64576794787759739</v>
      </c>
      <c r="L8" s="116">
        <v>0.18408943466443239</v>
      </c>
      <c r="M8" s="116">
        <v>0.10851123379375821</v>
      </c>
      <c r="N8" s="116">
        <v>6.9609924638719761E-2</v>
      </c>
      <c r="O8" s="116">
        <v>6.3637697340153107E-2</v>
      </c>
      <c r="P8" s="116">
        <v>6.5269785420901019E-2</v>
      </c>
    </row>
    <row r="9" spans="1:16" x14ac:dyDescent="0.5">
      <c r="A9" s="115">
        <v>5</v>
      </c>
      <c r="B9" s="115" t="s">
        <v>89</v>
      </c>
      <c r="C9" s="115" t="s">
        <v>4</v>
      </c>
      <c r="D9" s="116">
        <v>8.3429368572579161</v>
      </c>
      <c r="E9" s="116">
        <v>2.1179387812715298</v>
      </c>
      <c r="F9" s="116">
        <v>6.8954304245949984</v>
      </c>
      <c r="G9" s="116">
        <v>8.3429368572579161</v>
      </c>
      <c r="H9" s="116">
        <v>8.3429368572579161</v>
      </c>
      <c r="I9" s="116">
        <v>8.3429368572579161</v>
      </c>
      <c r="J9" s="116">
        <v>8.3429368572579161</v>
      </c>
      <c r="K9" s="116">
        <v>8.3429368572579161</v>
      </c>
      <c r="L9" s="116">
        <v>2.9510339039079332</v>
      </c>
      <c r="M9" s="116">
        <v>1.7394823905237951</v>
      </c>
      <c r="N9" s="116">
        <v>2.2852945345643669</v>
      </c>
      <c r="O9" s="116">
        <v>2.0892262515511884</v>
      </c>
      <c r="P9" s="116">
        <v>2.1428077198578821</v>
      </c>
    </row>
    <row r="10" spans="1:16" x14ac:dyDescent="0.5">
      <c r="A10" s="115">
        <v>6</v>
      </c>
      <c r="B10" s="115" t="s">
        <v>90</v>
      </c>
      <c r="C10" s="115" t="s">
        <v>4</v>
      </c>
      <c r="D10" s="116">
        <v>0.5</v>
      </c>
      <c r="E10" s="116">
        <v>0.5</v>
      </c>
      <c r="F10" s="116">
        <v>0.5</v>
      </c>
      <c r="G10" s="116">
        <v>0.5</v>
      </c>
      <c r="H10" s="116">
        <v>0.5</v>
      </c>
      <c r="I10" s="116">
        <v>0.5</v>
      </c>
      <c r="J10" s="116">
        <v>0.5</v>
      </c>
      <c r="K10" s="116">
        <v>0.5</v>
      </c>
      <c r="L10" s="116">
        <v>0.5</v>
      </c>
      <c r="M10" s="116">
        <v>0.5</v>
      </c>
      <c r="N10" s="116">
        <v>0.5</v>
      </c>
      <c r="O10" s="116">
        <v>0.5</v>
      </c>
      <c r="P10" s="116">
        <v>0.5</v>
      </c>
    </row>
    <row r="11" spans="1:16" x14ac:dyDescent="0.5">
      <c r="A11" s="115"/>
      <c r="B11" s="122" t="s">
        <v>110</v>
      </c>
      <c r="C11" s="122" t="s">
        <v>4</v>
      </c>
      <c r="D11" s="121">
        <f>SUM(D5:D10)</f>
        <v>20.996044034130755</v>
      </c>
      <c r="E11" s="121">
        <f t="shared" ref="E11:P11" si="0">SUM(E5:E10)</f>
        <v>5.1047194231581994</v>
      </c>
      <c r="F11" s="121">
        <f t="shared" si="0"/>
        <v>17.441318142580322</v>
      </c>
      <c r="G11" s="121">
        <f t="shared" si="0"/>
        <v>20.997683079815452</v>
      </c>
      <c r="H11" s="121">
        <f t="shared" si="0"/>
        <v>20.997683079815452</v>
      </c>
      <c r="I11" s="121">
        <f t="shared" si="0"/>
        <v>20.997683079815452</v>
      </c>
      <c r="J11" s="121">
        <f t="shared" si="0"/>
        <v>20.997683079815452</v>
      </c>
      <c r="K11" s="121">
        <f t="shared" si="0"/>
        <v>20.997683079815452</v>
      </c>
      <c r="L11" s="121">
        <f t="shared" si="0"/>
        <v>6.9159942940206705</v>
      </c>
      <c r="M11" s="121">
        <f t="shared" si="0"/>
        <v>4.2818979569738929</v>
      </c>
      <c r="N11" s="121">
        <f t="shared" si="0"/>
        <v>4.0955035211450497</v>
      </c>
      <c r="O11" s="121">
        <f t="shared" si="0"/>
        <v>3.7870250334506261</v>
      </c>
      <c r="P11" s="121">
        <f t="shared" si="0"/>
        <v>3.8713259211703623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ColWidth="9.109375" defaultRowHeight="16.8" x14ac:dyDescent="0.45"/>
  <cols>
    <col min="1" max="1" width="31.88671875" style="70" customWidth="1"/>
    <col min="2" max="2" width="27.6640625" style="70" customWidth="1"/>
    <col min="3" max="3" width="21.109375" style="70" customWidth="1"/>
    <col min="4" max="16384" width="9.109375" style="70"/>
  </cols>
  <sheetData>
    <row r="1" spans="1:7" x14ac:dyDescent="0.45">
      <c r="A1" s="69" t="s">
        <v>73</v>
      </c>
    </row>
    <row r="2" spans="1:7" x14ac:dyDescent="0.45">
      <c r="A2" s="2" t="s">
        <v>74</v>
      </c>
      <c r="B2" s="8">
        <v>22</v>
      </c>
      <c r="C2" s="2" t="s">
        <v>4</v>
      </c>
    </row>
    <row r="3" spans="1:7" x14ac:dyDescent="0.45">
      <c r="A3" s="2" t="s">
        <v>75</v>
      </c>
      <c r="B3" s="71">
        <v>12.51</v>
      </c>
      <c r="C3" s="2"/>
    </row>
    <row r="4" spans="1:7" x14ac:dyDescent="0.45">
      <c r="A4" s="2" t="s">
        <v>76</v>
      </c>
      <c r="B4" s="72">
        <f>B2/B3^2</f>
        <v>0.14057499004792967</v>
      </c>
      <c r="C4" s="2"/>
    </row>
    <row r="5" spans="1:7" x14ac:dyDescent="0.45">
      <c r="C5" s="2"/>
    </row>
    <row r="6" spans="1:7" x14ac:dyDescent="0.45">
      <c r="A6" s="73" t="s">
        <v>21</v>
      </c>
      <c r="B6" s="74" t="s">
        <v>77</v>
      </c>
      <c r="C6" s="74" t="s">
        <v>78</v>
      </c>
      <c r="G6" s="70" t="s">
        <v>91</v>
      </c>
    </row>
    <row r="7" spans="1:7" ht="17.399999999999999" x14ac:dyDescent="0.45">
      <c r="A7" s="75"/>
      <c r="B7" s="76" t="s">
        <v>13</v>
      </c>
      <c r="C7" s="76" t="s">
        <v>4</v>
      </c>
    </row>
    <row r="8" spans="1:7" x14ac:dyDescent="0.45">
      <c r="A8" s="75" t="str">
        <f>'Energy '!A26</f>
        <v>Baisakh</v>
      </c>
      <c r="B8" s="77">
        <f>'Energy '!E26</f>
        <v>5.6539999999999999</v>
      </c>
      <c r="C8" s="77">
        <f>CEILING($B$4*B8^2,0.1)</f>
        <v>4.5</v>
      </c>
      <c r="E8" s="78">
        <f>[13]Energy_636!F26</f>
        <v>4.8604889697070206</v>
      </c>
      <c r="G8" s="78">
        <f>IF(C8&gt;E8,C8,E8)</f>
        <v>4.8604889697070206</v>
      </c>
    </row>
    <row r="9" spans="1:7" x14ac:dyDescent="0.45">
      <c r="A9" s="75" t="str">
        <f>'Energy '!A27</f>
        <v>Jestha</v>
      </c>
      <c r="B9" s="77">
        <f>'Energy '!E27</f>
        <v>11.364000000000001</v>
      </c>
      <c r="C9" s="77">
        <f t="shared" ref="C9:C23" si="0">CEILING($B$4*B9^2,0.1)</f>
        <v>18.2</v>
      </c>
      <c r="E9" s="78">
        <f>[13]Energy_636!F27</f>
        <v>19.835700339079036</v>
      </c>
      <c r="G9" s="78">
        <f t="shared" ref="G9:G23" si="1">IF(C9&gt;E9,C9,E9)</f>
        <v>19.835700339079036</v>
      </c>
    </row>
    <row r="10" spans="1:7" x14ac:dyDescent="0.45">
      <c r="A10" s="75"/>
      <c r="B10" s="77"/>
      <c r="C10" s="77"/>
      <c r="E10" s="78"/>
      <c r="G10" s="78"/>
    </row>
    <row r="11" spans="1:7" x14ac:dyDescent="0.45">
      <c r="A11" s="75"/>
      <c r="B11" s="77"/>
      <c r="C11" s="77"/>
      <c r="E11" s="78"/>
      <c r="G11" s="78"/>
    </row>
    <row r="12" spans="1:7" x14ac:dyDescent="0.45">
      <c r="A12" s="75" t="str">
        <f>'Energy '!A30</f>
        <v>Asar</v>
      </c>
      <c r="B12" s="77">
        <f>'Energy '!E30</f>
        <v>12.5</v>
      </c>
      <c r="C12" s="77">
        <f t="shared" si="0"/>
        <v>22</v>
      </c>
      <c r="E12" s="78">
        <f>[13]Energy_636!F30</f>
        <v>21.82061939073396</v>
      </c>
      <c r="G12" s="78">
        <f t="shared" si="1"/>
        <v>22</v>
      </c>
    </row>
    <row r="13" spans="1:7" x14ac:dyDescent="0.45">
      <c r="A13" s="75" t="str">
        <f>'Energy '!A31</f>
        <v>Shrawan</v>
      </c>
      <c r="B13" s="77">
        <f>'Energy '!E31</f>
        <v>12.5</v>
      </c>
      <c r="C13" s="77">
        <f t="shared" si="0"/>
        <v>22</v>
      </c>
      <c r="E13" s="78">
        <f>[13]Energy_636!F31</f>
        <v>21.82061939073396</v>
      </c>
      <c r="G13" s="78">
        <f t="shared" si="1"/>
        <v>22</v>
      </c>
    </row>
    <row r="14" spans="1:7" x14ac:dyDescent="0.45">
      <c r="A14" s="75" t="str">
        <f>'Energy '!A32</f>
        <v>Bhadra</v>
      </c>
      <c r="B14" s="77">
        <f>'Energy '!E32</f>
        <v>12.5</v>
      </c>
      <c r="C14" s="77">
        <f t="shared" si="0"/>
        <v>22</v>
      </c>
      <c r="E14" s="78">
        <f>[13]Energy_636!F32</f>
        <v>21.82061939073396</v>
      </c>
      <c r="G14" s="78">
        <f t="shared" si="1"/>
        <v>22</v>
      </c>
    </row>
    <row r="15" spans="1:7" x14ac:dyDescent="0.45">
      <c r="A15" s="75" t="str">
        <f>'Energy '!A33</f>
        <v>Ashoj</v>
      </c>
      <c r="B15" s="77">
        <f>'Energy '!E33</f>
        <v>12.5</v>
      </c>
      <c r="C15" s="77">
        <f t="shared" si="0"/>
        <v>22</v>
      </c>
      <c r="E15" s="78">
        <f>[13]Energy_636!F33</f>
        <v>21.82061939073396</v>
      </c>
      <c r="G15" s="78">
        <f t="shared" si="1"/>
        <v>22</v>
      </c>
    </row>
    <row r="16" spans="1:7" x14ac:dyDescent="0.45">
      <c r="A16" s="75" t="str">
        <f>'Energy '!A34</f>
        <v>Kartik</v>
      </c>
      <c r="B16" s="77">
        <f>'Energy '!E34</f>
        <v>12.5</v>
      </c>
      <c r="C16" s="77">
        <f t="shared" si="0"/>
        <v>22</v>
      </c>
      <c r="E16" s="78">
        <f>[13]Energy_636!F34</f>
        <v>17.689371378818084</v>
      </c>
      <c r="G16" s="78">
        <f t="shared" si="1"/>
        <v>22</v>
      </c>
    </row>
    <row r="17" spans="1:7" x14ac:dyDescent="0.45">
      <c r="A17" s="75" t="str">
        <f>'Energy '!A35</f>
        <v>Mangsir</v>
      </c>
      <c r="B17" s="77">
        <f>'Energy '!E35</f>
        <v>6.6740000000000004</v>
      </c>
      <c r="C17" s="77">
        <f t="shared" si="0"/>
        <v>6.3000000000000007</v>
      </c>
      <c r="E17" s="78">
        <f>[13]Energy_636!F35</f>
        <v>5.9210569757525411</v>
      </c>
      <c r="G17" s="78">
        <f t="shared" si="1"/>
        <v>6.3000000000000007</v>
      </c>
    </row>
    <row r="18" spans="1:7" x14ac:dyDescent="0.45">
      <c r="A18" s="75"/>
      <c r="B18" s="77"/>
      <c r="C18" s="77"/>
      <c r="E18" s="78"/>
      <c r="G18" s="78"/>
    </row>
    <row r="19" spans="1:7" x14ac:dyDescent="0.45">
      <c r="A19" s="75"/>
      <c r="B19" s="77"/>
      <c r="C19" s="77"/>
      <c r="E19" s="78"/>
      <c r="G19" s="78"/>
    </row>
    <row r="20" spans="1:7" x14ac:dyDescent="0.45">
      <c r="A20" s="75" t="str">
        <f>'Energy '!A38</f>
        <v>Poush</v>
      </c>
      <c r="B20" s="77">
        <f>'Energy '!E38</f>
        <v>5.1239999999999997</v>
      </c>
      <c r="C20" s="77">
        <f t="shared" si="0"/>
        <v>3.7</v>
      </c>
      <c r="E20" s="78">
        <f>[13]Energy_636!F38</f>
        <v>2.7414096372400527</v>
      </c>
      <c r="G20" s="78">
        <f t="shared" si="1"/>
        <v>3.7</v>
      </c>
    </row>
    <row r="21" spans="1:7" x14ac:dyDescent="0.45">
      <c r="A21" s="75" t="str">
        <f>'Energy '!A39</f>
        <v>Magh</v>
      </c>
      <c r="B21" s="77">
        <f>'Energy '!E39</f>
        <v>4.1040000000000001</v>
      </c>
      <c r="C21" s="77">
        <f t="shared" si="0"/>
        <v>2.4000000000000004</v>
      </c>
      <c r="E21" s="78">
        <f>[13]Energy_636!F39</f>
        <v>2.1552816432056989</v>
      </c>
      <c r="G21" s="78">
        <f t="shared" si="1"/>
        <v>2.4000000000000004</v>
      </c>
    </row>
    <row r="22" spans="1:7" x14ac:dyDescent="0.45">
      <c r="A22" s="75" t="str">
        <f>'Energy '!A40</f>
        <v>Falgun</v>
      </c>
      <c r="B22" s="77">
        <f>'Energy '!E40</f>
        <v>3.9240000000000004</v>
      </c>
      <c r="C22" s="77">
        <f t="shared" si="0"/>
        <v>2.2000000000000002</v>
      </c>
      <c r="E22" s="78">
        <f>[13]Energy_636!F40</f>
        <v>2.1363318091323471</v>
      </c>
      <c r="G22" s="78">
        <f t="shared" si="1"/>
        <v>2.2000000000000002</v>
      </c>
    </row>
    <row r="23" spans="1:7" x14ac:dyDescent="0.45">
      <c r="A23" s="75" t="str">
        <f>'Energy '!A41</f>
        <v>Chaitra</v>
      </c>
      <c r="B23" s="77">
        <f>'Energy '!E41</f>
        <v>3.9740000000000002</v>
      </c>
      <c r="C23" s="77">
        <f t="shared" si="0"/>
        <v>2.3000000000000003</v>
      </c>
      <c r="E23" s="78">
        <f>[13]Energy_636!F41</f>
        <v>2.3861673754975743</v>
      </c>
      <c r="G23" s="78">
        <f t="shared" si="1"/>
        <v>2.3861673754975743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G48"/>
  <sheetViews>
    <sheetView tabSelected="1" topLeftCell="A29" workbookViewId="0">
      <selection activeCell="E13" sqref="E13"/>
    </sheetView>
  </sheetViews>
  <sheetFormatPr defaultColWidth="9.109375" defaultRowHeight="16.8" x14ac:dyDescent="0.45"/>
  <cols>
    <col min="1" max="1" width="18" style="3" customWidth="1"/>
    <col min="2" max="2" width="10.33203125" style="3" customWidth="1"/>
    <col min="3" max="3" width="8.44140625" style="3" customWidth="1"/>
    <col min="4" max="4" width="9.6640625" style="3" customWidth="1"/>
    <col min="5" max="5" width="10.109375" style="3" customWidth="1"/>
    <col min="6" max="6" width="8.88671875" style="3" customWidth="1"/>
    <col min="7" max="7" width="10" style="3" bestFit="1" customWidth="1"/>
    <col min="8" max="8" width="10.5546875" style="3" hidden="1" customWidth="1"/>
    <col min="9" max="9" width="11.109375" style="3" hidden="1" customWidth="1"/>
    <col min="10" max="10" width="10.109375" style="3" customWidth="1"/>
    <col min="11" max="11" width="8.33203125" style="3" customWidth="1"/>
    <col min="12" max="12" width="11.5546875" style="3" customWidth="1"/>
    <col min="13" max="13" width="15.109375" style="3" customWidth="1"/>
    <col min="14" max="14" width="14.88671875" style="3" customWidth="1"/>
    <col min="15" max="15" width="12.109375" style="3" customWidth="1"/>
    <col min="16" max="16" width="12" style="3" hidden="1" customWidth="1"/>
    <col min="17" max="17" width="12.109375" style="3" hidden="1" customWidth="1"/>
    <col min="18" max="18" width="10.88671875" style="3" hidden="1" customWidth="1"/>
    <col min="19" max="21" width="11.5546875" style="3" hidden="1" customWidth="1"/>
    <col min="22" max="23" width="12.44140625" style="3" hidden="1" customWidth="1"/>
    <col min="24" max="24" width="16.33203125" style="3" hidden="1" customWidth="1"/>
    <col min="25" max="25" width="17.88671875" style="3" hidden="1" customWidth="1"/>
    <col min="26" max="26" width="9.109375" style="3"/>
    <col min="27" max="27" width="17" style="3" bestFit="1" customWidth="1"/>
    <col min="28" max="28" width="10.33203125" style="3" bestFit="1" customWidth="1"/>
    <col min="29" max="29" width="9.44140625" style="3" bestFit="1" customWidth="1"/>
    <col min="30" max="31" width="9.109375" style="3"/>
    <col min="32" max="32" width="15.6640625" style="3" bestFit="1" customWidth="1"/>
    <col min="33" max="33" width="16.33203125" style="3" bestFit="1" customWidth="1"/>
    <col min="34" max="16384" width="9.109375" style="3"/>
  </cols>
  <sheetData>
    <row r="1" spans="1:25" ht="21.6" x14ac:dyDescent="0.55000000000000004">
      <c r="A1" s="37" t="s">
        <v>72</v>
      </c>
    </row>
    <row r="2" spans="1:25" s="2" customFormat="1" ht="21.6" x14ac:dyDescent="0.55000000000000004">
      <c r="A2" s="37" t="s">
        <v>104</v>
      </c>
    </row>
    <row r="3" spans="1:25" ht="9.75" customHeight="1" x14ac:dyDescent="0.45">
      <c r="A3" s="1"/>
      <c r="B3" s="2"/>
      <c r="C3" s="2"/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5" t="s">
        <v>0</v>
      </c>
      <c r="B4" s="6"/>
      <c r="C4" s="6"/>
      <c r="D4" s="6"/>
      <c r="E4" s="6"/>
      <c r="F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45">
      <c r="A5" s="130" t="s">
        <v>1</v>
      </c>
      <c r="B5" s="130"/>
      <c r="C5" s="130"/>
      <c r="D5" s="130"/>
      <c r="E5" s="61">
        <v>2482</v>
      </c>
      <c r="F5" s="2" t="s">
        <v>2</v>
      </c>
    </row>
    <row r="6" spans="1:25" x14ac:dyDescent="0.45">
      <c r="A6" s="130" t="s">
        <v>93</v>
      </c>
      <c r="B6" s="130"/>
      <c r="C6" s="130"/>
      <c r="D6" s="130"/>
      <c r="E6" s="61">
        <v>1853</v>
      </c>
      <c r="F6" s="2" t="s">
        <v>2</v>
      </c>
    </row>
    <row r="7" spans="1:25" x14ac:dyDescent="0.45">
      <c r="A7" s="130" t="s">
        <v>3</v>
      </c>
      <c r="B7" s="130"/>
      <c r="C7" s="130"/>
      <c r="D7" s="130"/>
      <c r="E7" s="61">
        <v>629</v>
      </c>
      <c r="F7" s="8" t="s">
        <v>4</v>
      </c>
      <c r="H7" s="10"/>
      <c r="J7" s="9"/>
      <c r="K7" s="9"/>
      <c r="L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45">
      <c r="A8" s="131" t="s">
        <v>5</v>
      </c>
      <c r="B8" s="131"/>
      <c r="C8" s="131"/>
      <c r="D8" s="131"/>
      <c r="E8" s="60">
        <v>0.91500000000000004</v>
      </c>
      <c r="F8" s="2"/>
    </row>
    <row r="9" spans="1:25" ht="18" hidden="1" customHeight="1" x14ac:dyDescent="0.45">
      <c r="A9" s="2" t="s">
        <v>6</v>
      </c>
      <c r="B9" s="2"/>
      <c r="E9" s="60">
        <v>0.90500000000000003</v>
      </c>
      <c r="F9" s="2"/>
      <c r="J9" s="11"/>
      <c r="K9" s="11"/>
      <c r="L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45">
      <c r="A10" s="129" t="s">
        <v>7</v>
      </c>
      <c r="B10" s="129"/>
      <c r="C10" s="129"/>
      <c r="D10" s="129"/>
      <c r="E10" s="60">
        <v>0.97</v>
      </c>
      <c r="F10" s="2"/>
    </row>
    <row r="11" spans="1:25" x14ac:dyDescent="0.45">
      <c r="A11" s="129" t="s">
        <v>8</v>
      </c>
      <c r="B11" s="129"/>
      <c r="C11" s="129"/>
      <c r="D11" s="129"/>
      <c r="E11" s="60">
        <v>0.99</v>
      </c>
      <c r="F11" s="2"/>
    </row>
    <row r="12" spans="1:25" ht="18" customHeight="1" x14ac:dyDescent="0.45">
      <c r="A12" s="129" t="s">
        <v>9</v>
      </c>
      <c r="B12" s="129"/>
      <c r="C12" s="129"/>
      <c r="D12" s="129"/>
      <c r="E12" s="62">
        <f>E8*E10*E11</f>
        <v>0.87867450000000002</v>
      </c>
      <c r="F12" s="2"/>
    </row>
    <row r="13" spans="1:25" x14ac:dyDescent="0.45">
      <c r="A13" s="129" t="s">
        <v>10</v>
      </c>
      <c r="B13" s="129"/>
      <c r="C13" s="129"/>
      <c r="D13" s="129"/>
      <c r="E13" s="63">
        <v>600.70931665482135</v>
      </c>
      <c r="F13" s="2" t="s">
        <v>4</v>
      </c>
      <c r="J13" s="12"/>
      <c r="K13" s="12"/>
      <c r="L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45">
      <c r="A14" s="129" t="s">
        <v>11</v>
      </c>
      <c r="B14" s="129"/>
      <c r="C14" s="129"/>
      <c r="D14" s="129"/>
      <c r="E14" s="63">
        <v>3</v>
      </c>
      <c r="F14" s="2"/>
      <c r="J14" s="12"/>
      <c r="K14" s="12"/>
      <c r="L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7.399999999999999" x14ac:dyDescent="0.45">
      <c r="A15" s="129" t="s">
        <v>12</v>
      </c>
      <c r="B15" s="129"/>
      <c r="C15" s="129"/>
      <c r="D15" s="129"/>
      <c r="E15" s="63">
        <v>12.5</v>
      </c>
      <c r="F15" s="7" t="s">
        <v>13</v>
      </c>
      <c r="J15" s="12"/>
      <c r="K15" s="12"/>
      <c r="L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7.399999999999999" hidden="1" x14ac:dyDescent="0.45">
      <c r="A16" s="129" t="s">
        <v>14</v>
      </c>
      <c r="B16" s="129"/>
      <c r="C16" s="129"/>
      <c r="D16" s="129"/>
      <c r="E16" s="63">
        <v>12.5</v>
      </c>
      <c r="F16" s="7" t="s">
        <v>13</v>
      </c>
      <c r="J16" s="12"/>
      <c r="K16" s="12"/>
      <c r="L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33" ht="17.399999999999999" x14ac:dyDescent="0.45">
      <c r="A17" s="129" t="s">
        <v>15</v>
      </c>
      <c r="B17" s="129"/>
      <c r="C17" s="129"/>
      <c r="D17" s="129"/>
      <c r="E17" s="64">
        <v>4.166666666666667</v>
      </c>
      <c r="F17" s="7" t="s">
        <v>13</v>
      </c>
      <c r="I17" s="13"/>
    </row>
    <row r="18" spans="1:33" ht="17.399999999999999" x14ac:dyDescent="0.45">
      <c r="A18" s="68" t="s">
        <v>92</v>
      </c>
      <c r="B18" s="68"/>
      <c r="C18" s="68"/>
      <c r="D18" s="68"/>
      <c r="E18" s="64">
        <v>0.43600000000000005</v>
      </c>
      <c r="F18" s="7" t="s">
        <v>13</v>
      </c>
      <c r="I18" s="13"/>
    </row>
    <row r="19" spans="1:33" x14ac:dyDescent="0.45">
      <c r="A19" s="129" t="s">
        <v>16</v>
      </c>
      <c r="B19" s="129"/>
      <c r="C19" s="129"/>
      <c r="D19" s="129"/>
      <c r="E19" s="65">
        <v>0.04</v>
      </c>
      <c r="F19" s="8"/>
      <c r="I19" s="13"/>
    </row>
    <row r="20" spans="1:33" x14ac:dyDescent="0.45">
      <c r="A20" s="129" t="s">
        <v>17</v>
      </c>
      <c r="B20" s="129"/>
      <c r="C20" s="129"/>
      <c r="D20" s="129"/>
      <c r="E20" s="65">
        <v>0.04</v>
      </c>
      <c r="F20" s="8"/>
    </row>
    <row r="21" spans="1:33" hidden="1" x14ac:dyDescent="0.45">
      <c r="A21" s="129" t="s">
        <v>18</v>
      </c>
      <c r="B21" s="129"/>
      <c r="C21" s="129"/>
      <c r="D21" s="129"/>
      <c r="E21" s="66">
        <v>57.3</v>
      </c>
      <c r="F21" s="8" t="s">
        <v>19</v>
      </c>
    </row>
    <row r="22" spans="1:33" x14ac:dyDescent="0.45">
      <c r="A22" s="129" t="s">
        <v>20</v>
      </c>
      <c r="B22" s="129"/>
      <c r="C22" s="129"/>
      <c r="D22" s="129"/>
      <c r="E22" s="67">
        <v>65000</v>
      </c>
      <c r="F22" s="3" t="s">
        <v>105</v>
      </c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33" ht="30.75" customHeight="1" x14ac:dyDescent="0.45">
      <c r="A23" s="132" t="s">
        <v>21</v>
      </c>
      <c r="B23" s="132" t="s">
        <v>22</v>
      </c>
      <c r="C23" s="132" t="s">
        <v>23</v>
      </c>
      <c r="D23" s="132" t="s">
        <v>24</v>
      </c>
      <c r="E23" s="132" t="s">
        <v>25</v>
      </c>
      <c r="F23" s="132" t="s">
        <v>26</v>
      </c>
      <c r="G23" s="132" t="s">
        <v>27</v>
      </c>
      <c r="H23" s="132" t="s">
        <v>28</v>
      </c>
      <c r="I23" s="132"/>
      <c r="J23" s="132" t="s">
        <v>29</v>
      </c>
      <c r="K23" s="132" t="s">
        <v>30</v>
      </c>
      <c r="L23" s="132" t="s">
        <v>31</v>
      </c>
      <c r="M23" s="132" t="s">
        <v>32</v>
      </c>
      <c r="N23" s="132" t="s">
        <v>33</v>
      </c>
      <c r="O23" s="132"/>
      <c r="P23" s="132" t="s">
        <v>34</v>
      </c>
      <c r="Q23" s="132"/>
      <c r="R23" s="132" t="s">
        <v>35</v>
      </c>
      <c r="S23" s="132"/>
      <c r="T23" s="135" t="s">
        <v>36</v>
      </c>
      <c r="U23" s="136"/>
      <c r="V23" s="132" t="s">
        <v>34</v>
      </c>
      <c r="W23" s="132"/>
      <c r="X23" s="133" t="s">
        <v>37</v>
      </c>
      <c r="Y23" s="134"/>
      <c r="AF23" s="126" t="s">
        <v>36</v>
      </c>
      <c r="AG23" s="127"/>
    </row>
    <row r="24" spans="1:33" ht="61.5" customHeight="1" x14ac:dyDescent="0.45">
      <c r="A24" s="132"/>
      <c r="B24" s="132"/>
      <c r="C24" s="132"/>
      <c r="D24" s="132"/>
      <c r="E24" s="132"/>
      <c r="F24" s="132"/>
      <c r="G24" s="132"/>
      <c r="H24" s="15" t="s">
        <v>38</v>
      </c>
      <c r="I24" s="15" t="s">
        <v>9</v>
      </c>
      <c r="J24" s="132"/>
      <c r="K24" s="132"/>
      <c r="L24" s="132"/>
      <c r="M24" s="132"/>
      <c r="N24" s="15" t="s">
        <v>39</v>
      </c>
      <c r="O24" s="15" t="s">
        <v>40</v>
      </c>
      <c r="P24" s="15" t="s">
        <v>39</v>
      </c>
      <c r="Q24" s="15" t="s">
        <v>40</v>
      </c>
      <c r="R24" s="15" t="s">
        <v>39</v>
      </c>
      <c r="S24" s="15" t="s">
        <v>40</v>
      </c>
      <c r="T24" s="15" t="s">
        <v>39</v>
      </c>
      <c r="U24" s="15" t="s">
        <v>40</v>
      </c>
      <c r="V24" s="15" t="s">
        <v>39</v>
      </c>
      <c r="W24" s="15" t="s">
        <v>40</v>
      </c>
      <c r="X24" s="15" t="s">
        <v>39</v>
      </c>
      <c r="Y24" s="15" t="s">
        <v>40</v>
      </c>
      <c r="AB24" s="128" t="s">
        <v>71</v>
      </c>
      <c r="AC24" s="128"/>
      <c r="AD24" s="128"/>
      <c r="AF24" s="15" t="s">
        <v>39</v>
      </c>
      <c r="AG24" s="15" t="s">
        <v>40</v>
      </c>
    </row>
    <row r="25" spans="1:33" ht="20.25" customHeight="1" x14ac:dyDescent="0.45">
      <c r="A25" s="132"/>
      <c r="B25" s="16" t="s">
        <v>41</v>
      </c>
      <c r="C25" s="16" t="s">
        <v>41</v>
      </c>
      <c r="D25" s="16" t="s">
        <v>41</v>
      </c>
      <c r="E25" s="16" t="s">
        <v>41</v>
      </c>
      <c r="F25" s="16" t="s">
        <v>42</v>
      </c>
      <c r="G25" s="16" t="s">
        <v>42</v>
      </c>
      <c r="H25" s="16" t="s">
        <v>43</v>
      </c>
      <c r="I25" s="16" t="s">
        <v>43</v>
      </c>
      <c r="J25" s="16" t="s">
        <v>44</v>
      </c>
      <c r="K25" s="16"/>
      <c r="L25" s="16" t="s">
        <v>45</v>
      </c>
      <c r="M25" s="16" t="s">
        <v>45</v>
      </c>
      <c r="N25" s="16" t="s">
        <v>45</v>
      </c>
      <c r="O25" s="16" t="s">
        <v>45</v>
      </c>
      <c r="P25" s="16" t="s">
        <v>45</v>
      </c>
      <c r="Q25" s="16" t="s">
        <v>45</v>
      </c>
      <c r="R25" s="16" t="s">
        <v>46</v>
      </c>
      <c r="S25" s="16" t="s">
        <v>46</v>
      </c>
      <c r="T25" s="16" t="s">
        <v>46</v>
      </c>
      <c r="U25" s="16" t="s">
        <v>46</v>
      </c>
      <c r="V25" s="16" t="s">
        <v>46</v>
      </c>
      <c r="W25" s="16" t="s">
        <v>46</v>
      </c>
      <c r="X25" s="16" t="s">
        <v>46</v>
      </c>
      <c r="Y25" s="16" t="s">
        <v>46</v>
      </c>
      <c r="AA25" s="57" t="s">
        <v>21</v>
      </c>
      <c r="AB25" s="56"/>
      <c r="AC25" s="56"/>
      <c r="AD25" s="56" t="s">
        <v>70</v>
      </c>
      <c r="AF25" s="56" t="s">
        <v>46</v>
      </c>
      <c r="AG25" s="56" t="s">
        <v>46</v>
      </c>
    </row>
    <row r="26" spans="1:33" x14ac:dyDescent="0.45">
      <c r="A26" s="17" t="s">
        <v>47</v>
      </c>
      <c r="B26" s="49">
        <f>AD26</f>
        <v>6.09</v>
      </c>
      <c r="C26" s="18">
        <f>MIN(B26:B41)*10%</f>
        <v>0.43600000000000005</v>
      </c>
      <c r="D26" s="38">
        <f>B26-C26</f>
        <v>5.6539999999999999</v>
      </c>
      <c r="E26" s="38">
        <f t="shared" ref="E26:E41" si="0">IF(D26&gt;$E$15,$E$15,D26)</f>
        <v>5.6539999999999999</v>
      </c>
      <c r="F26" s="39">
        <f>'Headloss Summary'!E11</f>
        <v>5.1047194231581994</v>
      </c>
      <c r="G26" s="39">
        <f t="shared" ref="G26:G41" si="1">$E$7-F26</f>
        <v>623.89528057684186</v>
      </c>
      <c r="H26" s="40">
        <f>E8</f>
        <v>0.91500000000000004</v>
      </c>
      <c r="I26" s="40">
        <f>H26*$E$10*$E$11</f>
        <v>0.87867450000000002</v>
      </c>
      <c r="J26" s="107">
        <f>IF(E26*G26*9.81*$E$8*$E$10&gt;=$E$22,$E$22,E26*G26*9.81*$E$8*$E$10)</f>
        <v>30713.502150656659</v>
      </c>
      <c r="K26" s="42">
        <v>31</v>
      </c>
      <c r="L26" s="43">
        <f>J26*K26*24*$E$11</f>
        <v>22622337.144087669</v>
      </c>
      <c r="M26" s="43">
        <f>$E$19*L26</f>
        <v>904893.48576350673</v>
      </c>
      <c r="N26" s="43">
        <f>L26-M26</f>
        <v>21717443.658324163</v>
      </c>
      <c r="O26" s="43"/>
      <c r="P26" s="43">
        <v>19084875</v>
      </c>
      <c r="Q26" s="43"/>
      <c r="R26" s="38">
        <v>21.532327332265286</v>
      </c>
      <c r="S26" s="38"/>
      <c r="T26" s="19">
        <v>19.084875</v>
      </c>
      <c r="U26" s="19"/>
      <c r="V26" s="19">
        <v>19.084875</v>
      </c>
      <c r="W26" s="21"/>
      <c r="X26" s="22">
        <v>0</v>
      </c>
      <c r="Y26" s="21"/>
      <c r="AA26" s="53" t="s">
        <v>47</v>
      </c>
      <c r="AB26" s="55"/>
      <c r="AC26" s="55"/>
      <c r="AD26" s="55">
        <v>6.09</v>
      </c>
      <c r="AF26" s="55">
        <v>19.084875</v>
      </c>
      <c r="AG26" s="55"/>
    </row>
    <row r="27" spans="1:33" x14ac:dyDescent="0.45">
      <c r="A27" s="17" t="s">
        <v>48</v>
      </c>
      <c r="B27" s="49">
        <f>AD27</f>
        <v>11.8</v>
      </c>
      <c r="C27" s="18">
        <f>C26</f>
        <v>0.43600000000000005</v>
      </c>
      <c r="D27" s="38">
        <f t="shared" ref="D27:D41" si="2">B27-C27</f>
        <v>11.364000000000001</v>
      </c>
      <c r="E27" s="38">
        <f t="shared" si="0"/>
        <v>11.364000000000001</v>
      </c>
      <c r="F27" s="39">
        <f>'Headloss Summary'!F11</f>
        <v>17.441318142580322</v>
      </c>
      <c r="G27" s="39">
        <f t="shared" si="1"/>
        <v>611.55868185741963</v>
      </c>
      <c r="H27" s="40">
        <f>H26</f>
        <v>0.91500000000000004</v>
      </c>
      <c r="I27" s="40">
        <f t="shared" ref="I27:I41" si="3">H27*$E$10*$E$11</f>
        <v>0.87867450000000002</v>
      </c>
      <c r="J27" s="107">
        <f>IF(E27*G27*9.81*$E$8*$E$10&gt;=$E$22,$E$22,E27*G27*9.81*$E$8*$E$10)</f>
        <v>60510.563415725781</v>
      </c>
      <c r="K27" s="42">
        <v>31</v>
      </c>
      <c r="L27" s="43">
        <f>J27*K27*24*$E$11</f>
        <v>44569660.589486986</v>
      </c>
      <c r="M27" s="43">
        <f t="shared" ref="M27:M35" si="4">$E$20*L27</f>
        <v>1782786.4235794796</v>
      </c>
      <c r="N27" s="43"/>
      <c r="O27" s="43"/>
      <c r="P27" s="43"/>
      <c r="Q27" s="43"/>
      <c r="R27" s="38"/>
      <c r="S27" s="38"/>
      <c r="T27" s="19"/>
      <c r="U27" s="19"/>
      <c r="V27" s="19"/>
      <c r="W27" s="21"/>
      <c r="X27" s="22"/>
      <c r="Y27" s="21"/>
      <c r="AA27" s="58" t="s">
        <v>48</v>
      </c>
      <c r="AB27" s="55"/>
      <c r="AC27" s="55"/>
      <c r="AD27" s="55">
        <v>11.8</v>
      </c>
      <c r="AF27" s="55"/>
      <c r="AG27" s="55"/>
    </row>
    <row r="28" spans="1:33" x14ac:dyDescent="0.45">
      <c r="A28" s="50" t="s">
        <v>49</v>
      </c>
      <c r="B28" s="49"/>
      <c r="C28" s="18"/>
      <c r="D28" s="38"/>
      <c r="E28" s="38"/>
      <c r="F28" s="39"/>
      <c r="G28" s="39"/>
      <c r="H28" s="40"/>
      <c r="I28" s="40"/>
      <c r="J28" s="107"/>
      <c r="K28" s="20">
        <v>15</v>
      </c>
      <c r="L28" s="43"/>
      <c r="M28" s="43"/>
      <c r="N28" s="43">
        <f>(K28/$K$27)*($L$27-$M$27)</f>
        <v>20703326.209310085</v>
      </c>
      <c r="O28" s="43"/>
      <c r="P28" s="43">
        <v>18197752</v>
      </c>
      <c r="Q28" s="43"/>
      <c r="R28" s="38">
        <v>20.174884538570169</v>
      </c>
      <c r="S28" s="38"/>
      <c r="T28" s="19">
        <v>18.197752000000001</v>
      </c>
      <c r="U28" s="19"/>
      <c r="V28" s="19">
        <v>18.197752000000001</v>
      </c>
      <c r="W28" s="21"/>
      <c r="X28" s="22">
        <v>0</v>
      </c>
      <c r="Y28" s="21"/>
      <c r="AA28" s="58" t="s">
        <v>49</v>
      </c>
      <c r="AB28" s="54"/>
      <c r="AC28" s="54"/>
      <c r="AD28" s="54"/>
      <c r="AF28" s="55">
        <v>18.197752000000001</v>
      </c>
      <c r="AG28" s="55"/>
    </row>
    <row r="29" spans="1:33" x14ac:dyDescent="0.45">
      <c r="A29" s="50" t="s">
        <v>50</v>
      </c>
      <c r="B29" s="49"/>
      <c r="C29" s="18"/>
      <c r="D29" s="38"/>
      <c r="E29" s="38"/>
      <c r="F29" s="39"/>
      <c r="G29" s="39"/>
      <c r="H29" s="40"/>
      <c r="I29" s="40"/>
      <c r="J29" s="107"/>
      <c r="K29" s="20">
        <v>16</v>
      </c>
      <c r="L29" s="43"/>
      <c r="M29" s="43"/>
      <c r="N29" s="43"/>
      <c r="O29" s="43">
        <f>(K29/$K$27)*($L$27-$M$27)</f>
        <v>22083547.956597425</v>
      </c>
      <c r="P29" s="43"/>
      <c r="Q29" s="43">
        <v>19410935</v>
      </c>
      <c r="R29" s="38"/>
      <c r="S29" s="38">
        <v>21.51987684114151</v>
      </c>
      <c r="T29" s="19"/>
      <c r="U29" s="19">
        <v>19.410934999999998</v>
      </c>
      <c r="V29" s="21"/>
      <c r="W29" s="19">
        <v>19.410934999999998</v>
      </c>
      <c r="X29" s="22"/>
      <c r="Y29" s="23">
        <v>0</v>
      </c>
      <c r="AA29" s="53" t="s">
        <v>50</v>
      </c>
      <c r="AB29" s="54"/>
      <c r="AC29" s="54"/>
      <c r="AD29" s="54"/>
      <c r="AF29" s="55"/>
      <c r="AG29" s="55">
        <v>19.410934999999998</v>
      </c>
    </row>
    <row r="30" spans="1:33" x14ac:dyDescent="0.45">
      <c r="A30" s="17" t="s">
        <v>51</v>
      </c>
      <c r="B30" s="49">
        <f t="shared" ref="B30:B41" si="5">AD30</f>
        <v>45.42</v>
      </c>
      <c r="C30" s="18">
        <f>C27</f>
        <v>0.43600000000000005</v>
      </c>
      <c r="D30" s="38">
        <f t="shared" ref="D30:D35" si="6">B30-C30</f>
        <v>44.984000000000002</v>
      </c>
      <c r="E30" s="38">
        <f t="shared" si="0"/>
        <v>12.5</v>
      </c>
      <c r="F30" s="39">
        <f>'Headloss Summary'!G11</f>
        <v>20.997683079815452</v>
      </c>
      <c r="G30" s="39">
        <f t="shared" si="1"/>
        <v>608.00231692018451</v>
      </c>
      <c r="H30" s="40">
        <f>H26</f>
        <v>0.91500000000000004</v>
      </c>
      <c r="I30" s="40">
        <f t="shared" si="3"/>
        <v>0.87867450000000002</v>
      </c>
      <c r="J30" s="107">
        <f t="shared" ref="J30:J35" si="7">IF(E30*G30*9.81*$E$8*$E$10&gt;=$E$22,$E$22,E30*G30*9.81*$E$8*$E$10)</f>
        <v>65000</v>
      </c>
      <c r="K30" s="42">
        <v>32</v>
      </c>
      <c r="L30" s="43">
        <f t="shared" ref="L30:L35" si="8">J30*K30*24*$E$11</f>
        <v>49420800</v>
      </c>
      <c r="M30" s="43">
        <f t="shared" si="4"/>
        <v>1976832</v>
      </c>
      <c r="N30" s="43"/>
      <c r="O30" s="43">
        <f>L30-M30</f>
        <v>47443968</v>
      </c>
      <c r="P30" s="43"/>
      <c r="Q30" s="43">
        <v>41823683</v>
      </c>
      <c r="R30" s="38"/>
      <c r="S30" s="38">
        <v>46.949759999999998</v>
      </c>
      <c r="T30" s="19"/>
      <c r="U30" s="19">
        <v>41.823683000000003</v>
      </c>
      <c r="V30" s="21"/>
      <c r="W30" s="19">
        <v>41.823683000000003</v>
      </c>
      <c r="X30" s="22"/>
      <c r="Y30" s="23">
        <v>0</v>
      </c>
      <c r="AA30" s="53" t="s">
        <v>51</v>
      </c>
      <c r="AB30" s="55"/>
      <c r="AC30" s="55"/>
      <c r="AD30" s="55">
        <v>45.42</v>
      </c>
      <c r="AF30" s="55"/>
      <c r="AG30" s="55">
        <v>41.823683000000003</v>
      </c>
    </row>
    <row r="31" spans="1:33" x14ac:dyDescent="0.45">
      <c r="A31" s="17" t="s">
        <v>52</v>
      </c>
      <c r="B31" s="49">
        <f t="shared" si="5"/>
        <v>73.28</v>
      </c>
      <c r="C31" s="18">
        <f t="shared" ref="C31:C40" si="9">C30</f>
        <v>0.43600000000000005</v>
      </c>
      <c r="D31" s="38">
        <f t="shared" si="6"/>
        <v>72.843999999999994</v>
      </c>
      <c r="E31" s="38">
        <f t="shared" si="0"/>
        <v>12.5</v>
      </c>
      <c r="F31" s="39">
        <f>'Headloss Summary'!H11</f>
        <v>20.997683079815452</v>
      </c>
      <c r="G31" s="39">
        <f t="shared" si="1"/>
        <v>608.00231692018451</v>
      </c>
      <c r="H31" s="40">
        <f>H26</f>
        <v>0.91500000000000004</v>
      </c>
      <c r="I31" s="40">
        <f t="shared" si="3"/>
        <v>0.87867450000000002</v>
      </c>
      <c r="J31" s="107">
        <f t="shared" si="7"/>
        <v>65000</v>
      </c>
      <c r="K31" s="42">
        <v>31</v>
      </c>
      <c r="L31" s="43">
        <f t="shared" si="8"/>
        <v>47876400</v>
      </c>
      <c r="M31" s="43">
        <f t="shared" si="4"/>
        <v>1915056</v>
      </c>
      <c r="N31" s="43"/>
      <c r="O31" s="43">
        <f t="shared" ref="O31:O33" si="10">L31-M31</f>
        <v>45961344</v>
      </c>
      <c r="P31" s="43"/>
      <c r="Q31" s="43">
        <v>40516692</v>
      </c>
      <c r="R31" s="38"/>
      <c r="S31" s="38">
        <v>45.482579999999999</v>
      </c>
      <c r="T31" s="19"/>
      <c r="U31" s="19">
        <v>40.516691999999999</v>
      </c>
      <c r="V31" s="21"/>
      <c r="W31" s="19">
        <v>40.516691999999999</v>
      </c>
      <c r="X31" s="22"/>
      <c r="Y31" s="23">
        <v>0</v>
      </c>
      <c r="AA31" s="53" t="s">
        <v>52</v>
      </c>
      <c r="AB31" s="55"/>
      <c r="AC31" s="55"/>
      <c r="AD31" s="55">
        <v>73.28</v>
      </c>
      <c r="AF31" s="55"/>
      <c r="AG31" s="55">
        <v>40.516691999999999</v>
      </c>
    </row>
    <row r="32" spans="1:33" x14ac:dyDescent="0.45">
      <c r="A32" s="17" t="s">
        <v>53</v>
      </c>
      <c r="B32" s="49">
        <f t="shared" si="5"/>
        <v>65.41</v>
      </c>
      <c r="C32" s="18">
        <f t="shared" si="9"/>
        <v>0.43600000000000005</v>
      </c>
      <c r="D32" s="38">
        <f t="shared" si="6"/>
        <v>64.97399999999999</v>
      </c>
      <c r="E32" s="38">
        <f t="shared" si="0"/>
        <v>12.5</v>
      </c>
      <c r="F32" s="39">
        <f>'Headloss Summary'!I11</f>
        <v>20.997683079815452</v>
      </c>
      <c r="G32" s="39">
        <f t="shared" si="1"/>
        <v>608.00231692018451</v>
      </c>
      <c r="H32" s="40">
        <f>H26</f>
        <v>0.91500000000000004</v>
      </c>
      <c r="I32" s="40">
        <f t="shared" si="3"/>
        <v>0.87867450000000002</v>
      </c>
      <c r="J32" s="107">
        <f t="shared" si="7"/>
        <v>65000</v>
      </c>
      <c r="K32" s="42">
        <v>31</v>
      </c>
      <c r="L32" s="43">
        <f t="shared" si="8"/>
        <v>47876400</v>
      </c>
      <c r="M32" s="43">
        <f t="shared" si="4"/>
        <v>1915056</v>
      </c>
      <c r="N32" s="43"/>
      <c r="O32" s="43">
        <f t="shared" si="10"/>
        <v>45961344</v>
      </c>
      <c r="P32" s="43"/>
      <c r="Q32" s="43">
        <v>40516692</v>
      </c>
      <c r="R32" s="38"/>
      <c r="S32" s="38">
        <v>45.482579999999999</v>
      </c>
      <c r="T32" s="19"/>
      <c r="U32" s="19">
        <v>40.516691999999999</v>
      </c>
      <c r="V32" s="21"/>
      <c r="W32" s="19">
        <v>40.516691999999999</v>
      </c>
      <c r="X32" s="22"/>
      <c r="Y32" s="23">
        <v>0</v>
      </c>
      <c r="AA32" s="53" t="s">
        <v>53</v>
      </c>
      <c r="AB32" s="55"/>
      <c r="AC32" s="55"/>
      <c r="AD32" s="55">
        <v>65.41</v>
      </c>
      <c r="AF32" s="55"/>
      <c r="AG32" s="55">
        <v>40.516691999999999</v>
      </c>
    </row>
    <row r="33" spans="1:33" x14ac:dyDescent="0.45">
      <c r="A33" s="17" t="s">
        <v>54</v>
      </c>
      <c r="B33" s="49">
        <f t="shared" si="5"/>
        <v>36.1</v>
      </c>
      <c r="C33" s="18">
        <f>C32</f>
        <v>0.43600000000000005</v>
      </c>
      <c r="D33" s="38">
        <f t="shared" si="6"/>
        <v>35.664000000000001</v>
      </c>
      <c r="E33" s="38">
        <f t="shared" si="0"/>
        <v>12.5</v>
      </c>
      <c r="F33" s="39">
        <f>'Headloss Summary'!J11</f>
        <v>20.997683079815452</v>
      </c>
      <c r="G33" s="39">
        <f>$E$7-F33</f>
        <v>608.00231692018451</v>
      </c>
      <c r="H33" s="40">
        <f>H26</f>
        <v>0.91500000000000004</v>
      </c>
      <c r="I33" s="40">
        <f t="shared" si="3"/>
        <v>0.87867450000000002</v>
      </c>
      <c r="J33" s="107">
        <f t="shared" si="7"/>
        <v>65000</v>
      </c>
      <c r="K33" s="42">
        <v>31</v>
      </c>
      <c r="L33" s="43">
        <f t="shared" si="8"/>
        <v>47876400</v>
      </c>
      <c r="M33" s="43">
        <f t="shared" si="4"/>
        <v>1915056</v>
      </c>
      <c r="N33" s="43"/>
      <c r="O33" s="43">
        <f t="shared" si="10"/>
        <v>45961344</v>
      </c>
      <c r="P33" s="43"/>
      <c r="Q33" s="43">
        <v>40516692</v>
      </c>
      <c r="R33" s="38"/>
      <c r="S33" s="38">
        <v>45.482579999999999</v>
      </c>
      <c r="T33" s="19"/>
      <c r="U33" s="19">
        <v>40.516691999999999</v>
      </c>
      <c r="V33" s="21"/>
      <c r="W33" s="19">
        <v>40.516691999999999</v>
      </c>
      <c r="X33" s="22"/>
      <c r="Y33" s="23">
        <v>0</v>
      </c>
      <c r="AA33" s="53" t="s">
        <v>54</v>
      </c>
      <c r="AB33" s="55"/>
      <c r="AC33" s="55"/>
      <c r="AD33" s="55">
        <v>36.1</v>
      </c>
      <c r="AF33" s="55"/>
      <c r="AG33" s="55">
        <v>40.516691999999999</v>
      </c>
    </row>
    <row r="34" spans="1:33" x14ac:dyDescent="0.45">
      <c r="A34" s="17" t="s">
        <v>55</v>
      </c>
      <c r="B34" s="49">
        <f t="shared" si="5"/>
        <v>13.49</v>
      </c>
      <c r="C34" s="18">
        <f t="shared" si="9"/>
        <v>0.43600000000000005</v>
      </c>
      <c r="D34" s="38">
        <f t="shared" si="6"/>
        <v>13.054</v>
      </c>
      <c r="E34" s="38">
        <f t="shared" si="0"/>
        <v>12.5</v>
      </c>
      <c r="F34" s="39">
        <f>'Headloss Summary'!K11</f>
        <v>20.997683079815452</v>
      </c>
      <c r="G34" s="39">
        <f t="shared" si="1"/>
        <v>608.00231692018451</v>
      </c>
      <c r="H34" s="40">
        <f>H26</f>
        <v>0.91500000000000004</v>
      </c>
      <c r="I34" s="40">
        <f t="shared" si="3"/>
        <v>0.87867450000000002</v>
      </c>
      <c r="J34" s="107">
        <f t="shared" si="7"/>
        <v>65000</v>
      </c>
      <c r="K34" s="42">
        <v>30</v>
      </c>
      <c r="L34" s="43">
        <f t="shared" si="8"/>
        <v>46332000</v>
      </c>
      <c r="M34" s="43">
        <f t="shared" si="4"/>
        <v>1853280</v>
      </c>
      <c r="N34" s="43"/>
      <c r="O34" s="43">
        <f>L34-M34</f>
        <v>44478720</v>
      </c>
      <c r="P34" s="43"/>
      <c r="Q34" s="43">
        <v>39209702</v>
      </c>
      <c r="R34" s="38"/>
      <c r="S34" s="38">
        <v>44.0154</v>
      </c>
      <c r="T34" s="19"/>
      <c r="U34" s="19">
        <v>39.209702</v>
      </c>
      <c r="V34" s="21"/>
      <c r="W34" s="19">
        <v>39.209702</v>
      </c>
      <c r="X34" s="22"/>
      <c r="Y34" s="23">
        <v>0</v>
      </c>
      <c r="AA34" s="53" t="s">
        <v>55</v>
      </c>
      <c r="AB34" s="55"/>
      <c r="AC34" s="55"/>
      <c r="AD34" s="55">
        <v>13.49</v>
      </c>
      <c r="AF34" s="55"/>
      <c r="AG34" s="55">
        <v>39.209702</v>
      </c>
    </row>
    <row r="35" spans="1:33" x14ac:dyDescent="0.45">
      <c r="A35" s="17" t="s">
        <v>56</v>
      </c>
      <c r="B35" s="49">
        <f t="shared" si="5"/>
        <v>7.11</v>
      </c>
      <c r="C35" s="18">
        <f>C34</f>
        <v>0.43600000000000005</v>
      </c>
      <c r="D35" s="38">
        <f t="shared" si="6"/>
        <v>6.6740000000000004</v>
      </c>
      <c r="E35" s="38">
        <f t="shared" si="0"/>
        <v>6.6740000000000004</v>
      </c>
      <c r="F35" s="39">
        <f>'Headloss Summary'!L11</f>
        <v>6.9159942940206705</v>
      </c>
      <c r="G35" s="39">
        <f t="shared" si="1"/>
        <v>622.08400570597928</v>
      </c>
      <c r="H35" s="40">
        <f>H26</f>
        <v>0.91500000000000004</v>
      </c>
      <c r="I35" s="40">
        <f t="shared" si="3"/>
        <v>0.87867450000000002</v>
      </c>
      <c r="J35" s="107">
        <f t="shared" si="7"/>
        <v>36149.065395515448</v>
      </c>
      <c r="K35" s="42">
        <v>29</v>
      </c>
      <c r="L35" s="43">
        <f t="shared" si="8"/>
        <v>24908152.020125967</v>
      </c>
      <c r="M35" s="43">
        <f t="shared" si="4"/>
        <v>996326.08080503868</v>
      </c>
      <c r="N35" s="43"/>
      <c r="O35" s="43"/>
      <c r="P35" s="43"/>
      <c r="Q35" s="43"/>
      <c r="R35" s="38"/>
      <c r="S35" s="38"/>
      <c r="T35" s="19"/>
      <c r="U35" s="19"/>
      <c r="V35" s="21"/>
      <c r="W35" s="19">
        <v>0</v>
      </c>
      <c r="X35" s="22"/>
      <c r="Y35" s="23"/>
      <c r="AA35" s="53" t="s">
        <v>56</v>
      </c>
      <c r="AB35" s="55"/>
      <c r="AC35" s="55"/>
      <c r="AD35" s="55">
        <v>7.11</v>
      </c>
      <c r="AF35" s="55"/>
      <c r="AG35" s="55"/>
    </row>
    <row r="36" spans="1:33" x14ac:dyDescent="0.45">
      <c r="A36" s="50" t="s">
        <v>57</v>
      </c>
      <c r="B36" s="49"/>
      <c r="C36" s="18"/>
      <c r="D36" s="38"/>
      <c r="E36" s="38"/>
      <c r="F36" s="39"/>
      <c r="G36" s="39"/>
      <c r="H36" s="40"/>
      <c r="I36" s="40"/>
      <c r="J36" s="107"/>
      <c r="K36" s="20">
        <v>15</v>
      </c>
      <c r="L36" s="43"/>
      <c r="M36" s="43"/>
      <c r="N36" s="43"/>
      <c r="O36" s="43">
        <f>(K36/$K$35)*($L$35-$M$35)</f>
        <v>12368185.830683241</v>
      </c>
      <c r="P36" s="43"/>
      <c r="Q36" s="43">
        <v>10889794</v>
      </c>
      <c r="R36" s="38"/>
      <c r="S36" s="38">
        <v>12.12014325105079</v>
      </c>
      <c r="T36" s="19"/>
      <c r="U36" s="19">
        <v>10.889794</v>
      </c>
      <c r="V36" s="21"/>
      <c r="W36" s="19">
        <v>10.889794</v>
      </c>
      <c r="X36" s="22"/>
      <c r="Y36" s="23">
        <v>0</v>
      </c>
      <c r="AA36" s="58" t="s">
        <v>57</v>
      </c>
      <c r="AB36" s="54"/>
      <c r="AC36" s="54"/>
      <c r="AD36" s="54"/>
      <c r="AF36" s="55"/>
      <c r="AG36" s="55">
        <v>10.889794</v>
      </c>
    </row>
    <row r="37" spans="1:33" x14ac:dyDescent="0.45">
      <c r="A37" s="50" t="s">
        <v>58</v>
      </c>
      <c r="B37" s="49"/>
      <c r="C37" s="18"/>
      <c r="D37" s="38"/>
      <c r="E37" s="38"/>
      <c r="F37" s="39"/>
      <c r="G37" s="39"/>
      <c r="H37" s="40"/>
      <c r="I37" s="40"/>
      <c r="J37" s="107"/>
      <c r="K37" s="20">
        <v>14</v>
      </c>
      <c r="L37" s="43"/>
      <c r="M37" s="43"/>
      <c r="N37" s="43">
        <f>(K37/$K$35)*($L$35-$M$35)</f>
        <v>11543640.108637691</v>
      </c>
      <c r="O37" s="43"/>
      <c r="P37" s="43">
        <v>10163809</v>
      </c>
      <c r="Q37" s="43"/>
      <c r="R37" s="38">
        <v>11.312133700980736</v>
      </c>
      <c r="S37" s="38"/>
      <c r="T37" s="19">
        <v>10.163809000000001</v>
      </c>
      <c r="U37" s="19"/>
      <c r="V37" s="24">
        <v>10.163809000000001</v>
      </c>
      <c r="W37" s="19"/>
      <c r="X37" s="22">
        <v>0</v>
      </c>
      <c r="Y37" s="21"/>
      <c r="AA37" s="58" t="s">
        <v>58</v>
      </c>
      <c r="AB37" s="54"/>
      <c r="AC37" s="54"/>
      <c r="AD37" s="54"/>
      <c r="AF37" s="55">
        <v>10.163809000000001</v>
      </c>
      <c r="AG37" s="55"/>
    </row>
    <row r="38" spans="1:33" x14ac:dyDescent="0.45">
      <c r="A38" s="17" t="s">
        <v>59</v>
      </c>
      <c r="B38" s="49">
        <f t="shared" si="5"/>
        <v>5.56</v>
      </c>
      <c r="C38" s="18">
        <f>C35</f>
        <v>0.43600000000000005</v>
      </c>
      <c r="D38" s="38">
        <f t="shared" si="2"/>
        <v>5.1239999999999997</v>
      </c>
      <c r="E38" s="38">
        <f t="shared" si="0"/>
        <v>5.1239999999999997</v>
      </c>
      <c r="F38" s="39">
        <f>'Headloss Summary'!M11</f>
        <v>4.2818979569738929</v>
      </c>
      <c r="G38" s="39">
        <f t="shared" si="1"/>
        <v>624.71810204302608</v>
      </c>
      <c r="H38" s="40">
        <f>H26</f>
        <v>0.91500000000000004</v>
      </c>
      <c r="I38" s="40">
        <f t="shared" si="3"/>
        <v>0.87867450000000002</v>
      </c>
      <c r="J38" s="107">
        <f>IF(E38*G38*9.81*$E$8*$E$10&gt;=$E$22,$E$22,E38*G38*9.81*$E$8*$E$10)</f>
        <v>27871.160174267607</v>
      </c>
      <c r="K38" s="42">
        <v>30</v>
      </c>
      <c r="L38" s="43">
        <f>J38*K38*24*$E$11</f>
        <v>19866562.972217947</v>
      </c>
      <c r="M38" s="43">
        <f>$E$19*L38</f>
        <v>794662.51888871787</v>
      </c>
      <c r="N38" s="43">
        <f>L38-M38</f>
        <v>19071900.453329228</v>
      </c>
      <c r="O38" s="43"/>
      <c r="P38" s="43">
        <v>16756440.999999998</v>
      </c>
      <c r="Q38" s="43"/>
      <c r="R38" s="38">
        <v>18.919823738876868</v>
      </c>
      <c r="S38" s="38"/>
      <c r="T38" s="19">
        <v>16.756440999999999</v>
      </c>
      <c r="U38" s="19"/>
      <c r="V38" s="24">
        <v>16.756440999999999</v>
      </c>
      <c r="W38" s="21"/>
      <c r="X38" s="25">
        <v>0</v>
      </c>
      <c r="Y38" s="21"/>
      <c r="AA38" s="53" t="s">
        <v>59</v>
      </c>
      <c r="AB38" s="55"/>
      <c r="AC38" s="55"/>
      <c r="AD38" s="55">
        <v>5.56</v>
      </c>
      <c r="AF38" s="55">
        <v>16.756440999999999</v>
      </c>
      <c r="AG38" s="55"/>
    </row>
    <row r="39" spans="1:33" x14ac:dyDescent="0.45">
      <c r="A39" s="17" t="s">
        <v>60</v>
      </c>
      <c r="B39" s="49">
        <f t="shared" si="5"/>
        <v>4.54</v>
      </c>
      <c r="C39" s="18">
        <f t="shared" si="9"/>
        <v>0.43600000000000005</v>
      </c>
      <c r="D39" s="38">
        <f t="shared" si="2"/>
        <v>4.1040000000000001</v>
      </c>
      <c r="E39" s="38">
        <f t="shared" si="0"/>
        <v>4.1040000000000001</v>
      </c>
      <c r="F39" s="39">
        <f>'Headloss Summary'!N11</f>
        <v>4.0955035211450497</v>
      </c>
      <c r="G39" s="39">
        <f t="shared" si="1"/>
        <v>624.90449647885498</v>
      </c>
      <c r="H39" s="40">
        <f>H26</f>
        <v>0.91500000000000004</v>
      </c>
      <c r="I39" s="40">
        <f t="shared" si="3"/>
        <v>0.87867450000000002</v>
      </c>
      <c r="J39" s="107">
        <f>IF(E39*G39*9.81*$E$8*$E$10&gt;=$E$22,$E$22,E39*G39*9.81*$E$8*$E$10)</f>
        <v>22329.697382469865</v>
      </c>
      <c r="K39" s="42">
        <v>29</v>
      </c>
      <c r="L39" s="43">
        <f>J39*K39*24*$E$11</f>
        <v>15386054.684417035</v>
      </c>
      <c r="M39" s="43">
        <f>$E$19*L39</f>
        <v>615442.18737668148</v>
      </c>
      <c r="N39" s="43">
        <f t="shared" ref="N39:N41" si="11">L39-M39</f>
        <v>14770612.497040354</v>
      </c>
      <c r="O39" s="43"/>
      <c r="P39" s="43">
        <v>12995863</v>
      </c>
      <c r="Q39" s="43"/>
      <c r="R39" s="38">
        <v>14.637562670272622</v>
      </c>
      <c r="S39" s="38"/>
      <c r="T39" s="19">
        <v>12.995863</v>
      </c>
      <c r="U39" s="19"/>
      <c r="V39" s="24">
        <v>12.995863</v>
      </c>
      <c r="W39" s="21"/>
      <c r="X39" s="25">
        <v>0</v>
      </c>
      <c r="Y39" s="21"/>
      <c r="AA39" s="53" t="s">
        <v>60</v>
      </c>
      <c r="AB39" s="55"/>
      <c r="AC39" s="55"/>
      <c r="AD39" s="55">
        <v>4.54</v>
      </c>
      <c r="AF39" s="55">
        <v>12.995863</v>
      </c>
      <c r="AG39" s="55"/>
    </row>
    <row r="40" spans="1:33" x14ac:dyDescent="0.45">
      <c r="A40" s="17" t="s">
        <v>61</v>
      </c>
      <c r="B40" s="49">
        <f t="shared" si="5"/>
        <v>4.3600000000000003</v>
      </c>
      <c r="C40" s="18">
        <f t="shared" si="9"/>
        <v>0.43600000000000005</v>
      </c>
      <c r="D40" s="38">
        <f t="shared" si="2"/>
        <v>3.9240000000000004</v>
      </c>
      <c r="E40" s="38">
        <f t="shared" si="0"/>
        <v>3.9240000000000004</v>
      </c>
      <c r="F40" s="39">
        <f>'Headloss Summary'!O11</f>
        <v>3.7870250334506261</v>
      </c>
      <c r="G40" s="39">
        <f t="shared" si="1"/>
        <v>625.21297496654938</v>
      </c>
      <c r="H40" s="40">
        <f>H26</f>
        <v>0.91500000000000004</v>
      </c>
      <c r="I40" s="40">
        <f t="shared" si="3"/>
        <v>0.87867450000000002</v>
      </c>
      <c r="J40" s="107">
        <f>IF(E40*G40*9.81*$E$8*$E$10&gt;=$E$22,$E$22,E40*G40*9.81*$E$8*$E$10)</f>
        <v>21360.864086130914</v>
      </c>
      <c r="K40" s="42">
        <v>30</v>
      </c>
      <c r="L40" s="43">
        <f>J40*K40*24*$E$11</f>
        <v>15226023.920594115</v>
      </c>
      <c r="M40" s="43">
        <f>$E$19*L40</f>
        <v>609040.9568237646</v>
      </c>
      <c r="N40" s="43">
        <f t="shared" si="11"/>
        <v>14616982.96377035</v>
      </c>
      <c r="O40" s="43"/>
      <c r="P40" s="43">
        <v>12890288</v>
      </c>
      <c r="Q40" s="43"/>
      <c r="R40" s="38">
        <v>14.489783858920559</v>
      </c>
      <c r="S40" s="38"/>
      <c r="T40" s="19">
        <v>12.890288</v>
      </c>
      <c r="U40" s="19"/>
      <c r="V40" s="24">
        <v>12.890288</v>
      </c>
      <c r="W40" s="21"/>
      <c r="X40" s="25">
        <v>0</v>
      </c>
      <c r="Y40" s="21"/>
      <c r="AA40" s="53" t="s">
        <v>61</v>
      </c>
      <c r="AB40" s="55"/>
      <c r="AC40" s="55"/>
      <c r="AD40" s="55">
        <v>4.3600000000000003</v>
      </c>
      <c r="AF40" s="55">
        <v>12.890288</v>
      </c>
      <c r="AG40" s="55"/>
    </row>
    <row r="41" spans="1:33" x14ac:dyDescent="0.45">
      <c r="A41" s="17" t="s">
        <v>62</v>
      </c>
      <c r="B41" s="49">
        <f t="shared" si="5"/>
        <v>4.41</v>
      </c>
      <c r="C41" s="18">
        <f>C40</f>
        <v>0.43600000000000005</v>
      </c>
      <c r="D41" s="38">
        <f t="shared" si="2"/>
        <v>3.9740000000000002</v>
      </c>
      <c r="E41" s="38">
        <f t="shared" si="0"/>
        <v>3.9740000000000002</v>
      </c>
      <c r="F41" s="39">
        <f>'Headloss Summary'!P11</f>
        <v>3.8713259211703623</v>
      </c>
      <c r="G41" s="39">
        <f t="shared" si="1"/>
        <v>625.12867407882959</v>
      </c>
      <c r="H41" s="40">
        <f>H26</f>
        <v>0.91500000000000004</v>
      </c>
      <c r="I41" s="40">
        <f t="shared" si="3"/>
        <v>0.87867450000000002</v>
      </c>
      <c r="J41" s="41">
        <f>IF(I41*9.81*E41*G41&gt;=$E$22*1000,$E$22*1000,I41*9.81*E41*G41)</f>
        <v>21413.828153688784</v>
      </c>
      <c r="K41" s="42">
        <v>30</v>
      </c>
      <c r="L41" s="43">
        <f>J41*K41*24*$E$11</f>
        <v>15263776.707949363</v>
      </c>
      <c r="M41" s="43">
        <f>$E$19*L41</f>
        <v>610551.06831797457</v>
      </c>
      <c r="N41" s="43">
        <f t="shared" si="11"/>
        <v>14653225.639631389</v>
      </c>
      <c r="O41" s="43"/>
      <c r="P41" s="43">
        <v>13020546</v>
      </c>
      <c r="Q41" s="43"/>
      <c r="R41" s="38">
        <v>14.524487854072484</v>
      </c>
      <c r="S41" s="38"/>
      <c r="T41" s="19">
        <v>13.020546</v>
      </c>
      <c r="U41" s="19"/>
      <c r="V41" s="24">
        <v>13.020546</v>
      </c>
      <c r="W41" s="21"/>
      <c r="X41" s="22">
        <v>0</v>
      </c>
      <c r="Y41" s="21"/>
      <c r="AA41" s="53" t="s">
        <v>62</v>
      </c>
      <c r="AB41" s="55"/>
      <c r="AC41" s="55"/>
      <c r="AD41" s="55">
        <v>4.41</v>
      </c>
      <c r="AF41" s="55">
        <v>13.020546</v>
      </c>
      <c r="AG41" s="55"/>
    </row>
    <row r="42" spans="1:33" x14ac:dyDescent="0.45">
      <c r="A42" s="26" t="s">
        <v>63</v>
      </c>
      <c r="B42" s="49"/>
      <c r="C42" s="49"/>
      <c r="D42" s="38"/>
      <c r="E42" s="44"/>
      <c r="F42" s="45"/>
      <c r="G42" s="44"/>
      <c r="H42" s="44"/>
      <c r="I42" s="44"/>
      <c r="J42" s="42"/>
      <c r="K42" s="46">
        <f>SUM(K26:K27)+SUM(K30:K35)+SUM(K38:K41)</f>
        <v>365</v>
      </c>
      <c r="L42" s="43"/>
      <c r="M42" s="43"/>
      <c r="N42" s="47">
        <f t="shared" ref="N42:O42" si="12">SUM(N26:N41)</f>
        <v>117077131.53004326</v>
      </c>
      <c r="O42" s="47">
        <f t="shared" si="12"/>
        <v>264258453.78728065</v>
      </c>
      <c r="P42" s="47">
        <v>103109574</v>
      </c>
      <c r="Q42" s="47">
        <v>232884190</v>
      </c>
      <c r="R42" s="48">
        <v>115.59100369395874</v>
      </c>
      <c r="S42" s="48">
        <v>261.05292009219227</v>
      </c>
      <c r="T42" s="27">
        <v>103.10957399999999</v>
      </c>
      <c r="U42" s="27">
        <v>232.88418999999999</v>
      </c>
      <c r="V42" s="27">
        <v>103.10957399999999</v>
      </c>
      <c r="W42" s="27">
        <v>232.88418999999999</v>
      </c>
      <c r="X42" s="27"/>
      <c r="Y42" s="27"/>
      <c r="AB42" s="10"/>
      <c r="AC42" s="10"/>
      <c r="AD42" s="10"/>
      <c r="AF42" s="59">
        <v>103.10957399999999</v>
      </c>
      <c r="AG42" s="59">
        <v>232.88418999999999</v>
      </c>
    </row>
    <row r="43" spans="1:33" s="2" customFormat="1" x14ac:dyDescent="0.45">
      <c r="A43" s="28" t="s">
        <v>64</v>
      </c>
      <c r="B43" s="28"/>
      <c r="C43" s="28"/>
      <c r="D43" s="28"/>
      <c r="E43" s="28"/>
      <c r="F43" s="28"/>
      <c r="G43" s="28"/>
      <c r="H43" s="28"/>
      <c r="I43" s="28"/>
      <c r="J43" s="28"/>
      <c r="K43" s="26"/>
      <c r="L43" s="28"/>
      <c r="M43" s="28"/>
      <c r="N43" s="29">
        <f>N42/1000^2</f>
        <v>117.07713153004326</v>
      </c>
      <c r="O43" s="29">
        <f>O42/1000^2</f>
        <v>264.25845378728064</v>
      </c>
      <c r="P43" s="30">
        <v>103.10957399999999</v>
      </c>
      <c r="Q43" s="30">
        <v>232.88418999999999</v>
      </c>
      <c r="R43" s="30">
        <v>1.1559100369395874E-4</v>
      </c>
      <c r="S43" s="30">
        <v>2.6105292009219228E-4</v>
      </c>
      <c r="T43" s="30"/>
      <c r="U43" s="30"/>
      <c r="V43" s="30">
        <v>1.0310957399999999E-4</v>
      </c>
      <c r="W43" s="30">
        <v>2.3288418999999999E-4</v>
      </c>
      <c r="X43" s="31"/>
      <c r="Y43" s="31"/>
      <c r="AA43" s="128" t="s">
        <v>66</v>
      </c>
      <c r="AB43" s="128"/>
      <c r="AF43" s="55">
        <v>0</v>
      </c>
    </row>
    <row r="44" spans="1:33" s="2" customFormat="1" ht="24.75" customHeight="1" x14ac:dyDescent="0.45">
      <c r="A44" s="139"/>
      <c r="B44" s="139"/>
      <c r="C44" s="139"/>
      <c r="E44" s="128" t="s">
        <v>65</v>
      </c>
      <c r="F44" s="128"/>
      <c r="G44" s="79" t="s">
        <v>36</v>
      </c>
      <c r="H44" s="79"/>
      <c r="I44" s="79"/>
      <c r="J44" s="79" t="s">
        <v>106</v>
      </c>
      <c r="N44" s="32"/>
      <c r="O44" s="32"/>
      <c r="P44" s="31"/>
      <c r="Q44" s="31"/>
      <c r="R44" s="31"/>
      <c r="S44" s="31"/>
      <c r="T44" s="31"/>
      <c r="U44" s="31"/>
      <c r="V44" s="31"/>
      <c r="W44" s="31"/>
      <c r="X44" s="31"/>
      <c r="Y44" s="31"/>
      <c r="AF44" s="14">
        <v>335.993764</v>
      </c>
    </row>
    <row r="45" spans="1:33" s="2" customFormat="1" x14ac:dyDescent="0.45">
      <c r="A45" s="137" t="s">
        <v>67</v>
      </c>
      <c r="B45" s="137"/>
      <c r="C45" s="137"/>
      <c r="D45" s="137"/>
      <c r="E45" s="51">
        <f>N43</f>
        <v>117.07713153004326</v>
      </c>
      <c r="F45" s="33">
        <f>E45/$E$47</f>
        <v>0.30701863670189322</v>
      </c>
      <c r="G45" s="79">
        <v>103.11</v>
      </c>
      <c r="H45" s="79"/>
      <c r="I45" s="79"/>
      <c r="J45" s="108">
        <f>E45-G45</f>
        <v>13.967131530043261</v>
      </c>
      <c r="K45" s="110">
        <f>J45/$J$47</f>
        <v>0.30801524409273051</v>
      </c>
      <c r="L45" s="123"/>
      <c r="M45" s="105"/>
      <c r="N45" s="105"/>
      <c r="O45" s="34"/>
      <c r="P45" s="35"/>
      <c r="Q45" s="34"/>
      <c r="R45" s="34"/>
      <c r="S45" s="34"/>
      <c r="T45" s="34"/>
      <c r="U45" s="34"/>
      <c r="V45" s="34"/>
      <c r="W45" s="34"/>
      <c r="X45" s="34"/>
      <c r="Y45" s="34"/>
    </row>
    <row r="46" spans="1:33" s="2" customFormat="1" x14ac:dyDescent="0.45">
      <c r="A46" s="137" t="s">
        <v>68</v>
      </c>
      <c r="B46" s="137"/>
      <c r="C46" s="137"/>
      <c r="D46" s="138"/>
      <c r="E46" s="51">
        <f>O43</f>
        <v>264.25845378728064</v>
      </c>
      <c r="F46" s="33">
        <f>E46/$E$47</f>
        <v>0.69298136329810689</v>
      </c>
      <c r="G46" s="79">
        <v>232.88</v>
      </c>
      <c r="H46" s="79"/>
      <c r="I46" s="79"/>
      <c r="J46" s="108">
        <f>E46-G46</f>
        <v>31.378453787280648</v>
      </c>
      <c r="K46" s="109">
        <f>J46/$J$47</f>
        <v>0.69198475590726949</v>
      </c>
      <c r="L46" s="104"/>
      <c r="M46" s="105"/>
      <c r="N46" s="105"/>
      <c r="O46" s="3"/>
      <c r="P46" s="10"/>
      <c r="Q46" s="3"/>
      <c r="R46" s="3"/>
      <c r="S46" s="3"/>
      <c r="T46" s="3"/>
      <c r="U46" s="3"/>
      <c r="V46" s="3"/>
      <c r="W46" s="3"/>
      <c r="X46" s="3"/>
      <c r="Y46" s="3"/>
    </row>
    <row r="47" spans="1:33" s="2" customFormat="1" x14ac:dyDescent="0.45">
      <c r="A47" s="137" t="s">
        <v>69</v>
      </c>
      <c r="B47" s="137"/>
      <c r="C47" s="137"/>
      <c r="D47" s="138"/>
      <c r="E47" s="52">
        <f>SUM(E45:E46)</f>
        <v>381.33558531732388</v>
      </c>
      <c r="F47" s="33">
        <f>E47/$E$47</f>
        <v>1</v>
      </c>
      <c r="G47" s="79">
        <f>SUM(G45:G46)</f>
        <v>335.99</v>
      </c>
      <c r="H47" s="79"/>
      <c r="I47" s="79"/>
      <c r="J47" s="108">
        <f>SUM(J45:J46)</f>
        <v>45.345585317323909</v>
      </c>
      <c r="K47" s="109">
        <f>J47/$J$47</f>
        <v>1</v>
      </c>
      <c r="L47" s="106"/>
      <c r="M47" s="105"/>
      <c r="N47" s="105"/>
      <c r="AA47" s="3"/>
      <c r="AB47" s="3"/>
    </row>
    <row r="48" spans="1:33" x14ac:dyDescent="0.45">
      <c r="P48" s="36"/>
    </row>
  </sheetData>
  <mergeCells count="42">
    <mergeCell ref="A47:D47"/>
    <mergeCell ref="E44:F44"/>
    <mergeCell ref="A45:D45"/>
    <mergeCell ref="A46:D46"/>
    <mergeCell ref="A44:C44"/>
    <mergeCell ref="V23:W23"/>
    <mergeCell ref="X23:Y23"/>
    <mergeCell ref="AA43:AB43"/>
    <mergeCell ref="L23:L24"/>
    <mergeCell ref="M23:M24"/>
    <mergeCell ref="N23:O23"/>
    <mergeCell ref="P23:Q23"/>
    <mergeCell ref="R23:S23"/>
    <mergeCell ref="T23:U23"/>
    <mergeCell ref="E23:E24"/>
    <mergeCell ref="F23:F24"/>
    <mergeCell ref="G23:G24"/>
    <mergeCell ref="J23:J24"/>
    <mergeCell ref="K23:K24"/>
    <mergeCell ref="A20:D20"/>
    <mergeCell ref="A21:D21"/>
    <mergeCell ref="A22:D22"/>
    <mergeCell ref="A23:A25"/>
    <mergeCell ref="B23:B24"/>
    <mergeCell ref="C23:C24"/>
    <mergeCell ref="D23:D24"/>
    <mergeCell ref="AF23:AG23"/>
    <mergeCell ref="AB24:AD24"/>
    <mergeCell ref="A17:D17"/>
    <mergeCell ref="A5:D5"/>
    <mergeCell ref="A6:D6"/>
    <mergeCell ref="A7:D7"/>
    <mergeCell ref="A8:D8"/>
    <mergeCell ref="A10:D10"/>
    <mergeCell ref="A11:D11"/>
    <mergeCell ref="A12:D12"/>
    <mergeCell ref="A13:D13"/>
    <mergeCell ref="A14:D14"/>
    <mergeCell ref="A15:D15"/>
    <mergeCell ref="A16:D16"/>
    <mergeCell ref="H23:I23"/>
    <mergeCell ref="A19:D19"/>
  </mergeCells>
  <printOptions horizontalCentered="1"/>
  <pageMargins left="0.25" right="0.19" top="1.02" bottom="0.6" header="0.5" footer="0.33"/>
  <pageSetup paperSize="9" scale="46" orientation="landscape" r:id="rId1"/>
  <headerFooter alignWithMargins="0">
    <oddFooter>&amp;L&amp;"Gill Sans MT,Italic"&amp;8Hydro-Consult Engineering Ltd&amp;C&amp;"Gill Sans MT,Regular"&amp;8&amp;A&amp;R&amp;"Gill Sans MT,Italic"&amp;8Page &amp;P of &amp;N</oddFooter>
  </headerFooter>
  <colBreaks count="1" manualBreakCount="1">
    <brk id="19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efficiency from chart </vt:lpstr>
      <vt:lpstr>Headloss Summary</vt:lpstr>
      <vt:lpstr>HL calculation_Coefficient</vt:lpstr>
      <vt:lpstr>Energy </vt:lpstr>
      <vt:lpstr>'efficiency from chart '!Print_Area</vt:lpstr>
      <vt:lpstr>'Energy '!Print_Area</vt:lpstr>
      <vt:lpstr>'Energy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Jeevika Khadka</dc:creator>
  <cp:lastModifiedBy>Pravash Mool</cp:lastModifiedBy>
  <cp:lastPrinted>2021-06-04T08:43:31Z</cp:lastPrinted>
  <dcterms:created xsi:type="dcterms:W3CDTF">2021-01-17T13:13:07Z</dcterms:created>
  <dcterms:modified xsi:type="dcterms:W3CDTF">2023-01-23T07:49:29Z</dcterms:modified>
</cp:coreProperties>
</file>