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ml.chartshapes+xml"/>
  <Override PartName="/xl/charts/chart22.xml" ContentType="application/vnd.openxmlformats-officedocument.drawingml.chart+xml"/>
  <Override PartName="/xl/theme/themeOverride1.xml" ContentType="application/vnd.openxmlformats-officedocument.themeOverride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theme/themeOverride2.xml" ContentType="application/vnd.openxmlformats-officedocument.themeOverrid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theme/themeOverride4.xml" ContentType="application/vnd.openxmlformats-officedocument.themeOverride+xml"/>
  <Override PartName="/xl/drawings/drawing11.xml" ContentType="application/vnd.openxmlformats-officedocument.drawingml.chartshapes+xml"/>
  <Override PartName="/xl/charts/chart35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ml.chartshapes+xml"/>
  <Override PartName="/xl/charts/chart3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5.xml" ContentType="application/vnd.openxmlformats-officedocument.drawingml.chartshapes+xml"/>
  <Override PartName="/xl/charts/chart47.xml" ContentType="application/vnd.openxmlformats-officedocument.drawingml.chart+xml"/>
  <Override PartName="/xl/theme/themeOverride7.xml" ContentType="application/vnd.openxmlformats-officedocument.themeOverride+xml"/>
  <Override PartName="/xl/drawings/drawing16.xml" ContentType="application/vnd.openxmlformats-officedocument.drawingml.chartshapes+xml"/>
  <Override PartName="/xl/charts/chart4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charts/chart49.xml" ContentType="application/vnd.openxmlformats-officedocument.drawingml.chart+xml"/>
  <Override PartName="/xl/theme/themeOverride9.xml" ContentType="application/vnd.openxmlformats-officedocument.themeOverrid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ahayashi/Documents/GitHub/gyokaikyo/hayashi/"/>
    </mc:Choice>
  </mc:AlternateContent>
  <bookViews>
    <workbookView xWindow="0" yWindow="440" windowWidth="25600" windowHeight="28360" tabRatio="854" activeTab="9"/>
  </bookViews>
  <sheets>
    <sheet name="ウルメイワシ" sheetId="3" r:id="rId1"/>
    <sheet name="マイワシ" sheetId="1" r:id="rId2"/>
    <sheet name="カタクチイワシ" sheetId="2" r:id="rId3"/>
    <sheet name="鹿児島" sheetId="24" r:id="rId4"/>
    <sheet name="熊本" sheetId="25" r:id="rId5"/>
    <sheet name="佐賀" sheetId="23" r:id="rId6"/>
    <sheet name="福岡" sheetId="22" r:id="rId7"/>
    <sheet name="山口" sheetId="21" r:id="rId8"/>
    <sheet name="長崎" sheetId="20" r:id="rId9"/>
    <sheet name="201810漁海況" sheetId="27" r:id="rId10"/>
    <sheet name="201803漁海況" sheetId="19" r:id="rId11"/>
    <sheet name="201710漁海況" sheetId="17" r:id="rId12"/>
    <sheet name="201703漁海況" sheetId="15" r:id="rId13"/>
    <sheet name="201610漁海況" sheetId="16" r:id="rId14"/>
    <sheet name="鹿児島棒受（3種）" sheetId="9" r:id="rId15"/>
    <sheet name="山陰漁況（マイワシ）" sheetId="14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_xlnm.Print_Area" localSheetId="0">ウルメイワシ!$A$1:$N$196</definedName>
    <definedName name="_xlnm.Print_Area" localSheetId="2">カタクチイワシ!$A$1:$N$182</definedName>
    <definedName name="_xlnm.Print_Area" localSheetId="1">マイワシ!$O$184:$T$205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2" i="2" l="1"/>
  <c r="R212" i="2"/>
  <c r="R182" i="2"/>
  <c r="Q182" i="2"/>
  <c r="R152" i="2"/>
  <c r="Q152" i="2"/>
  <c r="R122" i="2"/>
  <c r="Q122" i="2"/>
  <c r="R92" i="2"/>
  <c r="Q92" i="2"/>
  <c r="R62" i="2"/>
  <c r="Q62" i="2"/>
  <c r="R32" i="2"/>
  <c r="Q32" i="2"/>
  <c r="X29" i="27"/>
  <c r="X28" i="27"/>
  <c r="X25" i="27"/>
  <c r="X26" i="27"/>
  <c r="X27" i="27"/>
  <c r="X24" i="27"/>
  <c r="O24" i="27"/>
  <c r="O25" i="27"/>
  <c r="O26" i="27"/>
  <c r="O27" i="27"/>
  <c r="O28" i="27"/>
  <c r="O29" i="27"/>
  <c r="N29" i="27"/>
  <c r="N28" i="27"/>
  <c r="N27" i="27"/>
  <c r="N26" i="27"/>
  <c r="N25" i="27"/>
  <c r="N24" i="27"/>
  <c r="R211" i="2"/>
  <c r="Q211" i="2"/>
  <c r="P211" i="2"/>
  <c r="O211" i="2"/>
  <c r="M211" i="2"/>
  <c r="L211" i="2"/>
  <c r="K211" i="2"/>
  <c r="J211" i="2"/>
  <c r="I211" i="2"/>
  <c r="H211" i="2"/>
  <c r="G211" i="2"/>
  <c r="F211" i="2"/>
  <c r="E211" i="2"/>
  <c r="D211" i="2"/>
  <c r="C211" i="2"/>
  <c r="D24" i="27"/>
  <c r="C29" i="27"/>
  <c r="C28" i="27"/>
  <c r="C27" i="27"/>
  <c r="C26" i="27"/>
  <c r="C25" i="27"/>
  <c r="C24" i="27"/>
  <c r="B29" i="27"/>
  <c r="B28" i="27"/>
  <c r="B27" i="27"/>
  <c r="B26" i="27"/>
  <c r="B25" i="27"/>
  <c r="B24" i="27"/>
  <c r="O137" i="27"/>
  <c r="O30" i="27"/>
  <c r="S30" i="27"/>
  <c r="R30" i="27"/>
  <c r="N30" i="27"/>
  <c r="Q30" i="27"/>
  <c r="P30" i="27"/>
  <c r="B30" i="27"/>
  <c r="D25" i="27"/>
  <c r="D26" i="27"/>
  <c r="D27" i="27"/>
  <c r="D28" i="27"/>
  <c r="D29" i="27"/>
  <c r="D30" i="27"/>
  <c r="L30" i="27"/>
  <c r="C30" i="27"/>
  <c r="K30" i="27"/>
  <c r="J30" i="27"/>
  <c r="I30" i="27"/>
  <c r="H30" i="27"/>
  <c r="G30" i="27"/>
  <c r="F30" i="27"/>
  <c r="E30" i="27"/>
  <c r="S29" i="27"/>
  <c r="R29" i="27"/>
  <c r="Q29" i="27"/>
  <c r="P29" i="27"/>
  <c r="L29" i="27"/>
  <c r="K29" i="27"/>
  <c r="J29" i="27"/>
  <c r="I29" i="27"/>
  <c r="H29" i="27"/>
  <c r="G29" i="27"/>
  <c r="F29" i="27"/>
  <c r="E29" i="27"/>
  <c r="S28" i="27"/>
  <c r="R28" i="27"/>
  <c r="Q28" i="27"/>
  <c r="P28" i="27"/>
  <c r="L28" i="27"/>
  <c r="K28" i="27"/>
  <c r="J28" i="27"/>
  <c r="I28" i="27"/>
  <c r="H28" i="27"/>
  <c r="G28" i="27"/>
  <c r="F28" i="27"/>
  <c r="E28" i="27"/>
  <c r="W27" i="27"/>
  <c r="S27" i="27"/>
  <c r="R27" i="27"/>
  <c r="Q27" i="27"/>
  <c r="P27" i="27"/>
  <c r="L27" i="27"/>
  <c r="K27" i="27"/>
  <c r="J27" i="27"/>
  <c r="I27" i="27"/>
  <c r="H27" i="27"/>
  <c r="G27" i="27"/>
  <c r="F27" i="27"/>
  <c r="E27" i="27"/>
  <c r="W26" i="27"/>
  <c r="S26" i="27"/>
  <c r="R26" i="27"/>
  <c r="Q26" i="27"/>
  <c r="P26" i="27"/>
  <c r="L26" i="27"/>
  <c r="K26" i="27"/>
  <c r="J26" i="27"/>
  <c r="I26" i="27"/>
  <c r="H26" i="27"/>
  <c r="G26" i="27"/>
  <c r="F26" i="27"/>
  <c r="E26" i="27"/>
  <c r="W25" i="27"/>
  <c r="S25" i="27"/>
  <c r="R25" i="27"/>
  <c r="Q25" i="27"/>
  <c r="P25" i="27"/>
  <c r="L25" i="27"/>
  <c r="K25" i="27"/>
  <c r="J25" i="27"/>
  <c r="I25" i="27"/>
  <c r="H25" i="27"/>
  <c r="G25" i="27"/>
  <c r="F25" i="27"/>
  <c r="E25" i="27"/>
  <c r="W24" i="27"/>
  <c r="S24" i="27"/>
  <c r="R24" i="27"/>
  <c r="Q24" i="27"/>
  <c r="P24" i="27"/>
  <c r="L24" i="27"/>
  <c r="K24" i="27"/>
  <c r="J24" i="27"/>
  <c r="I24" i="27"/>
  <c r="H24" i="27"/>
  <c r="G24" i="27"/>
  <c r="F24" i="27"/>
  <c r="E24" i="27"/>
  <c r="B23" i="27"/>
  <c r="O14" i="27"/>
  <c r="O15" i="27"/>
  <c r="O16" i="27"/>
  <c r="O17" i="27"/>
  <c r="O18" i="27"/>
  <c r="O19" i="27"/>
  <c r="O20" i="27"/>
  <c r="S20" i="27"/>
  <c r="R20" i="27"/>
  <c r="N14" i="27"/>
  <c r="N15" i="27"/>
  <c r="N16" i="27"/>
  <c r="N17" i="27"/>
  <c r="N18" i="27"/>
  <c r="N19" i="27"/>
  <c r="N20" i="27"/>
  <c r="Q20" i="27"/>
  <c r="P20" i="27"/>
  <c r="B14" i="27"/>
  <c r="B15" i="27"/>
  <c r="B16" i="27"/>
  <c r="B17" i="27"/>
  <c r="B18" i="27"/>
  <c r="B19" i="27"/>
  <c r="B20" i="27"/>
  <c r="D14" i="27"/>
  <c r="D15" i="27"/>
  <c r="D16" i="27"/>
  <c r="D17" i="27"/>
  <c r="D18" i="27"/>
  <c r="D19" i="27"/>
  <c r="D20" i="27"/>
  <c r="L20" i="27"/>
  <c r="C14" i="27"/>
  <c r="C15" i="27"/>
  <c r="C16" i="27"/>
  <c r="C17" i="27"/>
  <c r="C18" i="27"/>
  <c r="C19" i="27"/>
  <c r="C20" i="27"/>
  <c r="K20" i="27"/>
  <c r="J20" i="27"/>
  <c r="I20" i="27"/>
  <c r="H20" i="27"/>
  <c r="G20" i="27"/>
  <c r="F20" i="27"/>
  <c r="E20" i="27"/>
  <c r="X14" i="27"/>
  <c r="X15" i="27"/>
  <c r="X16" i="27"/>
  <c r="X17" i="27"/>
  <c r="X18" i="27"/>
  <c r="X19" i="27"/>
  <c r="S19" i="27"/>
  <c r="R19" i="27"/>
  <c r="Q19" i="27"/>
  <c r="P19" i="27"/>
  <c r="L19" i="27"/>
  <c r="K19" i="27"/>
  <c r="J19" i="27"/>
  <c r="I19" i="27"/>
  <c r="H19" i="27"/>
  <c r="G19" i="27"/>
  <c r="F19" i="27"/>
  <c r="E19" i="27"/>
  <c r="S18" i="27"/>
  <c r="R18" i="27"/>
  <c r="Q18" i="27"/>
  <c r="P18" i="27"/>
  <c r="L18" i="27"/>
  <c r="K18" i="27"/>
  <c r="J18" i="27"/>
  <c r="I18" i="27"/>
  <c r="H18" i="27"/>
  <c r="G18" i="27"/>
  <c r="F18" i="27"/>
  <c r="E18" i="27"/>
  <c r="W17" i="27"/>
  <c r="S17" i="27"/>
  <c r="R17" i="27"/>
  <c r="Q17" i="27"/>
  <c r="P17" i="27"/>
  <c r="L17" i="27"/>
  <c r="K17" i="27"/>
  <c r="J17" i="27"/>
  <c r="I17" i="27"/>
  <c r="H17" i="27"/>
  <c r="G17" i="27"/>
  <c r="F17" i="27"/>
  <c r="E17" i="27"/>
  <c r="W16" i="27"/>
  <c r="S16" i="27"/>
  <c r="R16" i="27"/>
  <c r="Q16" i="27"/>
  <c r="P16" i="27"/>
  <c r="L16" i="27"/>
  <c r="K16" i="27"/>
  <c r="J16" i="27"/>
  <c r="I16" i="27"/>
  <c r="H16" i="27"/>
  <c r="G16" i="27"/>
  <c r="F16" i="27"/>
  <c r="E16" i="27"/>
  <c r="W15" i="27"/>
  <c r="S15" i="27"/>
  <c r="R15" i="27"/>
  <c r="Q15" i="27"/>
  <c r="P15" i="27"/>
  <c r="L15" i="27"/>
  <c r="K15" i="27"/>
  <c r="J15" i="27"/>
  <c r="I15" i="27"/>
  <c r="H15" i="27"/>
  <c r="G15" i="27"/>
  <c r="F15" i="27"/>
  <c r="E15" i="27"/>
  <c r="W14" i="27"/>
  <c r="S14" i="27"/>
  <c r="R14" i="27"/>
  <c r="Q14" i="27"/>
  <c r="P14" i="27"/>
  <c r="L14" i="27"/>
  <c r="K14" i="27"/>
  <c r="J14" i="27"/>
  <c r="I14" i="27"/>
  <c r="H14" i="27"/>
  <c r="G14" i="27"/>
  <c r="F14" i="27"/>
  <c r="E14" i="27"/>
  <c r="B13" i="27"/>
  <c r="O4" i="27"/>
  <c r="O5" i="27"/>
  <c r="O6" i="27"/>
  <c r="O7" i="27"/>
  <c r="O8" i="27"/>
  <c r="O9" i="27"/>
  <c r="O10" i="27"/>
  <c r="S10" i="27"/>
  <c r="R10" i="27"/>
  <c r="N4" i="27"/>
  <c r="N5" i="27"/>
  <c r="N6" i="27"/>
  <c r="N7" i="27"/>
  <c r="N8" i="27"/>
  <c r="N9" i="27"/>
  <c r="N10" i="27"/>
  <c r="Q10" i="27"/>
  <c r="P10" i="27"/>
  <c r="B4" i="27"/>
  <c r="B5" i="27"/>
  <c r="B6" i="27"/>
  <c r="B7" i="27"/>
  <c r="B8" i="27"/>
  <c r="B9" i="27"/>
  <c r="B10" i="27"/>
  <c r="D4" i="27"/>
  <c r="D5" i="27"/>
  <c r="D6" i="27"/>
  <c r="D7" i="27"/>
  <c r="D8" i="27"/>
  <c r="D9" i="27"/>
  <c r="D10" i="27"/>
  <c r="L10" i="27"/>
  <c r="C4" i="27"/>
  <c r="C5" i="27"/>
  <c r="C6" i="27"/>
  <c r="C7" i="27"/>
  <c r="C8" i="27"/>
  <c r="C9" i="27"/>
  <c r="C10" i="27"/>
  <c r="K10" i="27"/>
  <c r="J10" i="27"/>
  <c r="I10" i="27"/>
  <c r="H10" i="27"/>
  <c r="G10" i="27"/>
  <c r="F10" i="27"/>
  <c r="E10" i="27"/>
  <c r="X4" i="27"/>
  <c r="X5" i="27"/>
  <c r="X6" i="27"/>
  <c r="X7" i="27"/>
  <c r="X8" i="27"/>
  <c r="X9" i="27"/>
  <c r="S9" i="27"/>
  <c r="R9" i="27"/>
  <c r="Q9" i="27"/>
  <c r="P9" i="27"/>
  <c r="L9" i="27"/>
  <c r="K9" i="27"/>
  <c r="J9" i="27"/>
  <c r="I9" i="27"/>
  <c r="H9" i="27"/>
  <c r="G9" i="27"/>
  <c r="F9" i="27"/>
  <c r="E9" i="27"/>
  <c r="S8" i="27"/>
  <c r="R8" i="27"/>
  <c r="Q8" i="27"/>
  <c r="P8" i="27"/>
  <c r="L8" i="27"/>
  <c r="K8" i="27"/>
  <c r="J8" i="27"/>
  <c r="I8" i="27"/>
  <c r="H8" i="27"/>
  <c r="G8" i="27"/>
  <c r="F8" i="27"/>
  <c r="E8" i="27"/>
  <c r="W7" i="27"/>
  <c r="S7" i="27"/>
  <c r="R7" i="27"/>
  <c r="Q7" i="27"/>
  <c r="P7" i="27"/>
  <c r="L7" i="27"/>
  <c r="K7" i="27"/>
  <c r="J7" i="27"/>
  <c r="I7" i="27"/>
  <c r="H7" i="27"/>
  <c r="G7" i="27"/>
  <c r="F7" i="27"/>
  <c r="E7" i="27"/>
  <c r="W6" i="27"/>
  <c r="S6" i="27"/>
  <c r="R6" i="27"/>
  <c r="Q6" i="27"/>
  <c r="P6" i="27"/>
  <c r="L6" i="27"/>
  <c r="K6" i="27"/>
  <c r="J6" i="27"/>
  <c r="I6" i="27"/>
  <c r="H6" i="27"/>
  <c r="G6" i="27"/>
  <c r="F6" i="27"/>
  <c r="E6" i="27"/>
  <c r="W5" i="27"/>
  <c r="S5" i="27"/>
  <c r="R5" i="27"/>
  <c r="Q5" i="27"/>
  <c r="P5" i="27"/>
  <c r="L5" i="27"/>
  <c r="K5" i="27"/>
  <c r="J5" i="27"/>
  <c r="I5" i="27"/>
  <c r="H5" i="27"/>
  <c r="G5" i="27"/>
  <c r="F5" i="27"/>
  <c r="E5" i="27"/>
  <c r="W4" i="27"/>
  <c r="S4" i="27"/>
  <c r="R4" i="27"/>
  <c r="Q4" i="27"/>
  <c r="P4" i="27"/>
  <c r="L4" i="27"/>
  <c r="K4" i="27"/>
  <c r="J4" i="27"/>
  <c r="I4" i="27"/>
  <c r="H4" i="27"/>
  <c r="G4" i="27"/>
  <c r="F4" i="27"/>
  <c r="E4" i="27"/>
  <c r="B3" i="27"/>
  <c r="O2" i="27"/>
  <c r="C2" i="27"/>
  <c r="D2" i="27"/>
  <c r="P181" i="2"/>
  <c r="O181" i="2"/>
  <c r="O151" i="2"/>
  <c r="P151" i="2"/>
  <c r="S35" i="25"/>
  <c r="S36" i="25"/>
  <c r="S40" i="25"/>
  <c r="R35" i="25"/>
  <c r="R36" i="25"/>
  <c r="R40" i="25"/>
  <c r="Q35" i="25"/>
  <c r="Q36" i="25"/>
  <c r="Q40" i="25"/>
  <c r="P35" i="25"/>
  <c r="P36" i="25"/>
  <c r="P40" i="25"/>
  <c r="O35" i="25"/>
  <c r="O36" i="25"/>
  <c r="O40" i="25"/>
  <c r="N28" i="25"/>
  <c r="N35" i="25"/>
  <c r="N36" i="25"/>
  <c r="N40" i="25"/>
  <c r="M28" i="25"/>
  <c r="M35" i="25"/>
  <c r="M36" i="25"/>
  <c r="M40" i="25"/>
  <c r="L35" i="25"/>
  <c r="L36" i="25"/>
  <c r="L40" i="25"/>
  <c r="K35" i="25"/>
  <c r="K36" i="25"/>
  <c r="K40" i="25"/>
  <c r="J35" i="25"/>
  <c r="J36" i="25"/>
  <c r="J40" i="25"/>
  <c r="I35" i="25"/>
  <c r="I36" i="25"/>
  <c r="I40" i="25"/>
  <c r="H35" i="25"/>
  <c r="H36" i="25"/>
  <c r="H40" i="25"/>
  <c r="S34" i="25"/>
  <c r="S39" i="25"/>
  <c r="R34" i="25"/>
  <c r="R39" i="25"/>
  <c r="Q34" i="25"/>
  <c r="Q39" i="25"/>
  <c r="P34" i="25"/>
  <c r="P39" i="25"/>
  <c r="O34" i="25"/>
  <c r="O39" i="25"/>
  <c r="N34" i="25"/>
  <c r="N39" i="25"/>
  <c r="M34" i="25"/>
  <c r="M39" i="25"/>
  <c r="L34" i="25"/>
  <c r="L39" i="25"/>
  <c r="K34" i="25"/>
  <c r="K39" i="25"/>
  <c r="J34" i="25"/>
  <c r="J39" i="25"/>
  <c r="I34" i="25"/>
  <c r="I39" i="25"/>
  <c r="H34" i="25"/>
  <c r="H39" i="25"/>
  <c r="S38" i="25"/>
  <c r="R38" i="25"/>
  <c r="Q38" i="25"/>
  <c r="P38" i="25"/>
  <c r="O38" i="25"/>
  <c r="N38" i="25"/>
  <c r="M38" i="25"/>
  <c r="L38" i="25"/>
  <c r="K38" i="25"/>
  <c r="J38" i="25"/>
  <c r="I38" i="25"/>
  <c r="H38" i="25"/>
  <c r="V28" i="25"/>
  <c r="V29" i="25"/>
  <c r="V30" i="25"/>
  <c r="V31" i="25"/>
  <c r="V32" i="25"/>
  <c r="V35" i="25"/>
  <c r="V36" i="25"/>
  <c r="U28" i="25"/>
  <c r="U29" i="25"/>
  <c r="U30" i="25"/>
  <c r="U31" i="25"/>
  <c r="U32" i="25"/>
  <c r="U35" i="25"/>
  <c r="U36" i="25"/>
  <c r="T28" i="25"/>
  <c r="T29" i="25"/>
  <c r="T30" i="25"/>
  <c r="T31" i="25"/>
  <c r="T32" i="25"/>
  <c r="T35" i="25"/>
  <c r="T36" i="25"/>
  <c r="V34" i="25"/>
  <c r="U34" i="25"/>
  <c r="T34" i="25"/>
  <c r="V27" i="25"/>
  <c r="U27" i="25"/>
  <c r="T27" i="25"/>
  <c r="V26" i="25"/>
  <c r="U26" i="25"/>
  <c r="T26" i="25"/>
  <c r="V25" i="25"/>
  <c r="U25" i="25"/>
  <c r="T25" i="25"/>
  <c r="V24" i="25"/>
  <c r="U24" i="25"/>
  <c r="T24" i="25"/>
  <c r="I23" i="25"/>
  <c r="J23" i="25"/>
  <c r="K23" i="25"/>
  <c r="L23" i="25"/>
  <c r="M23" i="25"/>
  <c r="N23" i="25"/>
  <c r="V23" i="25"/>
  <c r="U23" i="25"/>
  <c r="T23" i="25"/>
  <c r="Q22" i="25"/>
  <c r="V22" i="25"/>
  <c r="U22" i="25"/>
  <c r="T22" i="25"/>
  <c r="V21" i="25"/>
  <c r="U21" i="25"/>
  <c r="T21" i="25"/>
  <c r="V20" i="25"/>
  <c r="U20" i="25"/>
  <c r="T20" i="25"/>
  <c r="V19" i="25"/>
  <c r="U19" i="25"/>
  <c r="T19" i="25"/>
  <c r="V18" i="25"/>
  <c r="U18" i="25"/>
  <c r="T18" i="25"/>
  <c r="J17" i="25"/>
  <c r="K17" i="25"/>
  <c r="L17" i="25"/>
  <c r="M17" i="25"/>
  <c r="V17" i="25"/>
  <c r="U17" i="25"/>
  <c r="T17" i="25"/>
  <c r="V16" i="25"/>
  <c r="U16" i="25"/>
  <c r="T16" i="25"/>
  <c r="V15" i="25"/>
  <c r="U15" i="25"/>
  <c r="T15" i="25"/>
  <c r="V14" i="25"/>
  <c r="U14" i="25"/>
  <c r="T14" i="25"/>
  <c r="V13" i="25"/>
  <c r="U13" i="25"/>
  <c r="T13" i="25"/>
  <c r="V12" i="25"/>
  <c r="U12" i="25"/>
  <c r="T12" i="25"/>
  <c r="V11" i="25"/>
  <c r="U11" i="25"/>
  <c r="T11" i="25"/>
  <c r="V10" i="25"/>
  <c r="U10" i="25"/>
  <c r="T10" i="25"/>
  <c r="V9" i="25"/>
  <c r="U9" i="25"/>
  <c r="T9" i="25"/>
  <c r="V8" i="25"/>
  <c r="U8" i="25"/>
  <c r="T8" i="25"/>
  <c r="V7" i="25"/>
  <c r="U7" i="25"/>
  <c r="T7" i="25"/>
  <c r="V6" i="25"/>
  <c r="U6" i="25"/>
  <c r="T6" i="25"/>
  <c r="V5" i="25"/>
  <c r="U5" i="25"/>
  <c r="T5" i="25"/>
  <c r="V4" i="25"/>
  <c r="U4" i="25"/>
  <c r="T4" i="25"/>
  <c r="R91" i="2"/>
  <c r="Q91" i="2"/>
  <c r="P91" i="2"/>
  <c r="O91" i="2"/>
  <c r="C5" i="23"/>
  <c r="C6" i="23"/>
  <c r="C7" i="23"/>
  <c r="C8" i="23"/>
  <c r="C9" i="23"/>
  <c r="C10" i="23"/>
  <c r="C11" i="23"/>
  <c r="C4" i="23"/>
  <c r="W47" i="23"/>
  <c r="W42" i="23"/>
  <c r="W43" i="23"/>
  <c r="W44" i="23"/>
  <c r="W45" i="23"/>
  <c r="W46" i="23"/>
  <c r="W48" i="23"/>
  <c r="W50" i="23"/>
  <c r="V47" i="23"/>
  <c r="V42" i="23"/>
  <c r="V43" i="23"/>
  <c r="V44" i="23"/>
  <c r="V45" i="23"/>
  <c r="V46" i="23"/>
  <c r="V48" i="23"/>
  <c r="V50" i="23"/>
  <c r="W49" i="23"/>
  <c r="V49" i="23"/>
  <c r="T46" i="23"/>
  <c r="T45" i="23"/>
  <c r="T44" i="23"/>
  <c r="T43" i="23"/>
  <c r="T42" i="23"/>
  <c r="W41" i="23"/>
  <c r="V41" i="23"/>
  <c r="T41" i="23"/>
  <c r="W40" i="23"/>
  <c r="V40" i="23"/>
  <c r="T40" i="23"/>
  <c r="W39" i="23"/>
  <c r="V39" i="23"/>
  <c r="T39" i="23"/>
  <c r="W38" i="23"/>
  <c r="V38" i="23"/>
  <c r="T38" i="23"/>
  <c r="W37" i="23"/>
  <c r="V37" i="23"/>
  <c r="T37" i="23"/>
  <c r="W36" i="23"/>
  <c r="V36" i="23"/>
  <c r="T36" i="23"/>
  <c r="W35" i="23"/>
  <c r="V35" i="23"/>
  <c r="T35" i="23"/>
  <c r="W34" i="23"/>
  <c r="V34" i="23"/>
  <c r="T34" i="23"/>
  <c r="W33" i="23"/>
  <c r="V33" i="23"/>
  <c r="T33" i="23"/>
  <c r="W32" i="23"/>
  <c r="V32" i="23"/>
  <c r="T32" i="23"/>
  <c r="W31" i="23"/>
  <c r="V31" i="23"/>
  <c r="T31" i="23"/>
  <c r="W30" i="23"/>
  <c r="V30" i="23"/>
  <c r="T30" i="23"/>
  <c r="W29" i="23"/>
  <c r="V29" i="23"/>
  <c r="T29" i="23"/>
  <c r="W28" i="23"/>
  <c r="V28" i="23"/>
  <c r="T28" i="23"/>
  <c r="W27" i="23"/>
  <c r="V27" i="23"/>
  <c r="T27" i="23"/>
  <c r="W26" i="23"/>
  <c r="V26" i="23"/>
  <c r="T26" i="23"/>
  <c r="W25" i="23"/>
  <c r="V25" i="23"/>
  <c r="T25" i="23"/>
  <c r="W24" i="23"/>
  <c r="V24" i="23"/>
  <c r="T24" i="23"/>
  <c r="W23" i="23"/>
  <c r="V23" i="23"/>
  <c r="T23" i="23"/>
  <c r="W22" i="23"/>
  <c r="V22" i="23"/>
  <c r="T22" i="23"/>
  <c r="W21" i="23"/>
  <c r="V21" i="23"/>
  <c r="T21" i="23"/>
  <c r="W20" i="23"/>
  <c r="V20" i="23"/>
  <c r="T20" i="23"/>
  <c r="W19" i="23"/>
  <c r="V19" i="23"/>
  <c r="T19" i="23"/>
  <c r="W18" i="23"/>
  <c r="V18" i="23"/>
  <c r="T18" i="23"/>
  <c r="W17" i="23"/>
  <c r="V17" i="23"/>
  <c r="T17" i="23"/>
  <c r="W16" i="23"/>
  <c r="V16" i="23"/>
  <c r="T16" i="23"/>
  <c r="W15" i="23"/>
  <c r="V15" i="23"/>
  <c r="T15" i="23"/>
  <c r="W14" i="23"/>
  <c r="V14" i="23"/>
  <c r="T14" i="23"/>
  <c r="W13" i="23"/>
  <c r="V13" i="23"/>
  <c r="T13" i="23"/>
  <c r="W12" i="23"/>
  <c r="V12" i="23"/>
  <c r="T12" i="23"/>
  <c r="W11" i="23"/>
  <c r="V11" i="23"/>
  <c r="T11" i="23"/>
  <c r="W10" i="23"/>
  <c r="V10" i="23"/>
  <c r="T10" i="23"/>
  <c r="W9" i="23"/>
  <c r="V9" i="23"/>
  <c r="T9" i="23"/>
  <c r="W8" i="23"/>
  <c r="V8" i="23"/>
  <c r="T8" i="23"/>
  <c r="W7" i="23"/>
  <c r="V7" i="23"/>
  <c r="T7" i="23"/>
  <c r="W6" i="23"/>
  <c r="V6" i="23"/>
  <c r="T6" i="23"/>
  <c r="W5" i="23"/>
  <c r="V5" i="23"/>
  <c r="T5" i="23"/>
  <c r="T4" i="23"/>
  <c r="C7" i="22"/>
  <c r="C8" i="22"/>
  <c r="C9" i="22"/>
  <c r="C10" i="22"/>
  <c r="C11" i="22"/>
  <c r="C12" i="22"/>
  <c r="C13" i="22"/>
  <c r="C6" i="22"/>
  <c r="P61" i="2"/>
  <c r="O61" i="2"/>
  <c r="J19" i="22"/>
  <c r="I19" i="22"/>
  <c r="H19" i="22"/>
  <c r="J6" i="22"/>
  <c r="I6" i="22"/>
  <c r="H6" i="22"/>
  <c r="O122" i="2"/>
  <c r="O32" i="2"/>
  <c r="P32" i="2"/>
  <c r="R31" i="2"/>
  <c r="Q31" i="2"/>
  <c r="P31" i="2"/>
  <c r="O31" i="2"/>
  <c r="C19" i="21"/>
  <c r="C8" i="21"/>
  <c r="C9" i="21"/>
  <c r="C10" i="21"/>
  <c r="C11" i="21"/>
  <c r="C12" i="21"/>
  <c r="C13" i="21"/>
  <c r="C14" i="21"/>
  <c r="C7" i="21"/>
  <c r="B14" i="21"/>
  <c r="B13" i="21"/>
  <c r="B12" i="21"/>
  <c r="B11" i="21"/>
  <c r="B10" i="21"/>
  <c r="B9" i="21"/>
  <c r="B8" i="21"/>
  <c r="B7" i="21"/>
  <c r="T8" i="21"/>
  <c r="T11" i="21"/>
  <c r="T14" i="21"/>
  <c r="T17" i="21"/>
  <c r="T20" i="21"/>
  <c r="T23" i="21"/>
  <c r="T24" i="21"/>
  <c r="T25" i="21"/>
  <c r="T26" i="21"/>
  <c r="T27" i="21"/>
  <c r="T28" i="21"/>
  <c r="AD43" i="21"/>
  <c r="AC43" i="21"/>
  <c r="AB43" i="21"/>
  <c r="AA43" i="21"/>
  <c r="Z43" i="21"/>
  <c r="Y25" i="21"/>
  <c r="Y28" i="21"/>
  <c r="Y43" i="21"/>
  <c r="X43" i="21"/>
  <c r="W43" i="21"/>
  <c r="V43" i="21"/>
  <c r="U43" i="21"/>
  <c r="T31" i="21"/>
  <c r="T34" i="21"/>
  <c r="T37" i="21"/>
  <c r="T40" i="21"/>
  <c r="T43" i="21"/>
  <c r="S43" i="21"/>
  <c r="R43" i="21"/>
  <c r="Q43" i="21"/>
  <c r="P19" i="21"/>
  <c r="P22" i="21"/>
  <c r="P25" i="21"/>
  <c r="P43" i="21"/>
  <c r="O43" i="21"/>
  <c r="N43" i="21"/>
  <c r="M43" i="21"/>
  <c r="L43" i="21"/>
  <c r="K43" i="21"/>
  <c r="J43" i="21"/>
  <c r="I25" i="21"/>
  <c r="I28" i="21"/>
  <c r="I43" i="21"/>
  <c r="H43" i="21"/>
  <c r="G43" i="21"/>
  <c r="AD42" i="21"/>
  <c r="AC42" i="21"/>
  <c r="AB42" i="21"/>
  <c r="AA42" i="21"/>
  <c r="Z42" i="21"/>
  <c r="Y24" i="21"/>
  <c r="Y27" i="21"/>
  <c r="Y42" i="21"/>
  <c r="X42" i="21"/>
  <c r="W42" i="21"/>
  <c r="V42" i="21"/>
  <c r="U42" i="21"/>
  <c r="T30" i="21"/>
  <c r="T33" i="21"/>
  <c r="T36" i="21"/>
  <c r="T39" i="21"/>
  <c r="T42" i="21"/>
  <c r="S42" i="21"/>
  <c r="R42" i="21"/>
  <c r="Q42" i="21"/>
  <c r="P18" i="21"/>
  <c r="P21" i="21"/>
  <c r="P24" i="21"/>
  <c r="P42" i="21"/>
  <c r="O42" i="21"/>
  <c r="N42" i="21"/>
  <c r="M42" i="21"/>
  <c r="L42" i="21"/>
  <c r="K42" i="21"/>
  <c r="J42" i="21"/>
  <c r="I24" i="21"/>
  <c r="I27" i="21"/>
  <c r="I42" i="21"/>
  <c r="H42" i="21"/>
  <c r="G42" i="21"/>
  <c r="AD41" i="21"/>
  <c r="AC41" i="21"/>
  <c r="AB5" i="21"/>
  <c r="AB8" i="21"/>
  <c r="AB11" i="21"/>
  <c r="AB14" i="21"/>
  <c r="AB17" i="21"/>
  <c r="AB20" i="21"/>
  <c r="AB23" i="21"/>
  <c r="AB26" i="21"/>
  <c r="AB29" i="21"/>
  <c r="AB32" i="21"/>
  <c r="AB35" i="21"/>
  <c r="AB38" i="21"/>
  <c r="AB41" i="21"/>
  <c r="AA5" i="21"/>
  <c r="AA8" i="21"/>
  <c r="AA11" i="21"/>
  <c r="AA14" i="21"/>
  <c r="AA17" i="21"/>
  <c r="AA20" i="21"/>
  <c r="AA23" i="21"/>
  <c r="AA26" i="21"/>
  <c r="AA29" i="21"/>
  <c r="AA32" i="21"/>
  <c r="AA35" i="21"/>
  <c r="AA38" i="21"/>
  <c r="AA41" i="21"/>
  <c r="Z5" i="21"/>
  <c r="Z8" i="21"/>
  <c r="Z11" i="21"/>
  <c r="Z14" i="21"/>
  <c r="Z17" i="21"/>
  <c r="Z20" i="21"/>
  <c r="Z23" i="21"/>
  <c r="Z26" i="21"/>
  <c r="Z29" i="21"/>
  <c r="Z32" i="21"/>
  <c r="Z35" i="21"/>
  <c r="Z38" i="21"/>
  <c r="Z41" i="21"/>
  <c r="Y5" i="21"/>
  <c r="Y8" i="21"/>
  <c r="Y11" i="21"/>
  <c r="Y14" i="21"/>
  <c r="Y17" i="21"/>
  <c r="Y20" i="21"/>
  <c r="Y23" i="21"/>
  <c r="Y26" i="21"/>
  <c r="Y29" i="21"/>
  <c r="Y32" i="21"/>
  <c r="Y35" i="21"/>
  <c r="Y38" i="21"/>
  <c r="Y41" i="21"/>
  <c r="X5" i="21"/>
  <c r="X8" i="21"/>
  <c r="X11" i="21"/>
  <c r="X14" i="21"/>
  <c r="X17" i="21"/>
  <c r="X20" i="21"/>
  <c r="X23" i="21"/>
  <c r="X26" i="21"/>
  <c r="X29" i="21"/>
  <c r="X32" i="21"/>
  <c r="X35" i="21"/>
  <c r="X38" i="21"/>
  <c r="X41" i="21"/>
  <c r="W5" i="21"/>
  <c r="W8" i="21"/>
  <c r="W11" i="21"/>
  <c r="W14" i="21"/>
  <c r="W17" i="21"/>
  <c r="W20" i="21"/>
  <c r="W23" i="21"/>
  <c r="W26" i="21"/>
  <c r="W29" i="21"/>
  <c r="W32" i="21"/>
  <c r="W35" i="21"/>
  <c r="W38" i="21"/>
  <c r="W41" i="21"/>
  <c r="V5" i="21"/>
  <c r="V8" i="21"/>
  <c r="V11" i="21"/>
  <c r="V14" i="21"/>
  <c r="V17" i="21"/>
  <c r="V20" i="21"/>
  <c r="V23" i="21"/>
  <c r="V26" i="21"/>
  <c r="V29" i="21"/>
  <c r="V32" i="21"/>
  <c r="V35" i="21"/>
  <c r="V38" i="21"/>
  <c r="V41" i="21"/>
  <c r="U5" i="21"/>
  <c r="U8" i="21"/>
  <c r="U11" i="21"/>
  <c r="U14" i="21"/>
  <c r="U17" i="21"/>
  <c r="U20" i="21"/>
  <c r="U23" i="21"/>
  <c r="U26" i="21"/>
  <c r="U29" i="21"/>
  <c r="U32" i="21"/>
  <c r="U35" i="21"/>
  <c r="U38" i="21"/>
  <c r="U41" i="21"/>
  <c r="T5" i="21"/>
  <c r="T29" i="21"/>
  <c r="T32" i="21"/>
  <c r="T35" i="21"/>
  <c r="T38" i="21"/>
  <c r="T41" i="21"/>
  <c r="S17" i="21"/>
  <c r="S20" i="21"/>
  <c r="S23" i="21"/>
  <c r="S26" i="21"/>
  <c r="S29" i="21"/>
  <c r="S32" i="21"/>
  <c r="S35" i="21"/>
  <c r="S38" i="21"/>
  <c r="S41" i="21"/>
  <c r="R17" i="21"/>
  <c r="R20" i="21"/>
  <c r="R23" i="21"/>
  <c r="R26" i="21"/>
  <c r="R29" i="21"/>
  <c r="R32" i="21"/>
  <c r="R35" i="21"/>
  <c r="R38" i="21"/>
  <c r="R41" i="21"/>
  <c r="Q17" i="21"/>
  <c r="Q20" i="21"/>
  <c r="Q23" i="21"/>
  <c r="Q26" i="21"/>
  <c r="Q29" i="21"/>
  <c r="Q32" i="21"/>
  <c r="Q35" i="21"/>
  <c r="Q38" i="21"/>
  <c r="Q41" i="21"/>
  <c r="P17" i="21"/>
  <c r="P20" i="21"/>
  <c r="P23" i="21"/>
  <c r="P26" i="21"/>
  <c r="P29" i="21"/>
  <c r="P32" i="21"/>
  <c r="P35" i="21"/>
  <c r="P38" i="21"/>
  <c r="P41" i="21"/>
  <c r="O41" i="21"/>
  <c r="N41" i="21"/>
  <c r="M41" i="21"/>
  <c r="L23" i="21"/>
  <c r="L26" i="21"/>
  <c r="L41" i="21"/>
  <c r="K23" i="21"/>
  <c r="K26" i="21"/>
  <c r="K41" i="21"/>
  <c r="J23" i="21"/>
  <c r="J26" i="21"/>
  <c r="J41" i="21"/>
  <c r="I23" i="21"/>
  <c r="I26" i="21"/>
  <c r="I41" i="21"/>
  <c r="H41" i="21"/>
  <c r="G11" i="21"/>
  <c r="G14" i="21"/>
  <c r="G17" i="21"/>
  <c r="G20" i="21"/>
  <c r="G23" i="21"/>
  <c r="G26" i="21"/>
  <c r="G29" i="21"/>
  <c r="G32" i="21"/>
  <c r="G35" i="21"/>
  <c r="G38" i="21"/>
  <c r="G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R121" i="2"/>
  <c r="Q121" i="2"/>
  <c r="P121" i="2"/>
  <c r="O121" i="2"/>
  <c r="B4" i="20"/>
  <c r="B5" i="20"/>
  <c r="B6" i="20"/>
  <c r="B7" i="20"/>
  <c r="B8" i="20"/>
  <c r="B9" i="20"/>
  <c r="B10" i="20"/>
  <c r="B3" i="20"/>
  <c r="E3" i="20"/>
  <c r="E124" i="20"/>
  <c r="E123" i="20"/>
  <c r="E122" i="20"/>
  <c r="E121" i="20"/>
  <c r="E120" i="20"/>
  <c r="E119" i="20"/>
  <c r="E118" i="20"/>
  <c r="E117" i="20"/>
  <c r="E116" i="20"/>
  <c r="E115" i="20"/>
  <c r="AA146" i="20"/>
  <c r="K142" i="20"/>
  <c r="J146" i="20"/>
  <c r="K131" i="20"/>
  <c r="O131" i="20"/>
  <c r="S131" i="20"/>
  <c r="W131" i="20"/>
  <c r="W142" i="20"/>
  <c r="S140" i="20"/>
  <c r="S145" i="20"/>
  <c r="U142" i="20"/>
  <c r="U144" i="20"/>
  <c r="I144" i="20"/>
  <c r="U141" i="20"/>
  <c r="U143" i="20"/>
  <c r="I143" i="20"/>
  <c r="S139" i="20"/>
  <c r="S142" i="20"/>
  <c r="W140" i="20"/>
  <c r="V135" i="20"/>
  <c r="R135" i="20"/>
  <c r="N135" i="20"/>
  <c r="J135" i="20"/>
  <c r="U133" i="20"/>
  <c r="Q133" i="20"/>
  <c r="M133" i="20"/>
  <c r="I133" i="20"/>
  <c r="U132" i="20"/>
  <c r="Q132" i="20"/>
  <c r="M132" i="20"/>
  <c r="I132" i="20"/>
  <c r="O120" i="20"/>
  <c r="N124" i="20"/>
  <c r="K120" i="20"/>
  <c r="J124" i="20"/>
  <c r="M122" i="20"/>
  <c r="I122" i="20"/>
  <c r="M121" i="20"/>
  <c r="I121" i="20"/>
  <c r="E87" i="20"/>
  <c r="E86" i="20"/>
  <c r="E12" i="20"/>
  <c r="E11" i="20"/>
  <c r="E85" i="20"/>
  <c r="E84" i="20"/>
  <c r="E83" i="20"/>
  <c r="E82" i="20"/>
  <c r="E81" i="20"/>
  <c r="E80" i="20"/>
  <c r="E79" i="20"/>
  <c r="E78" i="20"/>
  <c r="AA109" i="20"/>
  <c r="J109" i="20"/>
  <c r="W105" i="20"/>
  <c r="S103" i="20"/>
  <c r="S108" i="20"/>
  <c r="U107" i="20"/>
  <c r="M107" i="20"/>
  <c r="I107" i="20"/>
  <c r="U106" i="20"/>
  <c r="M106" i="20"/>
  <c r="I106" i="20"/>
  <c r="S102" i="20"/>
  <c r="S105" i="20"/>
  <c r="V98" i="20"/>
  <c r="R98" i="20"/>
  <c r="N98" i="20"/>
  <c r="J98" i="20"/>
  <c r="U96" i="20"/>
  <c r="M96" i="20"/>
  <c r="I96" i="20"/>
  <c r="U95" i="20"/>
  <c r="M95" i="20"/>
  <c r="I95" i="20"/>
  <c r="N87" i="20"/>
  <c r="J87" i="20"/>
  <c r="M85" i="20"/>
  <c r="I85" i="20"/>
  <c r="M84" i="20"/>
  <c r="I84" i="20"/>
  <c r="J7" i="20"/>
  <c r="K7" i="20"/>
  <c r="K9" i="20"/>
  <c r="M7" i="20"/>
  <c r="N7" i="20"/>
  <c r="O7" i="20"/>
  <c r="O9" i="20"/>
  <c r="E4" i="20"/>
  <c r="I18" i="20"/>
  <c r="J18" i="20"/>
  <c r="K18" i="20"/>
  <c r="K20" i="20"/>
  <c r="E5" i="20"/>
  <c r="N18" i="20"/>
  <c r="O18" i="20"/>
  <c r="P18" i="20"/>
  <c r="O20" i="20"/>
  <c r="E6" i="20"/>
  <c r="R18" i="20"/>
  <c r="S18" i="20"/>
  <c r="T18" i="20"/>
  <c r="S20" i="20"/>
  <c r="E7" i="20"/>
  <c r="U18" i="20"/>
  <c r="V18" i="20"/>
  <c r="W18" i="20"/>
  <c r="X18" i="20"/>
  <c r="W20" i="20"/>
  <c r="E8" i="20"/>
  <c r="I8" i="20"/>
  <c r="M8" i="20"/>
  <c r="J29" i="20"/>
  <c r="K29" i="20"/>
  <c r="L29" i="20"/>
  <c r="K31" i="20"/>
  <c r="E9" i="20"/>
  <c r="I9" i="20"/>
  <c r="M9" i="20"/>
  <c r="O31" i="20"/>
  <c r="E10" i="20"/>
  <c r="I10" i="20"/>
  <c r="M10" i="20"/>
  <c r="I11" i="20"/>
  <c r="M11" i="20"/>
  <c r="J13" i="20"/>
  <c r="N13" i="20"/>
  <c r="I19" i="20"/>
  <c r="M19" i="20"/>
  <c r="U19" i="20"/>
  <c r="I20" i="20"/>
  <c r="M20" i="20"/>
  <c r="Q20" i="20"/>
  <c r="I21" i="20"/>
  <c r="M21" i="20"/>
  <c r="Q21" i="20"/>
  <c r="U21" i="20"/>
  <c r="I22" i="20"/>
  <c r="M22" i="20"/>
  <c r="Q22" i="20"/>
  <c r="U22" i="20"/>
  <c r="J24" i="20"/>
  <c r="N24" i="20"/>
  <c r="R24" i="20"/>
  <c r="V24" i="20"/>
  <c r="S28" i="20"/>
  <c r="AA35" i="20"/>
  <c r="S29" i="20"/>
  <c r="U29" i="20"/>
  <c r="V29" i="20"/>
  <c r="W29" i="20"/>
  <c r="X29" i="20"/>
  <c r="U30" i="20"/>
  <c r="I31" i="20"/>
  <c r="W31" i="20"/>
  <c r="S31" i="20"/>
  <c r="U31" i="20"/>
  <c r="I32" i="20"/>
  <c r="M32" i="20"/>
  <c r="U32" i="20"/>
  <c r="I33" i="20"/>
  <c r="M33" i="20"/>
  <c r="U33" i="20"/>
  <c r="S34" i="20"/>
  <c r="J35" i="20"/>
  <c r="O35" i="20"/>
  <c r="K46" i="20"/>
  <c r="E41" i="20"/>
  <c r="O46" i="20"/>
  <c r="E42" i="20"/>
  <c r="K57" i="20"/>
  <c r="E43" i="20"/>
  <c r="O57" i="20"/>
  <c r="E44" i="20"/>
  <c r="S57" i="20"/>
  <c r="E45" i="20"/>
  <c r="W57" i="20"/>
  <c r="E46" i="20"/>
  <c r="K68" i="20"/>
  <c r="E47" i="20"/>
  <c r="I47" i="20"/>
  <c r="M47" i="20"/>
  <c r="E48" i="20"/>
  <c r="I48" i="20"/>
  <c r="M48" i="20"/>
  <c r="I58" i="20"/>
  <c r="M58" i="20"/>
  <c r="Q58" i="20"/>
  <c r="U58" i="20"/>
  <c r="I59" i="20"/>
  <c r="M59" i="20"/>
  <c r="Q59" i="20"/>
  <c r="U59" i="20"/>
  <c r="S65" i="20"/>
  <c r="AA72" i="20"/>
  <c r="S66" i="20"/>
  <c r="U66" i="20"/>
  <c r="V66" i="20"/>
  <c r="W66" i="20"/>
  <c r="X66" i="20"/>
  <c r="U67" i="20"/>
  <c r="W68" i="20"/>
  <c r="S68" i="20"/>
  <c r="U68" i="20"/>
  <c r="I69" i="20"/>
  <c r="M69" i="20"/>
  <c r="U69" i="20"/>
  <c r="I70" i="20"/>
  <c r="M70" i="20"/>
  <c r="U70" i="20"/>
  <c r="S71" i="20"/>
  <c r="P150" i="1"/>
  <c r="P149" i="1"/>
  <c r="N8" i="15"/>
  <c r="N180" i="2"/>
  <c r="J210" i="3"/>
  <c r="P120" i="3"/>
  <c r="N17" i="19"/>
  <c r="P150" i="2"/>
  <c r="N28" i="19"/>
  <c r="P180" i="1"/>
  <c r="P179" i="1"/>
  <c r="N15" i="19"/>
  <c r="N9" i="19"/>
  <c r="N8" i="19"/>
  <c r="N6" i="19"/>
  <c r="W27" i="17"/>
  <c r="W26" i="17"/>
  <c r="W25" i="17"/>
  <c r="W24" i="17"/>
  <c r="W17" i="17"/>
  <c r="W16" i="17"/>
  <c r="W15" i="17"/>
  <c r="W14" i="17"/>
  <c r="W7" i="17"/>
  <c r="W6" i="17"/>
  <c r="W5" i="17"/>
  <c r="W4" i="17"/>
  <c r="B23" i="17"/>
  <c r="B13" i="17"/>
  <c r="B3" i="17"/>
  <c r="O2" i="17"/>
  <c r="C2" i="17"/>
  <c r="D2" i="17"/>
  <c r="B23" i="19"/>
  <c r="B13" i="19"/>
  <c r="B3" i="19"/>
  <c r="W27" i="19"/>
  <c r="W26" i="19"/>
  <c r="W25" i="19"/>
  <c r="W24" i="19"/>
  <c r="W7" i="19"/>
  <c r="W6" i="19"/>
  <c r="W5" i="19"/>
  <c r="W4" i="19"/>
  <c r="W16" i="19"/>
  <c r="W17" i="19"/>
  <c r="W15" i="19"/>
  <c r="W14" i="19"/>
  <c r="O2" i="19"/>
  <c r="C2" i="19"/>
  <c r="D2" i="19"/>
  <c r="N9" i="15"/>
  <c r="N18" i="15"/>
  <c r="P18" i="15"/>
  <c r="B211" i="3"/>
  <c r="N211" i="3"/>
  <c r="M210" i="3"/>
  <c r="L210" i="3"/>
  <c r="Q210" i="3"/>
  <c r="K210" i="3"/>
  <c r="M210" i="2"/>
  <c r="L210" i="2"/>
  <c r="K210" i="2"/>
  <c r="J210" i="2"/>
  <c r="B211" i="2"/>
  <c r="M210" i="1"/>
  <c r="L210" i="1"/>
  <c r="K210" i="1"/>
  <c r="J210" i="1"/>
  <c r="B211" i="1"/>
  <c r="Q210" i="1"/>
  <c r="B210" i="1"/>
  <c r="Q180" i="2"/>
  <c r="B29" i="19"/>
  <c r="Q180" i="3"/>
  <c r="B19" i="19"/>
  <c r="N181" i="3"/>
  <c r="R180" i="3"/>
  <c r="N180" i="3"/>
  <c r="R180" i="2"/>
  <c r="N181" i="2"/>
  <c r="Q180" i="1"/>
  <c r="B9" i="19"/>
  <c r="S180" i="1"/>
  <c r="R180" i="1"/>
  <c r="N180" i="1"/>
  <c r="N181" i="1"/>
  <c r="B8" i="19"/>
  <c r="Q150" i="3"/>
  <c r="B18" i="19"/>
  <c r="R150" i="3"/>
  <c r="N150" i="3"/>
  <c r="N151" i="3"/>
  <c r="R150" i="2"/>
  <c r="Q150" i="2"/>
  <c r="B28" i="19"/>
  <c r="N150" i="2"/>
  <c r="N151" i="2"/>
  <c r="Q145" i="1"/>
  <c r="Q150" i="1"/>
  <c r="S150" i="1"/>
  <c r="R150" i="1"/>
  <c r="N151" i="1"/>
  <c r="N150" i="1"/>
  <c r="C27" i="19"/>
  <c r="B17" i="19"/>
  <c r="Q119" i="1"/>
  <c r="C7" i="19"/>
  <c r="Q120" i="1"/>
  <c r="B7" i="19"/>
  <c r="R120" i="3"/>
  <c r="Q120" i="3"/>
  <c r="N121" i="3"/>
  <c r="N120" i="3"/>
  <c r="N119" i="3"/>
  <c r="Q120" i="2"/>
  <c r="B27" i="19"/>
  <c r="R120" i="2"/>
  <c r="N120" i="2"/>
  <c r="N121" i="2"/>
  <c r="S120" i="1"/>
  <c r="N120" i="1"/>
  <c r="S115" i="1"/>
  <c r="S116" i="1"/>
  <c r="S117" i="1"/>
  <c r="S118" i="1"/>
  <c r="S119" i="1"/>
  <c r="N7" i="17"/>
  <c r="R115" i="1"/>
  <c r="Q115" i="1"/>
  <c r="Q116" i="1"/>
  <c r="Q117" i="1"/>
  <c r="Q118" i="1"/>
  <c r="R120" i="1"/>
  <c r="N121" i="1"/>
  <c r="Q60" i="3"/>
  <c r="B15" i="19"/>
  <c r="Q59" i="3"/>
  <c r="C15" i="19"/>
  <c r="Q29" i="3"/>
  <c r="C14" i="19"/>
  <c r="E14" i="19"/>
  <c r="Q89" i="3"/>
  <c r="C16" i="19"/>
  <c r="K16" i="19"/>
  <c r="E16" i="19"/>
  <c r="Q90" i="3"/>
  <c r="B16" i="19"/>
  <c r="Q89" i="1"/>
  <c r="R85" i="3"/>
  <c r="R86" i="3"/>
  <c r="R87" i="3"/>
  <c r="R88" i="3"/>
  <c r="Q85" i="3"/>
  <c r="Q86" i="3"/>
  <c r="Q92" i="3"/>
  <c r="Q87" i="3"/>
  <c r="Q88" i="3"/>
  <c r="R90" i="3"/>
  <c r="N91" i="3"/>
  <c r="N90" i="3"/>
  <c r="R85" i="2"/>
  <c r="R86" i="2"/>
  <c r="R87" i="2"/>
  <c r="R88" i="2"/>
  <c r="R89" i="2"/>
  <c r="N26" i="17"/>
  <c r="R90" i="2"/>
  <c r="Q90" i="2"/>
  <c r="B26" i="19"/>
  <c r="N90" i="2"/>
  <c r="N91" i="2"/>
  <c r="Q90" i="1"/>
  <c r="B6" i="19"/>
  <c r="R90" i="1"/>
  <c r="S90" i="1"/>
  <c r="S89" i="1"/>
  <c r="N90" i="1"/>
  <c r="N89" i="1"/>
  <c r="N91" i="1"/>
  <c r="Q60" i="2"/>
  <c r="B25" i="19"/>
  <c r="Q59" i="2"/>
  <c r="C25" i="19"/>
  <c r="Q55" i="3"/>
  <c r="Q56" i="3"/>
  <c r="Q62" i="3"/>
  <c r="Q57" i="3"/>
  <c r="Q58" i="3"/>
  <c r="D15" i="19"/>
  <c r="J15" i="19"/>
  <c r="Q29" i="1"/>
  <c r="B4" i="15"/>
  <c r="C4" i="19"/>
  <c r="E4" i="19"/>
  <c r="H4" i="19"/>
  <c r="R30" i="1"/>
  <c r="Q30" i="1"/>
  <c r="B4" i="19"/>
  <c r="Q55" i="1"/>
  <c r="Q56" i="1"/>
  <c r="Q57" i="1"/>
  <c r="Q58" i="1"/>
  <c r="C5" i="15"/>
  <c r="G5" i="15"/>
  <c r="Q59" i="1"/>
  <c r="Q60" i="1"/>
  <c r="B5" i="19"/>
  <c r="Q25" i="1"/>
  <c r="Q26" i="1"/>
  <c r="Q27" i="1"/>
  <c r="Q28" i="1"/>
  <c r="C4" i="15"/>
  <c r="H4" i="15"/>
  <c r="R55" i="3"/>
  <c r="R56" i="3"/>
  <c r="R57" i="3"/>
  <c r="R58" i="3"/>
  <c r="P55" i="3"/>
  <c r="P56" i="3"/>
  <c r="P57" i="3"/>
  <c r="P62" i="3"/>
  <c r="P58" i="3"/>
  <c r="P59" i="3"/>
  <c r="N15" i="15"/>
  <c r="Q15" i="15"/>
  <c r="P60" i="3"/>
  <c r="R59" i="3"/>
  <c r="R60" i="3"/>
  <c r="N60" i="3"/>
  <c r="N59" i="3"/>
  <c r="R60" i="2"/>
  <c r="N61" i="2"/>
  <c r="N60" i="2"/>
  <c r="S60" i="1"/>
  <c r="S55" i="1"/>
  <c r="S56" i="1"/>
  <c r="S57" i="1"/>
  <c r="S58" i="1"/>
  <c r="S59" i="1"/>
  <c r="N5" i="17"/>
  <c r="Q5" i="17"/>
  <c r="R55" i="1"/>
  <c r="R56" i="1"/>
  <c r="R57" i="1"/>
  <c r="R58" i="1"/>
  <c r="R59" i="1"/>
  <c r="R60" i="1"/>
  <c r="P60" i="1"/>
  <c r="N5" i="19"/>
  <c r="P59" i="1"/>
  <c r="N5" i="15"/>
  <c r="P5" i="15"/>
  <c r="N61" i="1"/>
  <c r="N60" i="1"/>
  <c r="P55" i="1"/>
  <c r="O55" i="1"/>
  <c r="Q25" i="3"/>
  <c r="Q26" i="3"/>
  <c r="Q27" i="3"/>
  <c r="Q28" i="3"/>
  <c r="O25" i="3"/>
  <c r="O26" i="3"/>
  <c r="O32" i="3"/>
  <c r="D14" i="16"/>
  <c r="L14" i="16"/>
  <c r="O27" i="3"/>
  <c r="O28" i="3"/>
  <c r="O29" i="3"/>
  <c r="R25" i="1"/>
  <c r="R26" i="1"/>
  <c r="R27" i="1"/>
  <c r="R28" i="1"/>
  <c r="R29" i="1"/>
  <c r="R32" i="1"/>
  <c r="O25" i="1"/>
  <c r="O27" i="1"/>
  <c r="O28" i="1"/>
  <c r="C4" i="16"/>
  <c r="O29" i="1"/>
  <c r="Q29" i="2"/>
  <c r="C24" i="19"/>
  <c r="Q30" i="2"/>
  <c r="B24" i="19"/>
  <c r="Q30" i="3"/>
  <c r="B14" i="19"/>
  <c r="R30" i="3"/>
  <c r="R25" i="3"/>
  <c r="R26" i="3"/>
  <c r="N30" i="3"/>
  <c r="R25" i="2"/>
  <c r="R26" i="2"/>
  <c r="R27" i="2"/>
  <c r="R28" i="2"/>
  <c r="N24" i="16"/>
  <c r="Q25" i="2"/>
  <c r="Q26" i="2"/>
  <c r="Q27" i="2"/>
  <c r="Q28" i="2"/>
  <c r="C24" i="15"/>
  <c r="R30" i="2"/>
  <c r="P30" i="2"/>
  <c r="N24" i="19"/>
  <c r="N31" i="2"/>
  <c r="N30" i="2"/>
  <c r="S25" i="1"/>
  <c r="P25" i="1"/>
  <c r="S30" i="1"/>
  <c r="N31" i="1"/>
  <c r="N30" i="1"/>
  <c r="O137" i="19"/>
  <c r="P25" i="2"/>
  <c r="P26" i="2"/>
  <c r="P27" i="2"/>
  <c r="P28" i="2"/>
  <c r="P29" i="2"/>
  <c r="N24" i="15"/>
  <c r="P24" i="15"/>
  <c r="P55" i="2"/>
  <c r="P85" i="2"/>
  <c r="P86" i="2"/>
  <c r="P87" i="2"/>
  <c r="P88" i="2"/>
  <c r="P89" i="2"/>
  <c r="N26" i="15"/>
  <c r="Q26" i="15"/>
  <c r="P116" i="2"/>
  <c r="P117" i="2"/>
  <c r="P118" i="2"/>
  <c r="P119" i="2"/>
  <c r="N27" i="15"/>
  <c r="Q27" i="15"/>
  <c r="P145" i="2"/>
  <c r="P146" i="2"/>
  <c r="P147" i="2"/>
  <c r="P148" i="2"/>
  <c r="P149" i="2"/>
  <c r="N28" i="15"/>
  <c r="P28" i="15"/>
  <c r="P175" i="2"/>
  <c r="P176" i="2"/>
  <c r="P177" i="2"/>
  <c r="P178" i="2"/>
  <c r="P179" i="2"/>
  <c r="N29" i="15"/>
  <c r="Q119" i="2"/>
  <c r="Q55" i="2"/>
  <c r="D25" i="19"/>
  <c r="J25" i="19"/>
  <c r="Q56" i="2"/>
  <c r="Q57" i="2"/>
  <c r="Q58" i="2"/>
  <c r="C25" i="15"/>
  <c r="H25" i="15"/>
  <c r="Q176" i="2"/>
  <c r="E209" i="2"/>
  <c r="F209" i="2"/>
  <c r="P209" i="2"/>
  <c r="G209" i="2"/>
  <c r="H209" i="2"/>
  <c r="I209" i="2"/>
  <c r="H24" i="19"/>
  <c r="G24" i="19"/>
  <c r="P25" i="3"/>
  <c r="P85" i="3"/>
  <c r="P86" i="3"/>
  <c r="P87" i="3"/>
  <c r="P88" i="3"/>
  <c r="P89" i="3"/>
  <c r="N16" i="15"/>
  <c r="P16" i="15"/>
  <c r="P115" i="3"/>
  <c r="P116" i="3"/>
  <c r="P117" i="3"/>
  <c r="P118" i="3"/>
  <c r="P119" i="3"/>
  <c r="N17" i="15"/>
  <c r="Q17" i="15"/>
  <c r="P145" i="3"/>
  <c r="P146" i="3"/>
  <c r="P147" i="3"/>
  <c r="P148" i="3"/>
  <c r="P149" i="3"/>
  <c r="P175" i="3"/>
  <c r="P176" i="3"/>
  <c r="P182" i="3"/>
  <c r="P177" i="3"/>
  <c r="Q175" i="3"/>
  <c r="Q182" i="3"/>
  <c r="Q176" i="3"/>
  <c r="I206" i="3"/>
  <c r="J206" i="3"/>
  <c r="I207" i="3"/>
  <c r="J207" i="3"/>
  <c r="E209" i="3"/>
  <c r="F209" i="3"/>
  <c r="G209" i="3"/>
  <c r="H209" i="3"/>
  <c r="I209" i="3"/>
  <c r="J209" i="3"/>
  <c r="J208" i="3"/>
  <c r="G16" i="19"/>
  <c r="H15" i="19"/>
  <c r="G15" i="19"/>
  <c r="P85" i="1"/>
  <c r="P86" i="1"/>
  <c r="P116" i="1"/>
  <c r="P117" i="1"/>
  <c r="P118" i="1"/>
  <c r="P119" i="1"/>
  <c r="N7" i="15"/>
  <c r="Q7" i="15"/>
  <c r="P145" i="1"/>
  <c r="P175" i="1"/>
  <c r="P176" i="1"/>
  <c r="P177" i="1"/>
  <c r="Q85" i="1"/>
  <c r="Q86" i="1"/>
  <c r="Q87" i="1"/>
  <c r="Q88" i="1"/>
  <c r="E209" i="1"/>
  <c r="F209" i="1"/>
  <c r="G209" i="1"/>
  <c r="H209" i="1"/>
  <c r="I209" i="1"/>
  <c r="J209" i="1"/>
  <c r="O90" i="1"/>
  <c r="B6" i="17"/>
  <c r="O89" i="1"/>
  <c r="O56" i="2"/>
  <c r="O55" i="2"/>
  <c r="O57" i="2"/>
  <c r="O58" i="2"/>
  <c r="O59" i="2"/>
  <c r="R55" i="2"/>
  <c r="R56" i="2"/>
  <c r="R57" i="2"/>
  <c r="R58" i="2"/>
  <c r="N25" i="16"/>
  <c r="R59" i="2"/>
  <c r="N25" i="17"/>
  <c r="P25" i="17"/>
  <c r="N56" i="2"/>
  <c r="O29" i="2"/>
  <c r="O89" i="2"/>
  <c r="O119" i="2"/>
  <c r="B27" i="16"/>
  <c r="C27" i="17"/>
  <c r="O149" i="2"/>
  <c r="O179" i="2"/>
  <c r="O30" i="2"/>
  <c r="B24" i="17"/>
  <c r="O60" i="2"/>
  <c r="B25" i="17"/>
  <c r="O90" i="2"/>
  <c r="B26" i="17"/>
  <c r="O120" i="2"/>
  <c r="B27" i="17"/>
  <c r="O150" i="2"/>
  <c r="B28" i="17"/>
  <c r="O180" i="2"/>
  <c r="B29" i="17"/>
  <c r="R29" i="2"/>
  <c r="N24" i="17"/>
  <c r="P24" i="17"/>
  <c r="R119" i="2"/>
  <c r="N27" i="17"/>
  <c r="R149" i="2"/>
  <c r="N28" i="17"/>
  <c r="Q28" i="17"/>
  <c r="R179" i="2"/>
  <c r="N29" i="17"/>
  <c r="L209" i="2"/>
  <c r="M209" i="2"/>
  <c r="B210" i="2"/>
  <c r="C210" i="2"/>
  <c r="D210" i="2"/>
  <c r="R145" i="2"/>
  <c r="R146" i="2"/>
  <c r="R147" i="2"/>
  <c r="R148" i="2"/>
  <c r="L205" i="2"/>
  <c r="M205" i="2"/>
  <c r="B206" i="2"/>
  <c r="C206" i="2"/>
  <c r="D206" i="2"/>
  <c r="L206" i="2"/>
  <c r="M206" i="2"/>
  <c r="B207" i="2"/>
  <c r="C207" i="2"/>
  <c r="D207" i="2"/>
  <c r="L207" i="2"/>
  <c r="M207" i="2"/>
  <c r="B208" i="2"/>
  <c r="C208" i="2"/>
  <c r="D208" i="2"/>
  <c r="L208" i="2"/>
  <c r="M208" i="2"/>
  <c r="B209" i="2"/>
  <c r="C209" i="2"/>
  <c r="D209" i="2"/>
  <c r="I210" i="2"/>
  <c r="H210" i="2"/>
  <c r="G210" i="2"/>
  <c r="F210" i="2"/>
  <c r="E210" i="2"/>
  <c r="O210" i="2"/>
  <c r="R175" i="2"/>
  <c r="R176" i="2"/>
  <c r="R177" i="2"/>
  <c r="R178" i="2"/>
  <c r="Q175" i="2"/>
  <c r="Q177" i="2"/>
  <c r="Q178" i="2"/>
  <c r="Q179" i="2"/>
  <c r="C29" i="19"/>
  <c r="Q149" i="2"/>
  <c r="B28" i="15"/>
  <c r="Q148" i="2"/>
  <c r="C28" i="15"/>
  <c r="R115" i="2"/>
  <c r="O27" i="17"/>
  <c r="R116" i="2"/>
  <c r="R117" i="2"/>
  <c r="R118" i="2"/>
  <c r="N27" i="16"/>
  <c r="Q27" i="16"/>
  <c r="L209" i="1"/>
  <c r="Q209" i="1"/>
  <c r="M209" i="1"/>
  <c r="C210" i="1"/>
  <c r="D210" i="1"/>
  <c r="S26" i="1"/>
  <c r="S27" i="1"/>
  <c r="S28" i="1"/>
  <c r="N4" i="16"/>
  <c r="P4" i="16"/>
  <c r="S29" i="1"/>
  <c r="N4" i="17"/>
  <c r="Q4" i="17"/>
  <c r="O30" i="1"/>
  <c r="B4" i="17"/>
  <c r="O60" i="1"/>
  <c r="B5" i="17"/>
  <c r="O120" i="1"/>
  <c r="B7" i="17"/>
  <c r="O150" i="1"/>
  <c r="B8" i="17"/>
  <c r="O180" i="1"/>
  <c r="B9" i="17"/>
  <c r="H206" i="2"/>
  <c r="E206" i="2"/>
  <c r="F206" i="2"/>
  <c r="G206" i="2"/>
  <c r="I206" i="2"/>
  <c r="E115" i="2"/>
  <c r="E205" i="2"/>
  <c r="F115" i="2"/>
  <c r="F205" i="2"/>
  <c r="G115" i="2"/>
  <c r="G205" i="2"/>
  <c r="H115" i="2"/>
  <c r="H205" i="2"/>
  <c r="I115" i="2"/>
  <c r="I205" i="2"/>
  <c r="E207" i="2"/>
  <c r="F207" i="2"/>
  <c r="G207" i="2"/>
  <c r="H207" i="2"/>
  <c r="I207" i="2"/>
  <c r="O207" i="2"/>
  <c r="E208" i="2"/>
  <c r="F208" i="2"/>
  <c r="G208" i="2"/>
  <c r="H208" i="2"/>
  <c r="I208" i="2"/>
  <c r="Q85" i="2"/>
  <c r="Q86" i="2"/>
  <c r="Q87" i="2"/>
  <c r="Q88" i="2"/>
  <c r="Q89" i="2"/>
  <c r="B26" i="15"/>
  <c r="O85" i="2"/>
  <c r="O86" i="2"/>
  <c r="O87" i="2"/>
  <c r="O88" i="2"/>
  <c r="C26" i="16"/>
  <c r="G26" i="16"/>
  <c r="P90" i="2"/>
  <c r="N26" i="19"/>
  <c r="L205" i="3"/>
  <c r="Q205" i="3"/>
  <c r="M205" i="3"/>
  <c r="B206" i="3"/>
  <c r="C206" i="3"/>
  <c r="D206" i="3"/>
  <c r="L206" i="3"/>
  <c r="M206" i="3"/>
  <c r="B207" i="3"/>
  <c r="R206" i="3"/>
  <c r="X15" i="17"/>
  <c r="C207" i="3"/>
  <c r="D207" i="3"/>
  <c r="L207" i="3"/>
  <c r="M207" i="3"/>
  <c r="B208" i="3"/>
  <c r="C208" i="3"/>
  <c r="D208" i="3"/>
  <c r="L208" i="3"/>
  <c r="M208" i="3"/>
  <c r="B209" i="3"/>
  <c r="C209" i="3"/>
  <c r="D209" i="3"/>
  <c r="L209" i="3"/>
  <c r="M209" i="3"/>
  <c r="B210" i="3"/>
  <c r="C210" i="3"/>
  <c r="D210" i="3"/>
  <c r="E205" i="3"/>
  <c r="F205" i="3"/>
  <c r="G205" i="3"/>
  <c r="G212" i="3"/>
  <c r="H205" i="3"/>
  <c r="I205" i="3"/>
  <c r="I212" i="3"/>
  <c r="J205" i="3"/>
  <c r="J212" i="3"/>
  <c r="E206" i="3"/>
  <c r="F206" i="3"/>
  <c r="G206" i="3"/>
  <c r="H206" i="3"/>
  <c r="E207" i="3"/>
  <c r="F207" i="3"/>
  <c r="G207" i="3"/>
  <c r="H207" i="3"/>
  <c r="E208" i="3"/>
  <c r="F208" i="3"/>
  <c r="G208" i="3"/>
  <c r="H208" i="3"/>
  <c r="I208" i="3"/>
  <c r="E210" i="3"/>
  <c r="F210" i="3"/>
  <c r="G210" i="3"/>
  <c r="H210" i="3"/>
  <c r="I210" i="3"/>
  <c r="K205" i="3"/>
  <c r="K206" i="3"/>
  <c r="K207" i="3"/>
  <c r="K208" i="3"/>
  <c r="K209" i="3"/>
  <c r="C205" i="3"/>
  <c r="D205" i="3"/>
  <c r="M205" i="1"/>
  <c r="M206" i="1"/>
  <c r="M207" i="1"/>
  <c r="M208" i="1"/>
  <c r="L205" i="1"/>
  <c r="L206" i="1"/>
  <c r="L207" i="1"/>
  <c r="L208" i="1"/>
  <c r="K205" i="1"/>
  <c r="K206" i="1"/>
  <c r="K207" i="1"/>
  <c r="K208" i="1"/>
  <c r="K209" i="1"/>
  <c r="J205" i="1"/>
  <c r="J206" i="1"/>
  <c r="J207" i="1"/>
  <c r="J208" i="1"/>
  <c r="J212" i="1"/>
  <c r="I115" i="1"/>
  <c r="I205" i="1"/>
  <c r="I206" i="1"/>
  <c r="I207" i="1"/>
  <c r="I208" i="1"/>
  <c r="F115" i="1"/>
  <c r="F205" i="1"/>
  <c r="F206" i="1"/>
  <c r="F207" i="1"/>
  <c r="F208" i="1"/>
  <c r="E115" i="1"/>
  <c r="E205" i="1"/>
  <c r="E206" i="1"/>
  <c r="E207" i="1"/>
  <c r="E208" i="1"/>
  <c r="O208" i="1"/>
  <c r="D115" i="1"/>
  <c r="D206" i="1"/>
  <c r="D207" i="1"/>
  <c r="R206" i="1"/>
  <c r="D208" i="1"/>
  <c r="D209" i="1"/>
  <c r="C115" i="1"/>
  <c r="C205" i="1"/>
  <c r="C206" i="1"/>
  <c r="C207" i="1"/>
  <c r="C208" i="1"/>
  <c r="C209" i="1"/>
  <c r="N209" i="1"/>
  <c r="P90" i="3"/>
  <c r="O90" i="3"/>
  <c r="B16" i="17"/>
  <c r="R89" i="3"/>
  <c r="N16" i="17"/>
  <c r="S85" i="1"/>
  <c r="S86" i="1"/>
  <c r="S87" i="1"/>
  <c r="S92" i="1"/>
  <c r="O6" i="17"/>
  <c r="R6" i="17"/>
  <c r="S88" i="1"/>
  <c r="R85" i="1"/>
  <c r="R86" i="1"/>
  <c r="R87" i="1"/>
  <c r="R92" i="1"/>
  <c r="R88" i="1"/>
  <c r="R89" i="1"/>
  <c r="Q146" i="1"/>
  <c r="Q147" i="1"/>
  <c r="Q148" i="1"/>
  <c r="C8" i="15"/>
  <c r="H8" i="15"/>
  <c r="Q149" i="1"/>
  <c r="C8" i="19"/>
  <c r="Q175" i="1"/>
  <c r="Q176" i="1"/>
  <c r="Q177" i="1"/>
  <c r="Q178" i="1"/>
  <c r="C9" i="15"/>
  <c r="Q179" i="1"/>
  <c r="B9" i="15"/>
  <c r="B206" i="1"/>
  <c r="B207" i="1"/>
  <c r="B208" i="1"/>
  <c r="B209" i="1"/>
  <c r="R178" i="1"/>
  <c r="R175" i="1"/>
  <c r="R176" i="1"/>
  <c r="R177" i="1"/>
  <c r="R179" i="1"/>
  <c r="E210" i="1"/>
  <c r="F210" i="1"/>
  <c r="G210" i="1"/>
  <c r="H210" i="1"/>
  <c r="I210" i="1"/>
  <c r="G115" i="1"/>
  <c r="H115" i="1"/>
  <c r="H205" i="1"/>
  <c r="G26" i="1"/>
  <c r="H26" i="1"/>
  <c r="H206" i="1"/>
  <c r="G207" i="1"/>
  <c r="O207" i="1"/>
  <c r="H207" i="1"/>
  <c r="G208" i="1"/>
  <c r="H208" i="1"/>
  <c r="P208" i="1"/>
  <c r="P90" i="1"/>
  <c r="N63" i="14"/>
  <c r="I70" i="14"/>
  <c r="H70" i="14"/>
  <c r="G70" i="14"/>
  <c r="F70" i="14"/>
  <c r="E70" i="14"/>
  <c r="D70" i="14"/>
  <c r="C70" i="14"/>
  <c r="O179" i="1"/>
  <c r="C9" i="17"/>
  <c r="O175" i="2"/>
  <c r="O176" i="2"/>
  <c r="O177" i="2"/>
  <c r="O178" i="2"/>
  <c r="C29" i="16"/>
  <c r="P180" i="2"/>
  <c r="N29" i="19"/>
  <c r="R175" i="3"/>
  <c r="R176" i="3"/>
  <c r="R177" i="3"/>
  <c r="R182" i="3"/>
  <c r="R178" i="3"/>
  <c r="R179" i="3"/>
  <c r="O19" i="17"/>
  <c r="Q177" i="3"/>
  <c r="Q178" i="3"/>
  <c r="Q179" i="3"/>
  <c r="B19" i="15"/>
  <c r="C19" i="19"/>
  <c r="P178" i="3"/>
  <c r="P179" i="3"/>
  <c r="N19" i="15"/>
  <c r="P180" i="3"/>
  <c r="N19" i="19"/>
  <c r="P19" i="19"/>
  <c r="O180" i="3"/>
  <c r="B19" i="17"/>
  <c r="E19" i="17"/>
  <c r="S175" i="1"/>
  <c r="S176" i="1"/>
  <c r="S177" i="1"/>
  <c r="S178" i="1"/>
  <c r="N9" i="16"/>
  <c r="Q9" i="16"/>
  <c r="S179" i="1"/>
  <c r="P178" i="1"/>
  <c r="O175" i="1"/>
  <c r="O176" i="1"/>
  <c r="O182" i="1"/>
  <c r="D9" i="17"/>
  <c r="O177" i="1"/>
  <c r="O178" i="1"/>
  <c r="C9" i="16"/>
  <c r="N112" i="1"/>
  <c r="O116" i="1"/>
  <c r="O117" i="1"/>
  <c r="O118" i="1"/>
  <c r="C7" i="16"/>
  <c r="O119" i="1"/>
  <c r="B7" i="16"/>
  <c r="O145" i="1"/>
  <c r="O146" i="1"/>
  <c r="O152" i="1"/>
  <c r="D8" i="17"/>
  <c r="O147" i="1"/>
  <c r="O148" i="1"/>
  <c r="C8" i="16"/>
  <c r="H8" i="16"/>
  <c r="O149" i="1"/>
  <c r="B8" i="16"/>
  <c r="Q145" i="3"/>
  <c r="Q146" i="3"/>
  <c r="Q147" i="3"/>
  <c r="Q148" i="3"/>
  <c r="C18" i="15"/>
  <c r="G18" i="15"/>
  <c r="Q149" i="3"/>
  <c r="R145" i="3"/>
  <c r="R146" i="3"/>
  <c r="R147" i="3"/>
  <c r="R148" i="3"/>
  <c r="N18" i="16"/>
  <c r="R149" i="3"/>
  <c r="N18" i="17"/>
  <c r="Q18" i="17"/>
  <c r="P150" i="3"/>
  <c r="O150" i="3"/>
  <c r="B18" i="17"/>
  <c r="Q145" i="2"/>
  <c r="Q146" i="2"/>
  <c r="Q147" i="2"/>
  <c r="O145" i="2"/>
  <c r="O146" i="2"/>
  <c r="O147" i="2"/>
  <c r="O148" i="2"/>
  <c r="C28" i="16"/>
  <c r="O25" i="2"/>
  <c r="O26" i="2"/>
  <c r="O27" i="2"/>
  <c r="O28" i="2"/>
  <c r="S145" i="1"/>
  <c r="S146" i="1"/>
  <c r="S147" i="1"/>
  <c r="S148" i="1"/>
  <c r="N8" i="16"/>
  <c r="S149" i="1"/>
  <c r="N8" i="17"/>
  <c r="Q8" i="17"/>
  <c r="R145" i="1"/>
  <c r="R146" i="1"/>
  <c r="R147" i="1"/>
  <c r="R148" i="1"/>
  <c r="R149" i="1"/>
  <c r="P146" i="1"/>
  <c r="P152" i="1"/>
  <c r="O8" i="19"/>
  <c r="P147" i="1"/>
  <c r="P148" i="1"/>
  <c r="R115" i="3"/>
  <c r="R116" i="3"/>
  <c r="R117" i="3"/>
  <c r="R118" i="3"/>
  <c r="N17" i="16"/>
  <c r="Q17" i="16"/>
  <c r="R119" i="3"/>
  <c r="N17" i="17"/>
  <c r="Q115" i="3"/>
  <c r="Q116" i="3"/>
  <c r="Q117" i="3"/>
  <c r="Q118" i="3"/>
  <c r="C17" i="15"/>
  <c r="Q119" i="3"/>
  <c r="B17" i="15"/>
  <c r="O115" i="3"/>
  <c r="O116" i="3"/>
  <c r="O117" i="3"/>
  <c r="O118" i="3"/>
  <c r="C17" i="16"/>
  <c r="O119" i="3"/>
  <c r="O55" i="3"/>
  <c r="O56" i="3"/>
  <c r="O62" i="3"/>
  <c r="O57" i="3"/>
  <c r="O58" i="3"/>
  <c r="O59" i="3"/>
  <c r="C15" i="17"/>
  <c r="H15" i="17"/>
  <c r="R27" i="3"/>
  <c r="R28" i="3"/>
  <c r="N14" i="16"/>
  <c r="Q14" i="16"/>
  <c r="R29" i="3"/>
  <c r="N14" i="17"/>
  <c r="P26" i="3"/>
  <c r="P27" i="3"/>
  <c r="P28" i="3"/>
  <c r="P29" i="3"/>
  <c r="N14" i="15"/>
  <c r="O30" i="3"/>
  <c r="Q115" i="2"/>
  <c r="Q116" i="2"/>
  <c r="Q117" i="2"/>
  <c r="Q118" i="2"/>
  <c r="O116" i="2"/>
  <c r="O117" i="2"/>
  <c r="O118" i="2"/>
  <c r="P56" i="2"/>
  <c r="P57" i="2"/>
  <c r="P58" i="2"/>
  <c r="P59" i="2"/>
  <c r="N25" i="15"/>
  <c r="P25" i="15"/>
  <c r="R116" i="1"/>
  <c r="R117" i="1"/>
  <c r="R118" i="1"/>
  <c r="R119" i="1"/>
  <c r="O85" i="1"/>
  <c r="O86" i="1"/>
  <c r="O87" i="1"/>
  <c r="O88" i="1"/>
  <c r="P87" i="1"/>
  <c r="P88" i="1"/>
  <c r="P89" i="1"/>
  <c r="N6" i="15"/>
  <c r="O56" i="1"/>
  <c r="O57" i="1"/>
  <c r="O58" i="1"/>
  <c r="C5" i="16"/>
  <c r="O59" i="1"/>
  <c r="C5" i="17"/>
  <c r="G5" i="17"/>
  <c r="P56" i="1"/>
  <c r="P57" i="1"/>
  <c r="P58" i="1"/>
  <c r="P27" i="1"/>
  <c r="P28" i="1"/>
  <c r="P29" i="1"/>
  <c r="N4" i="15"/>
  <c r="Q4" i="15"/>
  <c r="O120" i="3"/>
  <c r="B17" i="17"/>
  <c r="P120" i="2"/>
  <c r="N27" i="19"/>
  <c r="Q27" i="19"/>
  <c r="P120" i="1"/>
  <c r="N7" i="19"/>
  <c r="N19" i="17"/>
  <c r="N9" i="17"/>
  <c r="O179" i="3"/>
  <c r="C19" i="17"/>
  <c r="O149" i="3"/>
  <c r="C17" i="17"/>
  <c r="H17" i="17"/>
  <c r="O89" i="3"/>
  <c r="B16" i="16"/>
  <c r="C16" i="17"/>
  <c r="H16" i="17"/>
  <c r="N15" i="17"/>
  <c r="Q15" i="17"/>
  <c r="O60" i="3"/>
  <c r="B15" i="17"/>
  <c r="C14" i="17"/>
  <c r="K14" i="17"/>
  <c r="B14" i="17"/>
  <c r="O137" i="17"/>
  <c r="H27" i="17"/>
  <c r="G27" i="17"/>
  <c r="Q25" i="17"/>
  <c r="O85" i="3"/>
  <c r="O86" i="3"/>
  <c r="O87" i="3"/>
  <c r="O88" i="3"/>
  <c r="C16" i="16"/>
  <c r="G16" i="16"/>
  <c r="O145" i="3"/>
  <c r="O146" i="3"/>
  <c r="O147" i="3"/>
  <c r="O148" i="3"/>
  <c r="C18" i="16"/>
  <c r="O175" i="3"/>
  <c r="O176" i="3"/>
  <c r="O177" i="3"/>
  <c r="O178" i="3"/>
  <c r="G17" i="17"/>
  <c r="G15" i="17"/>
  <c r="P60" i="2"/>
  <c r="N25" i="19"/>
  <c r="P30" i="1"/>
  <c r="N4" i="19"/>
  <c r="N29" i="2"/>
  <c r="P30" i="3"/>
  <c r="N14" i="19"/>
  <c r="P14" i="19"/>
  <c r="B205" i="1"/>
  <c r="E185" i="1"/>
  <c r="P185" i="1"/>
  <c r="F185" i="1"/>
  <c r="G185" i="1"/>
  <c r="H185" i="1"/>
  <c r="I185" i="1"/>
  <c r="J185" i="1"/>
  <c r="E186" i="1"/>
  <c r="F186" i="1"/>
  <c r="G186" i="1"/>
  <c r="H186" i="1"/>
  <c r="I186" i="1"/>
  <c r="J186" i="1"/>
  <c r="E187" i="1"/>
  <c r="F187" i="1"/>
  <c r="G187" i="1"/>
  <c r="H187" i="1"/>
  <c r="I187" i="1"/>
  <c r="J187" i="1"/>
  <c r="E188" i="1"/>
  <c r="F188" i="1"/>
  <c r="G188" i="1"/>
  <c r="H188" i="1"/>
  <c r="I188" i="1"/>
  <c r="J188" i="1"/>
  <c r="E189" i="1"/>
  <c r="F189" i="1"/>
  <c r="G189" i="1"/>
  <c r="H189" i="1"/>
  <c r="I189" i="1"/>
  <c r="P189" i="1"/>
  <c r="J189" i="1"/>
  <c r="E190" i="1"/>
  <c r="F190" i="1"/>
  <c r="G190" i="1"/>
  <c r="H190" i="1"/>
  <c r="I190" i="1"/>
  <c r="J190" i="1"/>
  <c r="L185" i="1"/>
  <c r="M185" i="1"/>
  <c r="B186" i="1"/>
  <c r="C186" i="1"/>
  <c r="D186" i="1"/>
  <c r="L186" i="1"/>
  <c r="M186" i="1"/>
  <c r="B187" i="1"/>
  <c r="C187" i="1"/>
  <c r="D187" i="1"/>
  <c r="L187" i="1"/>
  <c r="M187" i="1"/>
  <c r="B188" i="1"/>
  <c r="C188" i="1"/>
  <c r="D188" i="1"/>
  <c r="L188" i="1"/>
  <c r="M188" i="1"/>
  <c r="B189" i="1"/>
  <c r="C189" i="1"/>
  <c r="D189" i="1"/>
  <c r="L189" i="1"/>
  <c r="M189" i="1"/>
  <c r="B190" i="1"/>
  <c r="Q189" i="1"/>
  <c r="C190" i="1"/>
  <c r="D190" i="1"/>
  <c r="L190" i="1"/>
  <c r="M190" i="1"/>
  <c r="B191" i="1"/>
  <c r="C191" i="1"/>
  <c r="D191" i="1"/>
  <c r="J205" i="2"/>
  <c r="J206" i="2"/>
  <c r="J207" i="2"/>
  <c r="J208" i="2"/>
  <c r="P208" i="2"/>
  <c r="J209" i="2"/>
  <c r="Q9" i="15"/>
  <c r="P8" i="15"/>
  <c r="Q5" i="15"/>
  <c r="Q84" i="2"/>
  <c r="N89" i="2"/>
  <c r="Q84" i="3"/>
  <c r="B16" i="15"/>
  <c r="N89" i="3"/>
  <c r="Q84" i="1"/>
  <c r="R84" i="1"/>
  <c r="B70" i="14"/>
  <c r="J75" i="14"/>
  <c r="K75" i="14"/>
  <c r="L75" i="14"/>
  <c r="M75" i="14"/>
  <c r="O63" i="14"/>
  <c r="C29" i="15"/>
  <c r="G29" i="15"/>
  <c r="C27" i="15"/>
  <c r="C26" i="15"/>
  <c r="B27" i="15"/>
  <c r="E27" i="15"/>
  <c r="B25" i="15"/>
  <c r="B24" i="15"/>
  <c r="C19" i="15"/>
  <c r="C16" i="15"/>
  <c r="C15" i="15"/>
  <c r="H15" i="15"/>
  <c r="C14" i="15"/>
  <c r="G14" i="15"/>
  <c r="B15" i="15"/>
  <c r="B14" i="15"/>
  <c r="Q24" i="1"/>
  <c r="Q54" i="1"/>
  <c r="Q114" i="1"/>
  <c r="C7" i="15"/>
  <c r="L204" i="1"/>
  <c r="M204" i="1"/>
  <c r="R204" i="1"/>
  <c r="X4" i="16"/>
  <c r="L204" i="3"/>
  <c r="M204" i="3"/>
  <c r="B205" i="3"/>
  <c r="L204" i="2"/>
  <c r="M204" i="2"/>
  <c r="B205" i="2"/>
  <c r="K209" i="2"/>
  <c r="Q174" i="2"/>
  <c r="N179" i="2"/>
  <c r="Q174" i="3"/>
  <c r="N179" i="3"/>
  <c r="Q174" i="1"/>
  <c r="R174" i="1"/>
  <c r="N179" i="1"/>
  <c r="Q144" i="2"/>
  <c r="N149" i="2"/>
  <c r="Q144" i="3"/>
  <c r="N149" i="3"/>
  <c r="Q144" i="1"/>
  <c r="R144" i="1"/>
  <c r="N149" i="1"/>
  <c r="Q114" i="2"/>
  <c r="N119" i="2"/>
  <c r="Q114" i="3"/>
  <c r="R114" i="1"/>
  <c r="N119" i="1"/>
  <c r="R54" i="1"/>
  <c r="Q54" i="3"/>
  <c r="Q54" i="2"/>
  <c r="N59" i="2"/>
  <c r="N59" i="1"/>
  <c r="Q24" i="2"/>
  <c r="Q24" i="3"/>
  <c r="N29" i="3"/>
  <c r="R24" i="1"/>
  <c r="N29" i="1"/>
  <c r="C75" i="14"/>
  <c r="D75" i="14"/>
  <c r="E75" i="14"/>
  <c r="F75" i="14"/>
  <c r="G75" i="14"/>
  <c r="H75" i="14"/>
  <c r="I75" i="14"/>
  <c r="B19" i="16"/>
  <c r="N19" i="16"/>
  <c r="Q19" i="16"/>
  <c r="P19" i="16"/>
  <c r="N6" i="16"/>
  <c r="Q6" i="16"/>
  <c r="C15" i="16"/>
  <c r="G15" i="16"/>
  <c r="N26" i="16"/>
  <c r="N28" i="16"/>
  <c r="N16" i="16"/>
  <c r="N15" i="16"/>
  <c r="P15" i="16"/>
  <c r="N5" i="16"/>
  <c r="Q5" i="16"/>
  <c r="P5" i="16"/>
  <c r="N7" i="16"/>
  <c r="Q7" i="16"/>
  <c r="B17" i="16"/>
  <c r="B14" i="16"/>
  <c r="B15" i="16"/>
  <c r="B5" i="16"/>
  <c r="B75" i="14"/>
  <c r="N62" i="14"/>
  <c r="O62" i="14"/>
  <c r="J80" i="14"/>
  <c r="K80" i="14"/>
  <c r="L80" i="14"/>
  <c r="M80" i="14"/>
  <c r="N61" i="14"/>
  <c r="O61" i="14"/>
  <c r="K208" i="2"/>
  <c r="N178" i="2"/>
  <c r="N177" i="3"/>
  <c r="N178" i="3"/>
  <c r="N177" i="1"/>
  <c r="N178" i="1"/>
  <c r="N148" i="2"/>
  <c r="N148" i="1"/>
  <c r="N147" i="1"/>
  <c r="N148" i="3"/>
  <c r="N118" i="2"/>
  <c r="N118" i="3"/>
  <c r="N118" i="1"/>
  <c r="N117" i="2"/>
  <c r="N88" i="2"/>
  <c r="N88" i="3"/>
  <c r="N88" i="1"/>
  <c r="N28" i="2"/>
  <c r="N28" i="3"/>
  <c r="N28" i="1"/>
  <c r="N58" i="2"/>
  <c r="N58" i="3"/>
  <c r="N58" i="1"/>
  <c r="C80" i="14"/>
  <c r="D80" i="14"/>
  <c r="E80" i="14"/>
  <c r="F80" i="14"/>
  <c r="G80" i="14"/>
  <c r="H80" i="14"/>
  <c r="I80" i="14"/>
  <c r="B80" i="14"/>
  <c r="C6" i="16"/>
  <c r="H6" i="16"/>
  <c r="C19" i="16"/>
  <c r="O137" i="16"/>
  <c r="O137" i="15"/>
  <c r="C14" i="16"/>
  <c r="G14" i="16"/>
  <c r="C25" i="16"/>
  <c r="C24" i="16"/>
  <c r="C85" i="14"/>
  <c r="M85" i="14"/>
  <c r="L85" i="14"/>
  <c r="K85" i="14"/>
  <c r="J85" i="14"/>
  <c r="I85" i="14"/>
  <c r="H85" i="14"/>
  <c r="G85" i="14"/>
  <c r="F85" i="14"/>
  <c r="E85" i="14"/>
  <c r="D85" i="14"/>
  <c r="B85" i="14"/>
  <c r="N117" i="1"/>
  <c r="N27" i="1"/>
  <c r="J204" i="3"/>
  <c r="N147" i="3"/>
  <c r="N117" i="3"/>
  <c r="N27" i="3"/>
  <c r="K207" i="2"/>
  <c r="N177" i="2"/>
  <c r="N147" i="2"/>
  <c r="N57" i="2"/>
  <c r="N87" i="2"/>
  <c r="N87" i="3"/>
  <c r="N87" i="1"/>
  <c r="N57" i="3"/>
  <c r="N57" i="1"/>
  <c r="N27" i="2"/>
  <c r="O82" i="1"/>
  <c r="O83" i="1"/>
  <c r="O84" i="1"/>
  <c r="S82" i="1"/>
  <c r="S83" i="1"/>
  <c r="S84" i="1"/>
  <c r="R172" i="2"/>
  <c r="R173" i="2"/>
  <c r="R174" i="2"/>
  <c r="R142" i="2"/>
  <c r="R143" i="2"/>
  <c r="R144" i="2"/>
  <c r="R82" i="2"/>
  <c r="R83" i="2"/>
  <c r="R84" i="2"/>
  <c r="R52" i="2"/>
  <c r="R53" i="2"/>
  <c r="R54" i="2"/>
  <c r="R22" i="2"/>
  <c r="R23" i="2"/>
  <c r="R24" i="2"/>
  <c r="B203" i="3"/>
  <c r="C203" i="3"/>
  <c r="D203" i="3"/>
  <c r="E203" i="3"/>
  <c r="F203" i="3"/>
  <c r="G203" i="3"/>
  <c r="H203" i="3"/>
  <c r="I203" i="3"/>
  <c r="J203" i="3"/>
  <c r="K203" i="3"/>
  <c r="L203" i="3"/>
  <c r="M203" i="3"/>
  <c r="R112" i="3"/>
  <c r="R113" i="3"/>
  <c r="R114" i="3"/>
  <c r="R82" i="3"/>
  <c r="R83" i="3"/>
  <c r="R84" i="3"/>
  <c r="R52" i="3"/>
  <c r="R53" i="3"/>
  <c r="R54" i="3"/>
  <c r="R22" i="3"/>
  <c r="R23" i="3"/>
  <c r="R24" i="3"/>
  <c r="L202" i="1"/>
  <c r="M202" i="1"/>
  <c r="B203" i="1"/>
  <c r="C203" i="1"/>
  <c r="D203" i="1"/>
  <c r="L203" i="1"/>
  <c r="M203" i="1"/>
  <c r="B204" i="1"/>
  <c r="C204" i="1"/>
  <c r="D204" i="1"/>
  <c r="S172" i="1"/>
  <c r="S173" i="1"/>
  <c r="S174" i="1"/>
  <c r="S142" i="1"/>
  <c r="S143" i="1"/>
  <c r="S144" i="1"/>
  <c r="S112" i="1"/>
  <c r="S113" i="1"/>
  <c r="S52" i="1"/>
  <c r="S53" i="1"/>
  <c r="S54" i="1"/>
  <c r="S22" i="1"/>
  <c r="S23" i="1"/>
  <c r="S24" i="1"/>
  <c r="O172" i="2"/>
  <c r="O173" i="2"/>
  <c r="O142" i="2"/>
  <c r="O143" i="2"/>
  <c r="O144" i="2"/>
  <c r="O82" i="2"/>
  <c r="O83" i="2"/>
  <c r="O84" i="2"/>
  <c r="O52" i="2"/>
  <c r="O53" i="2"/>
  <c r="O54" i="2"/>
  <c r="O22" i="2"/>
  <c r="O23" i="2"/>
  <c r="O82" i="3"/>
  <c r="O83" i="3"/>
  <c r="O84" i="3"/>
  <c r="O112" i="3"/>
  <c r="O113" i="3"/>
  <c r="O114" i="3"/>
  <c r="O52" i="1"/>
  <c r="O53" i="1"/>
  <c r="O54" i="1"/>
  <c r="C204" i="3"/>
  <c r="O172" i="3"/>
  <c r="O173" i="3"/>
  <c r="O142" i="3"/>
  <c r="O143" i="3"/>
  <c r="O144" i="3"/>
  <c r="O52" i="3"/>
  <c r="O53" i="3"/>
  <c r="O54" i="3"/>
  <c r="O22" i="3"/>
  <c r="O23" i="3"/>
  <c r="E202" i="1"/>
  <c r="F202" i="1"/>
  <c r="G202" i="1"/>
  <c r="H202" i="1"/>
  <c r="I202" i="1"/>
  <c r="E203" i="1"/>
  <c r="F203" i="1"/>
  <c r="G203" i="1"/>
  <c r="H203" i="1"/>
  <c r="I203" i="1"/>
  <c r="O203" i="1"/>
  <c r="E204" i="1"/>
  <c r="F114" i="1"/>
  <c r="F204" i="1"/>
  <c r="G114" i="1"/>
  <c r="G204" i="1"/>
  <c r="H204" i="1"/>
  <c r="I204" i="1"/>
  <c r="J204" i="1"/>
  <c r="O172" i="1"/>
  <c r="O173" i="1"/>
  <c r="O174" i="1"/>
  <c r="O142" i="1"/>
  <c r="O143" i="1"/>
  <c r="O144" i="1"/>
  <c r="O112" i="1"/>
  <c r="O113" i="1"/>
  <c r="Q51" i="1"/>
  <c r="Q52" i="1"/>
  <c r="Q53" i="1"/>
  <c r="O22" i="1"/>
  <c r="O23" i="1"/>
  <c r="O24" i="1"/>
  <c r="R21" i="1"/>
  <c r="R22" i="1"/>
  <c r="R23" i="1"/>
  <c r="P22" i="1"/>
  <c r="P23" i="1"/>
  <c r="P24" i="1"/>
  <c r="Q111" i="2"/>
  <c r="Q112" i="2"/>
  <c r="Q113" i="2"/>
  <c r="P172" i="2"/>
  <c r="P173" i="2"/>
  <c r="P174" i="2"/>
  <c r="Q141" i="2"/>
  <c r="Q142" i="2"/>
  <c r="Q143" i="2"/>
  <c r="P142" i="2"/>
  <c r="P143" i="2"/>
  <c r="P144" i="2"/>
  <c r="P112" i="2"/>
  <c r="P113" i="2"/>
  <c r="P114" i="2"/>
  <c r="P82" i="2"/>
  <c r="P83" i="2"/>
  <c r="P84" i="2"/>
  <c r="P52" i="2"/>
  <c r="P53" i="2"/>
  <c r="P54" i="2"/>
  <c r="P22" i="2"/>
  <c r="P23" i="2"/>
  <c r="P24" i="2"/>
  <c r="P172" i="3"/>
  <c r="P173" i="3"/>
  <c r="P174" i="3"/>
  <c r="P142" i="3"/>
  <c r="P143" i="3"/>
  <c r="P144" i="3"/>
  <c r="P112" i="3"/>
  <c r="P113" i="3"/>
  <c r="P114" i="3"/>
  <c r="P82" i="3"/>
  <c r="P83" i="3"/>
  <c r="P84" i="3"/>
  <c r="P52" i="3"/>
  <c r="P53" i="3"/>
  <c r="P22" i="3"/>
  <c r="P23" i="3"/>
  <c r="P24" i="3"/>
  <c r="P172" i="1"/>
  <c r="P173" i="1"/>
  <c r="P174" i="1"/>
  <c r="L201" i="1"/>
  <c r="M201" i="1"/>
  <c r="B202" i="1"/>
  <c r="R201" i="1"/>
  <c r="C202" i="1"/>
  <c r="D202" i="1"/>
  <c r="J202" i="1"/>
  <c r="K202" i="1"/>
  <c r="J203" i="1"/>
  <c r="P52" i="1"/>
  <c r="P53" i="1"/>
  <c r="P54" i="1"/>
  <c r="P82" i="1"/>
  <c r="P83" i="1"/>
  <c r="P84" i="1"/>
  <c r="P112" i="1"/>
  <c r="P113" i="1"/>
  <c r="P142" i="1"/>
  <c r="P143" i="1"/>
  <c r="P144" i="1"/>
  <c r="N146" i="2"/>
  <c r="N146" i="3"/>
  <c r="Q141" i="3"/>
  <c r="Q142" i="3"/>
  <c r="Q143" i="3"/>
  <c r="N146" i="1"/>
  <c r="P161" i="3"/>
  <c r="R141" i="1"/>
  <c r="R142" i="1"/>
  <c r="R143" i="1"/>
  <c r="Q141" i="1"/>
  <c r="Q142" i="1"/>
  <c r="Q143" i="1"/>
  <c r="Q21" i="3"/>
  <c r="Q22" i="3"/>
  <c r="Q23" i="3"/>
  <c r="Q81" i="3"/>
  <c r="Q82" i="3"/>
  <c r="Q83" i="3"/>
  <c r="Q81" i="1"/>
  <c r="Q82" i="1"/>
  <c r="Q83" i="1"/>
  <c r="Q111" i="1"/>
  <c r="Q112" i="1"/>
  <c r="Q113" i="1"/>
  <c r="E200" i="1"/>
  <c r="F200" i="1"/>
  <c r="G200" i="1"/>
  <c r="H200" i="1"/>
  <c r="I200" i="1"/>
  <c r="J200" i="1"/>
  <c r="K200" i="1"/>
  <c r="E201" i="1"/>
  <c r="F201" i="1"/>
  <c r="G201" i="1"/>
  <c r="H201" i="1"/>
  <c r="I201" i="1"/>
  <c r="J201" i="1"/>
  <c r="K201" i="1"/>
  <c r="K203" i="1"/>
  <c r="K204" i="1"/>
  <c r="K206" i="2"/>
  <c r="B202" i="3"/>
  <c r="L201" i="3"/>
  <c r="M201" i="3"/>
  <c r="Q51" i="2"/>
  <c r="Q52" i="2"/>
  <c r="Q53" i="2"/>
  <c r="Q51" i="3"/>
  <c r="Q52" i="3"/>
  <c r="Q53" i="3"/>
  <c r="R51" i="1"/>
  <c r="R52" i="1"/>
  <c r="R53" i="1"/>
  <c r="N56" i="3"/>
  <c r="N56" i="1"/>
  <c r="N86" i="2"/>
  <c r="N86" i="3"/>
  <c r="N86" i="1"/>
  <c r="N18" i="14"/>
  <c r="O18" i="14"/>
  <c r="P18" i="14"/>
  <c r="N17" i="14"/>
  <c r="O17" i="14"/>
  <c r="P17" i="14"/>
  <c r="N35" i="14"/>
  <c r="O35" i="14"/>
  <c r="P35" i="14"/>
  <c r="N36" i="14"/>
  <c r="O36" i="14"/>
  <c r="P36" i="14"/>
  <c r="N26" i="2"/>
  <c r="N26" i="3"/>
  <c r="Q171" i="2"/>
  <c r="Q172" i="2"/>
  <c r="Q173" i="2"/>
  <c r="Q81" i="2"/>
  <c r="Q82" i="2"/>
  <c r="Q83" i="2"/>
  <c r="Q171" i="3"/>
  <c r="Q172" i="3"/>
  <c r="Q173" i="3"/>
  <c r="Q111" i="3"/>
  <c r="Q112" i="3"/>
  <c r="Q113" i="3"/>
  <c r="N116" i="2"/>
  <c r="N116" i="1"/>
  <c r="N116" i="3"/>
  <c r="Q54" i="9"/>
  <c r="R54" i="9"/>
  <c r="S54" i="9"/>
  <c r="T54" i="9"/>
  <c r="Q55" i="9"/>
  <c r="R55" i="9"/>
  <c r="S55" i="9"/>
  <c r="T55" i="9"/>
  <c r="Q34" i="9"/>
  <c r="R34" i="9"/>
  <c r="S34" i="9"/>
  <c r="T34" i="9"/>
  <c r="Q35" i="9"/>
  <c r="R35" i="9"/>
  <c r="S35" i="9"/>
  <c r="T35" i="9"/>
  <c r="Q14" i="9"/>
  <c r="R14" i="9"/>
  <c r="S14" i="9"/>
  <c r="T14" i="9"/>
  <c r="Q15" i="9"/>
  <c r="R15" i="9"/>
  <c r="S15" i="9"/>
  <c r="T15" i="9"/>
  <c r="N176" i="2"/>
  <c r="N176" i="3"/>
  <c r="N176" i="1"/>
  <c r="N59" i="14"/>
  <c r="O59" i="14"/>
  <c r="N60" i="14"/>
  <c r="O60" i="14"/>
  <c r="C96" i="14"/>
  <c r="D96" i="14"/>
  <c r="E96" i="14"/>
  <c r="F96" i="14"/>
  <c r="G96" i="14"/>
  <c r="H96" i="14"/>
  <c r="I96" i="14"/>
  <c r="J96" i="14"/>
  <c r="K96" i="14"/>
  <c r="L96" i="14"/>
  <c r="M96" i="14"/>
  <c r="B96" i="14"/>
  <c r="C90" i="14"/>
  <c r="D90" i="14"/>
  <c r="E90" i="14"/>
  <c r="F90" i="14"/>
  <c r="G90" i="14"/>
  <c r="H90" i="14"/>
  <c r="I90" i="14"/>
  <c r="J90" i="14"/>
  <c r="K90" i="14"/>
  <c r="L90" i="14"/>
  <c r="M90" i="14"/>
  <c r="B90" i="14"/>
  <c r="O111" i="3"/>
  <c r="K205" i="2"/>
  <c r="M105" i="3"/>
  <c r="M195" i="3"/>
  <c r="L105" i="3"/>
  <c r="Q105" i="3"/>
  <c r="B196" i="3"/>
  <c r="C196" i="3"/>
  <c r="D196" i="3"/>
  <c r="K105" i="3"/>
  <c r="K195" i="3"/>
  <c r="J105" i="3"/>
  <c r="J195" i="3"/>
  <c r="I105" i="3"/>
  <c r="H105" i="3"/>
  <c r="G105" i="3"/>
  <c r="G195" i="3"/>
  <c r="F105" i="3"/>
  <c r="E105" i="3"/>
  <c r="D105" i="3"/>
  <c r="C105" i="3"/>
  <c r="C195" i="3"/>
  <c r="M104" i="3"/>
  <c r="M194" i="3"/>
  <c r="L104" i="3"/>
  <c r="Q104" i="3"/>
  <c r="K104" i="3"/>
  <c r="K194" i="3"/>
  <c r="J104" i="3"/>
  <c r="N104" i="3"/>
  <c r="N115" i="3"/>
  <c r="N175" i="2"/>
  <c r="N175" i="3"/>
  <c r="N175" i="1"/>
  <c r="N145" i="1"/>
  <c r="N145" i="3"/>
  <c r="N145" i="2"/>
  <c r="N85" i="1"/>
  <c r="N85" i="3"/>
  <c r="N85" i="2"/>
  <c r="N55" i="2"/>
  <c r="N55" i="3"/>
  <c r="N55" i="1"/>
  <c r="N25" i="3"/>
  <c r="N25" i="1"/>
  <c r="D200" i="1"/>
  <c r="D201" i="1"/>
  <c r="B201" i="1"/>
  <c r="C201" i="1"/>
  <c r="L200" i="1"/>
  <c r="M200" i="1"/>
  <c r="C115" i="2"/>
  <c r="C205" i="2"/>
  <c r="D115" i="2"/>
  <c r="D205" i="2"/>
  <c r="H204" i="3"/>
  <c r="E185" i="2"/>
  <c r="O174" i="2"/>
  <c r="O171" i="2"/>
  <c r="O170" i="2"/>
  <c r="O169" i="2"/>
  <c r="O168" i="2"/>
  <c r="O167" i="2"/>
  <c r="O166" i="2"/>
  <c r="O165" i="2"/>
  <c r="O164" i="2"/>
  <c r="O163" i="2"/>
  <c r="O162" i="2"/>
  <c r="O161" i="2"/>
  <c r="O141" i="2"/>
  <c r="O140" i="2"/>
  <c r="O139" i="2"/>
  <c r="O138" i="2"/>
  <c r="O137" i="2"/>
  <c r="O136" i="2"/>
  <c r="O135" i="2"/>
  <c r="O134" i="2"/>
  <c r="O133" i="2"/>
  <c r="O132" i="2"/>
  <c r="O131" i="2"/>
  <c r="O114" i="2"/>
  <c r="O113" i="2"/>
  <c r="O112" i="2"/>
  <c r="O111" i="2"/>
  <c r="O110" i="2"/>
  <c r="O109" i="2"/>
  <c r="O108" i="2"/>
  <c r="O107" i="2"/>
  <c r="O106" i="2"/>
  <c r="O104" i="2"/>
  <c r="O103" i="2"/>
  <c r="O102" i="2"/>
  <c r="O101" i="2"/>
  <c r="O81" i="2"/>
  <c r="O80" i="2"/>
  <c r="O79" i="2"/>
  <c r="O78" i="2"/>
  <c r="O77" i="2"/>
  <c r="O76" i="2"/>
  <c r="O75" i="2"/>
  <c r="O74" i="2"/>
  <c r="O73" i="2"/>
  <c r="O72" i="2"/>
  <c r="O71" i="2"/>
  <c r="O51" i="2"/>
  <c r="O50" i="2"/>
  <c r="O49" i="2"/>
  <c r="O48" i="2"/>
  <c r="O47" i="2"/>
  <c r="O46" i="2"/>
  <c r="O45" i="2"/>
  <c r="O44" i="2"/>
  <c r="O43" i="2"/>
  <c r="O42" i="2"/>
  <c r="O41" i="2"/>
  <c r="O24" i="2"/>
  <c r="O21" i="2"/>
  <c r="O20" i="2"/>
  <c r="O19" i="2"/>
  <c r="O18" i="2"/>
  <c r="O17" i="2"/>
  <c r="O14" i="2"/>
  <c r="O13" i="2"/>
  <c r="O12" i="2"/>
  <c r="O11" i="2"/>
  <c r="O174" i="3"/>
  <c r="O171" i="3"/>
  <c r="O170" i="3"/>
  <c r="O169" i="3"/>
  <c r="O168" i="3"/>
  <c r="O167" i="3"/>
  <c r="O166" i="3"/>
  <c r="O165" i="3"/>
  <c r="O164" i="3"/>
  <c r="O163" i="3"/>
  <c r="O162" i="3"/>
  <c r="O161" i="3"/>
  <c r="O141" i="3"/>
  <c r="O140" i="3"/>
  <c r="O139" i="3"/>
  <c r="O138" i="3"/>
  <c r="O137" i="3"/>
  <c r="O136" i="3"/>
  <c r="O135" i="3"/>
  <c r="O134" i="3"/>
  <c r="O133" i="3"/>
  <c r="O132" i="3"/>
  <c r="O131" i="3"/>
  <c r="O110" i="3"/>
  <c r="O109" i="3"/>
  <c r="O108" i="3"/>
  <c r="O107" i="3"/>
  <c r="O106" i="3"/>
  <c r="O104" i="3"/>
  <c r="O103" i="3"/>
  <c r="O102" i="3"/>
  <c r="O101" i="3"/>
  <c r="O81" i="3"/>
  <c r="O80" i="3"/>
  <c r="O79" i="3"/>
  <c r="O78" i="3"/>
  <c r="O77" i="3"/>
  <c r="O76" i="3"/>
  <c r="O75" i="3"/>
  <c r="O74" i="3"/>
  <c r="O73" i="3"/>
  <c r="O72" i="3"/>
  <c r="O71" i="3"/>
  <c r="O51" i="3"/>
  <c r="O50" i="3"/>
  <c r="O49" i="3"/>
  <c r="O48" i="3"/>
  <c r="O47" i="3"/>
  <c r="O44" i="3"/>
  <c r="O43" i="3"/>
  <c r="O42" i="3"/>
  <c r="O41" i="3"/>
  <c r="O24" i="3"/>
  <c r="O21" i="3"/>
  <c r="O20" i="3"/>
  <c r="O19" i="3"/>
  <c r="O18" i="3"/>
  <c r="O17" i="3"/>
  <c r="O16" i="3"/>
  <c r="O14" i="3"/>
  <c r="O13" i="3"/>
  <c r="O12" i="3"/>
  <c r="O11" i="3"/>
  <c r="N25" i="2"/>
  <c r="D204" i="3"/>
  <c r="E204" i="3"/>
  <c r="F204" i="3"/>
  <c r="G204" i="3"/>
  <c r="I204" i="3"/>
  <c r="K204" i="3"/>
  <c r="B204" i="3"/>
  <c r="N114" i="2"/>
  <c r="N114" i="3"/>
  <c r="Q53" i="9"/>
  <c r="R53" i="9"/>
  <c r="S53" i="9"/>
  <c r="T53" i="9"/>
  <c r="Q33" i="9"/>
  <c r="R33" i="9"/>
  <c r="S33" i="9"/>
  <c r="T33" i="9"/>
  <c r="S13" i="9"/>
  <c r="T13" i="9"/>
  <c r="Q173" i="1"/>
  <c r="R174" i="3"/>
  <c r="N174" i="3"/>
  <c r="Q171" i="1"/>
  <c r="Q172" i="1"/>
  <c r="N34" i="14"/>
  <c r="O34" i="14"/>
  <c r="P34" i="14"/>
  <c r="P16" i="14"/>
  <c r="P15" i="14"/>
  <c r="O16" i="14"/>
  <c r="N144" i="2"/>
  <c r="R144" i="3"/>
  <c r="N144" i="3"/>
  <c r="N144" i="1"/>
  <c r="N84" i="2"/>
  <c r="N84" i="3"/>
  <c r="N84" i="1"/>
  <c r="P54" i="3"/>
  <c r="N54" i="2"/>
  <c r="N54" i="3"/>
  <c r="N54" i="1"/>
  <c r="N24" i="2"/>
  <c r="N24" i="3"/>
  <c r="Q23" i="1"/>
  <c r="N24" i="1"/>
  <c r="N16" i="14"/>
  <c r="R16" i="14"/>
  <c r="N15" i="14"/>
  <c r="R15" i="14"/>
  <c r="N45" i="14"/>
  <c r="O45" i="14"/>
  <c r="C185" i="2"/>
  <c r="D185" i="2"/>
  <c r="F185" i="2"/>
  <c r="G185" i="2"/>
  <c r="H185" i="2"/>
  <c r="I185" i="2"/>
  <c r="J185" i="2"/>
  <c r="B185" i="2"/>
  <c r="K185" i="2"/>
  <c r="L185" i="2"/>
  <c r="M185" i="2"/>
  <c r="C186" i="2"/>
  <c r="D186" i="2"/>
  <c r="E186" i="2"/>
  <c r="F186" i="2"/>
  <c r="G186" i="2"/>
  <c r="H186" i="2"/>
  <c r="I186" i="2"/>
  <c r="B186" i="2"/>
  <c r="J186" i="2"/>
  <c r="K186" i="2"/>
  <c r="L186" i="2"/>
  <c r="M186" i="2"/>
  <c r="C187" i="2"/>
  <c r="D187" i="2"/>
  <c r="B187" i="2"/>
  <c r="E187" i="2"/>
  <c r="F187" i="2"/>
  <c r="G187" i="2"/>
  <c r="H187" i="2"/>
  <c r="I187" i="2"/>
  <c r="J187" i="2"/>
  <c r="K187" i="2"/>
  <c r="L187" i="2"/>
  <c r="M187" i="2"/>
  <c r="C188" i="2"/>
  <c r="D188" i="2"/>
  <c r="E188" i="2"/>
  <c r="F188" i="2"/>
  <c r="G188" i="2"/>
  <c r="H188" i="2"/>
  <c r="I188" i="2"/>
  <c r="J188" i="2"/>
  <c r="K188" i="2"/>
  <c r="L188" i="2"/>
  <c r="M188" i="2"/>
  <c r="C189" i="2"/>
  <c r="B189" i="2"/>
  <c r="D189" i="2"/>
  <c r="E189" i="2"/>
  <c r="F189" i="2"/>
  <c r="G189" i="2"/>
  <c r="H189" i="2"/>
  <c r="I189" i="2"/>
  <c r="J189" i="2"/>
  <c r="K189" i="2"/>
  <c r="L189" i="2"/>
  <c r="M189" i="2"/>
  <c r="C190" i="2"/>
  <c r="D190" i="2"/>
  <c r="E190" i="2"/>
  <c r="F190" i="2"/>
  <c r="G190" i="2"/>
  <c r="H190" i="2"/>
  <c r="I190" i="2"/>
  <c r="J190" i="2"/>
  <c r="K190" i="2"/>
  <c r="L190" i="2"/>
  <c r="M190" i="2"/>
  <c r="C191" i="2"/>
  <c r="D191" i="2"/>
  <c r="E191" i="2"/>
  <c r="F191" i="2"/>
  <c r="G191" i="2"/>
  <c r="H191" i="2"/>
  <c r="I191" i="2"/>
  <c r="J191" i="2"/>
  <c r="K191" i="2"/>
  <c r="L191" i="2"/>
  <c r="M191" i="2"/>
  <c r="B192" i="2"/>
  <c r="R191" i="2"/>
  <c r="C192" i="2"/>
  <c r="D192" i="2"/>
  <c r="E192" i="2"/>
  <c r="F192" i="2"/>
  <c r="G192" i="2"/>
  <c r="H192" i="2"/>
  <c r="I192" i="2"/>
  <c r="J192" i="2"/>
  <c r="K192" i="2"/>
  <c r="L192" i="2"/>
  <c r="M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B194" i="2"/>
  <c r="C194" i="2"/>
  <c r="D194" i="2"/>
  <c r="E194" i="2"/>
  <c r="F194" i="2"/>
  <c r="G194" i="2"/>
  <c r="H194" i="2"/>
  <c r="I194" i="2"/>
  <c r="C196" i="2"/>
  <c r="B196" i="2"/>
  <c r="D196" i="2"/>
  <c r="E196" i="2"/>
  <c r="F196" i="2"/>
  <c r="G16" i="2"/>
  <c r="G196" i="2"/>
  <c r="H16" i="2"/>
  <c r="H196" i="2"/>
  <c r="I196" i="2"/>
  <c r="J196" i="2"/>
  <c r="K196" i="2"/>
  <c r="L196" i="2"/>
  <c r="M196" i="2"/>
  <c r="C197" i="2"/>
  <c r="D197" i="2"/>
  <c r="B197" i="2"/>
  <c r="E197" i="2"/>
  <c r="F197" i="2"/>
  <c r="G197" i="2"/>
  <c r="H197" i="2"/>
  <c r="I197" i="2"/>
  <c r="J197" i="2"/>
  <c r="K197" i="2"/>
  <c r="L197" i="2"/>
  <c r="M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C199" i="2"/>
  <c r="D199" i="2"/>
  <c r="R198" i="2"/>
  <c r="E199" i="2"/>
  <c r="F199" i="2"/>
  <c r="G199" i="2"/>
  <c r="H199" i="2"/>
  <c r="O199" i="2"/>
  <c r="I199" i="2"/>
  <c r="J199" i="2"/>
  <c r="K199" i="2"/>
  <c r="L199" i="2"/>
  <c r="M199" i="2"/>
  <c r="B200" i="2"/>
  <c r="C200" i="2"/>
  <c r="D200" i="2"/>
  <c r="E200" i="2"/>
  <c r="F200" i="2"/>
  <c r="G200" i="2"/>
  <c r="H200" i="2"/>
  <c r="P200" i="2"/>
  <c r="I200" i="2"/>
  <c r="J200" i="2"/>
  <c r="K200" i="2"/>
  <c r="L200" i="2"/>
  <c r="M200" i="2"/>
  <c r="C201" i="2"/>
  <c r="D201" i="2"/>
  <c r="E201" i="2"/>
  <c r="F201" i="2"/>
  <c r="G201" i="2"/>
  <c r="H201" i="2"/>
  <c r="I201" i="2"/>
  <c r="J201" i="2"/>
  <c r="K201" i="2"/>
  <c r="L201" i="2"/>
  <c r="M201" i="2"/>
  <c r="Q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R202" i="2"/>
  <c r="C203" i="2"/>
  <c r="B203" i="2"/>
  <c r="D203" i="2"/>
  <c r="E203" i="2"/>
  <c r="F203" i="2"/>
  <c r="G203" i="2"/>
  <c r="H203" i="2"/>
  <c r="I203" i="2"/>
  <c r="J203" i="2"/>
  <c r="K203" i="2"/>
  <c r="L203" i="2"/>
  <c r="M203" i="2"/>
  <c r="B204" i="2"/>
  <c r="C204" i="2"/>
  <c r="D204" i="2"/>
  <c r="E204" i="2"/>
  <c r="F204" i="2"/>
  <c r="G204" i="2"/>
  <c r="H204" i="2"/>
  <c r="I204" i="2"/>
  <c r="J204" i="2"/>
  <c r="K204" i="2"/>
  <c r="N204" i="2"/>
  <c r="B188" i="2"/>
  <c r="B190" i="2"/>
  <c r="B191" i="2"/>
  <c r="B195" i="2"/>
  <c r="B199" i="2"/>
  <c r="B201" i="2"/>
  <c r="N174" i="1"/>
  <c r="N174" i="2"/>
  <c r="R173" i="3"/>
  <c r="N58" i="14"/>
  <c r="O58" i="14"/>
  <c r="N57" i="14"/>
  <c r="O57" i="14"/>
  <c r="N53" i="1"/>
  <c r="Q13" i="9"/>
  <c r="R13" i="9"/>
  <c r="R143" i="3"/>
  <c r="N46" i="14"/>
  <c r="O46" i="14"/>
  <c r="N47" i="14"/>
  <c r="O47" i="14"/>
  <c r="N48" i="14"/>
  <c r="O48" i="14"/>
  <c r="N49" i="14"/>
  <c r="O49" i="14"/>
  <c r="N50" i="14"/>
  <c r="O50" i="14"/>
  <c r="N51" i="14"/>
  <c r="O51" i="14"/>
  <c r="N52" i="14"/>
  <c r="O52" i="14"/>
  <c r="N53" i="14"/>
  <c r="O53" i="14"/>
  <c r="N54" i="14"/>
  <c r="O54" i="14"/>
  <c r="N55" i="14"/>
  <c r="O55" i="14"/>
  <c r="N56" i="14"/>
  <c r="O56" i="14"/>
  <c r="P33" i="14"/>
  <c r="O33" i="14"/>
  <c r="P32" i="14"/>
  <c r="O32" i="14"/>
  <c r="P31" i="14"/>
  <c r="O31" i="14"/>
  <c r="P30" i="14"/>
  <c r="O30" i="14"/>
  <c r="P29" i="14"/>
  <c r="O29" i="14"/>
  <c r="P28" i="14"/>
  <c r="O28" i="14"/>
  <c r="P27" i="14"/>
  <c r="O27" i="14"/>
  <c r="P26" i="14"/>
  <c r="O26" i="14"/>
  <c r="P6" i="14"/>
  <c r="P7" i="14"/>
  <c r="P8" i="14"/>
  <c r="P9" i="14"/>
  <c r="P10" i="14"/>
  <c r="P11" i="14"/>
  <c r="P12" i="14"/>
  <c r="P13" i="14"/>
  <c r="P14" i="14"/>
  <c r="P5" i="14"/>
  <c r="O6" i="14"/>
  <c r="O7" i="14"/>
  <c r="O8" i="14"/>
  <c r="O9" i="14"/>
  <c r="O10" i="14"/>
  <c r="O11" i="14"/>
  <c r="O12" i="14"/>
  <c r="O13" i="14"/>
  <c r="O14" i="14"/>
  <c r="O15" i="14"/>
  <c r="O5" i="14"/>
  <c r="N26" i="14"/>
  <c r="N33" i="14"/>
  <c r="N32" i="14"/>
  <c r="N31" i="14"/>
  <c r="N30" i="14"/>
  <c r="N29" i="14"/>
  <c r="N28" i="14"/>
  <c r="N27" i="14"/>
  <c r="N6" i="14"/>
  <c r="R6" i="14"/>
  <c r="N7" i="14"/>
  <c r="R7" i="14"/>
  <c r="N8" i="14"/>
  <c r="R8" i="14"/>
  <c r="N9" i="14"/>
  <c r="R9" i="14"/>
  <c r="N10" i="14"/>
  <c r="R10" i="14"/>
  <c r="N11" i="14"/>
  <c r="R11" i="14"/>
  <c r="N12" i="14"/>
  <c r="R12" i="14"/>
  <c r="N13" i="14"/>
  <c r="R13" i="14"/>
  <c r="N14" i="14"/>
  <c r="R14" i="14"/>
  <c r="N5" i="14"/>
  <c r="R5" i="14"/>
  <c r="P169" i="2"/>
  <c r="P170" i="2"/>
  <c r="P171" i="2"/>
  <c r="N173" i="2"/>
  <c r="Q168" i="1"/>
  <c r="N53" i="2"/>
  <c r="R113" i="2"/>
  <c r="N113" i="2"/>
  <c r="N113" i="3"/>
  <c r="N53" i="3"/>
  <c r="N113" i="1"/>
  <c r="R113" i="1"/>
  <c r="Q23" i="2"/>
  <c r="N23" i="2"/>
  <c r="N23" i="3"/>
  <c r="N23" i="1"/>
  <c r="T52" i="9"/>
  <c r="U53" i="9"/>
  <c r="Q52" i="9"/>
  <c r="R52" i="9"/>
  <c r="S52" i="9"/>
  <c r="Q32" i="9"/>
  <c r="R32" i="9"/>
  <c r="S32" i="9"/>
  <c r="T32" i="9"/>
  <c r="S12" i="9"/>
  <c r="Q12" i="9"/>
  <c r="R12" i="9"/>
  <c r="T12" i="9"/>
  <c r="N173" i="3"/>
  <c r="R173" i="1"/>
  <c r="N173" i="1"/>
  <c r="N83" i="2"/>
  <c r="N82" i="3"/>
  <c r="N83" i="3"/>
  <c r="R83" i="1"/>
  <c r="N83" i="1"/>
  <c r="N143" i="2"/>
  <c r="N143" i="3"/>
  <c r="N143" i="1"/>
  <c r="R112" i="2"/>
  <c r="S108" i="1"/>
  <c r="R142" i="3"/>
  <c r="Q22" i="2"/>
  <c r="R172" i="3"/>
  <c r="S11" i="9"/>
  <c r="Q11" i="9"/>
  <c r="T51" i="9"/>
  <c r="T50" i="9"/>
  <c r="T49" i="9"/>
  <c r="T48" i="9"/>
  <c r="T47" i="9"/>
  <c r="T46" i="9"/>
  <c r="T45" i="9"/>
  <c r="T44" i="9"/>
  <c r="T31" i="9"/>
  <c r="T30" i="9"/>
  <c r="T29" i="9"/>
  <c r="T28" i="9"/>
  <c r="T27" i="9"/>
  <c r="T26" i="9"/>
  <c r="T25" i="9"/>
  <c r="T24" i="9"/>
  <c r="T5" i="9"/>
  <c r="T6" i="9"/>
  <c r="T7" i="9"/>
  <c r="T8" i="9"/>
  <c r="T9" i="9"/>
  <c r="T10" i="9"/>
  <c r="T11" i="9"/>
  <c r="T4" i="9"/>
  <c r="S51" i="9"/>
  <c r="Q51" i="9"/>
  <c r="R51" i="9"/>
  <c r="Q31" i="9"/>
  <c r="S31" i="9"/>
  <c r="R31" i="9"/>
  <c r="S10" i="9"/>
  <c r="N172" i="2"/>
  <c r="N172" i="3"/>
  <c r="R172" i="1"/>
  <c r="N172" i="1"/>
  <c r="P111" i="3"/>
  <c r="N112" i="3"/>
  <c r="R112" i="1"/>
  <c r="N82" i="2"/>
  <c r="R82" i="1"/>
  <c r="N81" i="1"/>
  <c r="N82" i="1"/>
  <c r="N22" i="2"/>
  <c r="N22" i="3"/>
  <c r="Q22" i="1"/>
  <c r="N22" i="1"/>
  <c r="N51" i="2"/>
  <c r="N52" i="2"/>
  <c r="N52" i="3"/>
  <c r="O51" i="1"/>
  <c r="N52" i="1"/>
  <c r="P141" i="3"/>
  <c r="N142" i="2"/>
  <c r="N142" i="3"/>
  <c r="N142" i="1"/>
  <c r="N141" i="1"/>
  <c r="Q26" i="9"/>
  <c r="Q27" i="9"/>
  <c r="Q29" i="9"/>
  <c r="Q28" i="9"/>
  <c r="Q30" i="9"/>
  <c r="O21" i="1"/>
  <c r="R21" i="2"/>
  <c r="R21" i="3"/>
  <c r="S21" i="1"/>
  <c r="O19" i="1"/>
  <c r="O20" i="1"/>
  <c r="O18" i="1"/>
  <c r="O17" i="1"/>
  <c r="R50" i="9"/>
  <c r="R30" i="9"/>
  <c r="R10" i="9"/>
  <c r="Q10" i="9"/>
  <c r="S9" i="9"/>
  <c r="S48" i="9"/>
  <c r="S49" i="9"/>
  <c r="S50" i="9"/>
  <c r="S47" i="9"/>
  <c r="S25" i="9"/>
  <c r="S26" i="9"/>
  <c r="S27" i="9"/>
  <c r="S28" i="9"/>
  <c r="S29" i="9"/>
  <c r="S30" i="9"/>
  <c r="S24" i="9"/>
  <c r="R171" i="2"/>
  <c r="R170" i="2"/>
  <c r="R169" i="2"/>
  <c r="R168" i="2"/>
  <c r="R167" i="2"/>
  <c r="R166" i="2"/>
  <c r="R165" i="2"/>
  <c r="R164" i="2"/>
  <c r="R163" i="2"/>
  <c r="R162" i="2"/>
  <c r="R161" i="2"/>
  <c r="R140" i="2"/>
  <c r="R131" i="2"/>
  <c r="R141" i="2"/>
  <c r="R139" i="2"/>
  <c r="R138" i="2"/>
  <c r="R137" i="2"/>
  <c r="R136" i="2"/>
  <c r="R135" i="2"/>
  <c r="R134" i="2"/>
  <c r="R133" i="2"/>
  <c r="R132" i="2"/>
  <c r="R111" i="2"/>
  <c r="R110" i="2"/>
  <c r="R109" i="2"/>
  <c r="R108" i="2"/>
  <c r="R107" i="2"/>
  <c r="R106" i="2"/>
  <c r="R103" i="2"/>
  <c r="R102" i="2"/>
  <c r="R101" i="2"/>
  <c r="R81" i="2"/>
  <c r="R80" i="2"/>
  <c r="R79" i="2"/>
  <c r="R78" i="2"/>
  <c r="R77" i="2"/>
  <c r="R76" i="2"/>
  <c r="R75" i="2"/>
  <c r="R74" i="2"/>
  <c r="R73" i="2"/>
  <c r="R72" i="2"/>
  <c r="R71" i="2"/>
  <c r="R51" i="2"/>
  <c r="R50" i="2"/>
  <c r="R49" i="2"/>
  <c r="R48" i="2"/>
  <c r="R47" i="2"/>
  <c r="R46" i="2"/>
  <c r="R45" i="2"/>
  <c r="R44" i="2"/>
  <c r="R43" i="2"/>
  <c r="R42" i="2"/>
  <c r="R41" i="2"/>
  <c r="R12" i="2"/>
  <c r="R13" i="2"/>
  <c r="R14" i="2"/>
  <c r="R15" i="2"/>
  <c r="R16" i="2"/>
  <c r="R17" i="2"/>
  <c r="R18" i="2"/>
  <c r="R19" i="2"/>
  <c r="R20" i="2"/>
  <c r="R11" i="2"/>
  <c r="E202" i="3"/>
  <c r="F202" i="3"/>
  <c r="G202" i="3"/>
  <c r="H202" i="3"/>
  <c r="I202" i="3"/>
  <c r="J202" i="3"/>
  <c r="K202" i="3"/>
  <c r="L202" i="3"/>
  <c r="M202" i="3"/>
  <c r="Q202" i="3"/>
  <c r="D202" i="3"/>
  <c r="C202" i="3"/>
  <c r="R171" i="3"/>
  <c r="R170" i="3"/>
  <c r="R141" i="3"/>
  <c r="R140" i="3"/>
  <c r="R139" i="3"/>
  <c r="R138" i="3"/>
  <c r="R137" i="3"/>
  <c r="R136" i="3"/>
  <c r="R135" i="3"/>
  <c r="R134" i="3"/>
  <c r="R133" i="3"/>
  <c r="R132" i="3"/>
  <c r="R131" i="3"/>
  <c r="R111" i="3"/>
  <c r="R110" i="3"/>
  <c r="R109" i="3"/>
  <c r="R108" i="3"/>
  <c r="R107" i="3"/>
  <c r="R106" i="3"/>
  <c r="R103" i="3"/>
  <c r="R102" i="3"/>
  <c r="R101" i="3"/>
  <c r="R81" i="3"/>
  <c r="R80" i="3"/>
  <c r="R79" i="3"/>
  <c r="R78" i="3"/>
  <c r="R77" i="3"/>
  <c r="R76" i="3"/>
  <c r="R75" i="3"/>
  <c r="R74" i="3"/>
  <c r="R73" i="3"/>
  <c r="R72" i="3"/>
  <c r="R71" i="3"/>
  <c r="R51" i="3"/>
  <c r="R50" i="3"/>
  <c r="R49" i="3"/>
  <c r="R48" i="3"/>
  <c r="R47" i="3"/>
  <c r="R46" i="3"/>
  <c r="R45" i="3"/>
  <c r="R44" i="3"/>
  <c r="R43" i="3"/>
  <c r="R42" i="3"/>
  <c r="R41" i="3"/>
  <c r="R12" i="3"/>
  <c r="R13" i="3"/>
  <c r="R14" i="3"/>
  <c r="R15" i="3"/>
  <c r="R16" i="3"/>
  <c r="R17" i="3"/>
  <c r="R18" i="3"/>
  <c r="R19" i="3"/>
  <c r="R20" i="3"/>
  <c r="R11" i="3"/>
  <c r="S171" i="1"/>
  <c r="S141" i="1"/>
  <c r="S111" i="1"/>
  <c r="S110" i="1"/>
  <c r="S81" i="1"/>
  <c r="S51" i="1"/>
  <c r="R167" i="3"/>
  <c r="R168" i="3"/>
  <c r="R169" i="3"/>
  <c r="R11" i="9"/>
  <c r="Q50" i="9"/>
  <c r="N112" i="2"/>
  <c r="N170" i="1"/>
  <c r="N171" i="1"/>
  <c r="O81" i="1"/>
  <c r="Q20" i="1"/>
  <c r="P21" i="1"/>
  <c r="N51" i="3"/>
  <c r="N51" i="1"/>
  <c r="P110" i="2"/>
  <c r="P107" i="1"/>
  <c r="P110" i="1"/>
  <c r="P109" i="1"/>
  <c r="P106" i="1"/>
  <c r="N141" i="3"/>
  <c r="N141" i="2"/>
  <c r="N81" i="3"/>
  <c r="N81" i="2"/>
  <c r="R81" i="1"/>
  <c r="B201" i="3"/>
  <c r="L200" i="3"/>
  <c r="Q200" i="3"/>
  <c r="M200" i="3"/>
  <c r="C201" i="3"/>
  <c r="D201" i="3"/>
  <c r="N171" i="3"/>
  <c r="N171" i="2"/>
  <c r="N21" i="3"/>
  <c r="Q21" i="2"/>
  <c r="N21" i="2"/>
  <c r="Q21" i="1"/>
  <c r="N21" i="1"/>
  <c r="P111" i="1"/>
  <c r="R111" i="1"/>
  <c r="R110" i="1"/>
  <c r="N111" i="3"/>
  <c r="Q110" i="2"/>
  <c r="N110" i="2"/>
  <c r="N111" i="2"/>
  <c r="N111" i="1"/>
  <c r="N110" i="1"/>
  <c r="S8" i="9"/>
  <c r="S169" i="1"/>
  <c r="S170" i="1"/>
  <c r="S166" i="1"/>
  <c r="S167" i="1"/>
  <c r="S168" i="1"/>
  <c r="R49" i="9"/>
  <c r="R48" i="9"/>
  <c r="R47" i="9"/>
  <c r="R46" i="9"/>
  <c r="R45" i="9"/>
  <c r="R44" i="9"/>
  <c r="R29" i="9"/>
  <c r="R28" i="9"/>
  <c r="R27" i="9"/>
  <c r="R26" i="9"/>
  <c r="R25" i="9"/>
  <c r="R24" i="9"/>
  <c r="R5" i="9"/>
  <c r="R6" i="9"/>
  <c r="R7" i="9"/>
  <c r="R8" i="9"/>
  <c r="R9" i="9"/>
  <c r="R4" i="9"/>
  <c r="Q49" i="9"/>
  <c r="Q48" i="9"/>
  <c r="Q47" i="9"/>
  <c r="S46" i="9"/>
  <c r="Q46" i="9"/>
  <c r="S45" i="9"/>
  <c r="Q45" i="9"/>
  <c r="S44" i="9"/>
  <c r="Q44" i="9"/>
  <c r="Q25" i="9"/>
  <c r="Q24" i="9"/>
  <c r="S5" i="9"/>
  <c r="S6" i="9"/>
  <c r="S7" i="9"/>
  <c r="S4" i="9"/>
  <c r="Q5" i="9"/>
  <c r="Q6" i="9"/>
  <c r="Q7" i="9"/>
  <c r="Q8" i="9"/>
  <c r="Q9" i="9"/>
  <c r="Q4" i="9"/>
  <c r="P166" i="2"/>
  <c r="R162" i="3"/>
  <c r="R163" i="3"/>
  <c r="R164" i="3"/>
  <c r="R165" i="3"/>
  <c r="R166" i="3"/>
  <c r="R161" i="3"/>
  <c r="P81" i="1"/>
  <c r="Q170" i="1"/>
  <c r="S165" i="1"/>
  <c r="S164" i="1"/>
  <c r="S163" i="1"/>
  <c r="S162" i="1"/>
  <c r="S161" i="1"/>
  <c r="S140" i="1"/>
  <c r="S139" i="1"/>
  <c r="S138" i="1"/>
  <c r="S137" i="1"/>
  <c r="S136" i="1"/>
  <c r="S135" i="1"/>
  <c r="S133" i="1"/>
  <c r="S132" i="1"/>
  <c r="S131" i="1"/>
  <c r="S109" i="1"/>
  <c r="S107" i="1"/>
  <c r="S106" i="1"/>
  <c r="S105" i="1"/>
  <c r="S104" i="1"/>
  <c r="S103" i="1"/>
  <c r="S102" i="1"/>
  <c r="S101" i="1"/>
  <c r="S80" i="1"/>
  <c r="S79" i="1"/>
  <c r="S78" i="1"/>
  <c r="S77" i="1"/>
  <c r="S76" i="1"/>
  <c r="S75" i="1"/>
  <c r="S74" i="1"/>
  <c r="S73" i="1"/>
  <c r="S72" i="1"/>
  <c r="S71" i="1"/>
  <c r="S50" i="1"/>
  <c r="S49" i="1"/>
  <c r="S48" i="1"/>
  <c r="S47" i="1"/>
  <c r="S46" i="1"/>
  <c r="S45" i="1"/>
  <c r="S44" i="1"/>
  <c r="S43" i="1"/>
  <c r="S42" i="1"/>
  <c r="S41" i="1"/>
  <c r="S11" i="1"/>
  <c r="S12" i="1"/>
  <c r="S13" i="1"/>
  <c r="S14" i="1"/>
  <c r="S15" i="1"/>
  <c r="S16" i="1"/>
  <c r="S17" i="1"/>
  <c r="S18" i="1"/>
  <c r="S19" i="1"/>
  <c r="S20" i="1"/>
  <c r="P171" i="3"/>
  <c r="P81" i="3"/>
  <c r="P51" i="3"/>
  <c r="P21" i="3"/>
  <c r="P111" i="2"/>
  <c r="P81" i="2"/>
  <c r="P51" i="2"/>
  <c r="O171" i="1"/>
  <c r="O166" i="1"/>
  <c r="O167" i="1"/>
  <c r="O168" i="1"/>
  <c r="O169" i="1"/>
  <c r="O170" i="1"/>
  <c r="P171" i="1"/>
  <c r="R171" i="1"/>
  <c r="O140" i="1"/>
  <c r="O141" i="1"/>
  <c r="O108" i="1"/>
  <c r="O110" i="1"/>
  <c r="O111" i="1"/>
  <c r="O80" i="1"/>
  <c r="P51" i="1"/>
  <c r="C200" i="1"/>
  <c r="N200" i="1"/>
  <c r="E201" i="3"/>
  <c r="F201" i="3"/>
  <c r="G201" i="3"/>
  <c r="H201" i="3"/>
  <c r="O201" i="3"/>
  <c r="I201" i="3"/>
  <c r="J201" i="3"/>
  <c r="K201" i="3"/>
  <c r="P141" i="2"/>
  <c r="P21" i="2"/>
  <c r="P140" i="1"/>
  <c r="P141" i="1"/>
  <c r="P50" i="2"/>
  <c r="Q50" i="2"/>
  <c r="Q50" i="3"/>
  <c r="R170" i="1"/>
  <c r="R20" i="1"/>
  <c r="B200" i="1"/>
  <c r="L199" i="1"/>
  <c r="M199" i="1"/>
  <c r="Q199" i="1"/>
  <c r="Q140" i="1"/>
  <c r="N140" i="2"/>
  <c r="Q140" i="2"/>
  <c r="Q170" i="2"/>
  <c r="Q169" i="2"/>
  <c r="P140" i="2"/>
  <c r="Q20" i="2"/>
  <c r="Q170" i="3"/>
  <c r="N170" i="3"/>
  <c r="N170" i="2"/>
  <c r="N140" i="1"/>
  <c r="J200" i="3"/>
  <c r="K200" i="3"/>
  <c r="I200" i="3"/>
  <c r="P110" i="3"/>
  <c r="Q110" i="3"/>
  <c r="N110" i="3"/>
  <c r="Q110" i="1"/>
  <c r="R109" i="1"/>
  <c r="P80" i="2"/>
  <c r="Q80" i="2"/>
  <c r="P80" i="3"/>
  <c r="Q80" i="3"/>
  <c r="Q80" i="1"/>
  <c r="R80" i="1"/>
  <c r="P140" i="3"/>
  <c r="Q140" i="3"/>
  <c r="N140" i="3"/>
  <c r="R140" i="1"/>
  <c r="N80" i="3"/>
  <c r="N80" i="2"/>
  <c r="N80" i="1"/>
  <c r="P80" i="1"/>
  <c r="P50" i="3"/>
  <c r="N50" i="3"/>
  <c r="Q139" i="3"/>
  <c r="Q137" i="3"/>
  <c r="Q138" i="3"/>
  <c r="Q20" i="3"/>
  <c r="N50" i="2"/>
  <c r="B185" i="1"/>
  <c r="Q50" i="1"/>
  <c r="R50" i="1"/>
  <c r="P50" i="1"/>
  <c r="R49" i="1"/>
  <c r="N50" i="1"/>
  <c r="N5" i="3"/>
  <c r="N6" i="3"/>
  <c r="N7" i="3"/>
  <c r="N8" i="3"/>
  <c r="N9" i="3"/>
  <c r="N10" i="3"/>
  <c r="N11" i="3"/>
  <c r="P11" i="3"/>
  <c r="Q11" i="3"/>
  <c r="N12" i="3"/>
  <c r="P12" i="3"/>
  <c r="Q12" i="3"/>
  <c r="N13" i="3"/>
  <c r="P13" i="3"/>
  <c r="Q13" i="3"/>
  <c r="N14" i="3"/>
  <c r="P14" i="3"/>
  <c r="Q14" i="3"/>
  <c r="H15" i="3"/>
  <c r="I15" i="3"/>
  <c r="Q15" i="3"/>
  <c r="N16" i="3"/>
  <c r="P16" i="3"/>
  <c r="Q16" i="3"/>
  <c r="N17" i="3"/>
  <c r="P17" i="3"/>
  <c r="Q17" i="3"/>
  <c r="N18" i="3"/>
  <c r="P18" i="3"/>
  <c r="Q18" i="3"/>
  <c r="N19" i="3"/>
  <c r="P19" i="3"/>
  <c r="Q19" i="3"/>
  <c r="N20" i="3"/>
  <c r="P20" i="3"/>
  <c r="N35" i="3"/>
  <c r="N36" i="3"/>
  <c r="N37" i="3"/>
  <c r="N38" i="3"/>
  <c r="N39" i="3"/>
  <c r="N40" i="3"/>
  <c r="N41" i="3"/>
  <c r="P41" i="3"/>
  <c r="Q41" i="3"/>
  <c r="N42" i="3"/>
  <c r="P42" i="3"/>
  <c r="Q42" i="3"/>
  <c r="N43" i="3"/>
  <c r="P43" i="3"/>
  <c r="Q43" i="3"/>
  <c r="N44" i="3"/>
  <c r="P44" i="3"/>
  <c r="Q44" i="3"/>
  <c r="F45" i="3"/>
  <c r="N45" i="3"/>
  <c r="Q45" i="3"/>
  <c r="F46" i="3"/>
  <c r="G46" i="3"/>
  <c r="G196" i="3"/>
  <c r="I46" i="3"/>
  <c r="I196" i="3"/>
  <c r="Q46" i="3"/>
  <c r="N47" i="3"/>
  <c r="P47" i="3"/>
  <c r="Q47" i="3"/>
  <c r="N48" i="3"/>
  <c r="P48" i="3"/>
  <c r="Q48" i="3"/>
  <c r="N49" i="3"/>
  <c r="P49" i="3"/>
  <c r="Q49" i="3"/>
  <c r="N65" i="3"/>
  <c r="N66" i="3"/>
  <c r="N67" i="3"/>
  <c r="N68" i="3"/>
  <c r="N69" i="3"/>
  <c r="N70" i="3"/>
  <c r="N71" i="3"/>
  <c r="P71" i="3"/>
  <c r="Q71" i="3"/>
  <c r="N72" i="3"/>
  <c r="P72" i="3"/>
  <c r="Q72" i="3"/>
  <c r="N73" i="3"/>
  <c r="P73" i="3"/>
  <c r="Q73" i="3"/>
  <c r="N74" i="3"/>
  <c r="P74" i="3"/>
  <c r="Q74" i="3"/>
  <c r="N75" i="3"/>
  <c r="P75" i="3"/>
  <c r="Q75" i="3"/>
  <c r="N76" i="3"/>
  <c r="P76" i="3"/>
  <c r="Q76" i="3"/>
  <c r="N77" i="3"/>
  <c r="P77" i="3"/>
  <c r="Q77" i="3"/>
  <c r="N78" i="3"/>
  <c r="P78" i="3"/>
  <c r="Q78" i="3"/>
  <c r="N79" i="3"/>
  <c r="P79" i="3"/>
  <c r="Q79" i="3"/>
  <c r="N95" i="3"/>
  <c r="N96" i="3"/>
  <c r="N97" i="3"/>
  <c r="N98" i="3"/>
  <c r="N99" i="3"/>
  <c r="N100" i="3"/>
  <c r="N101" i="3"/>
  <c r="P101" i="3"/>
  <c r="Q101" i="3"/>
  <c r="N102" i="3"/>
  <c r="P102" i="3"/>
  <c r="Q102" i="3"/>
  <c r="N103" i="3"/>
  <c r="P103" i="3"/>
  <c r="Q103" i="3"/>
  <c r="N106" i="3"/>
  <c r="P106" i="3"/>
  <c r="Q106" i="3"/>
  <c r="N107" i="3"/>
  <c r="P107" i="3"/>
  <c r="Q107" i="3"/>
  <c r="N108" i="3"/>
  <c r="P108" i="3"/>
  <c r="Q108" i="3"/>
  <c r="N109" i="3"/>
  <c r="P109" i="3"/>
  <c r="Q109" i="3"/>
  <c r="N125" i="3"/>
  <c r="N126" i="3"/>
  <c r="N127" i="3"/>
  <c r="N128" i="3"/>
  <c r="N129" i="3"/>
  <c r="N130" i="3"/>
  <c r="N131" i="3"/>
  <c r="P131" i="3"/>
  <c r="Q131" i="3"/>
  <c r="N132" i="3"/>
  <c r="P132" i="3"/>
  <c r="Q132" i="3"/>
  <c r="N133" i="3"/>
  <c r="P133" i="3"/>
  <c r="Q133" i="3"/>
  <c r="N134" i="3"/>
  <c r="P134" i="3"/>
  <c r="Q134" i="3"/>
  <c r="N135" i="3"/>
  <c r="P135" i="3"/>
  <c r="Q135" i="3"/>
  <c r="N136" i="3"/>
  <c r="P136" i="3"/>
  <c r="Q136" i="3"/>
  <c r="N137" i="3"/>
  <c r="P137" i="3"/>
  <c r="N138" i="3"/>
  <c r="P138" i="3"/>
  <c r="P139" i="3"/>
  <c r="N139" i="3"/>
  <c r="N155" i="3"/>
  <c r="N156" i="3"/>
  <c r="N157" i="3"/>
  <c r="N158" i="3"/>
  <c r="N159" i="3"/>
  <c r="N160" i="3"/>
  <c r="N161" i="3"/>
  <c r="Q161" i="3"/>
  <c r="N162" i="3"/>
  <c r="P162" i="3"/>
  <c r="Q162" i="3"/>
  <c r="N163" i="3"/>
  <c r="P163" i="3"/>
  <c r="Q163" i="3"/>
  <c r="N164" i="3"/>
  <c r="P164" i="3"/>
  <c r="Q164" i="3"/>
  <c r="N165" i="3"/>
  <c r="P165" i="3"/>
  <c r="Q165" i="3"/>
  <c r="N166" i="3"/>
  <c r="P166" i="3"/>
  <c r="Q166" i="3"/>
  <c r="N167" i="3"/>
  <c r="P167" i="3"/>
  <c r="Q167" i="3"/>
  <c r="N168" i="3"/>
  <c r="P168" i="3"/>
  <c r="Q168" i="3"/>
  <c r="N169" i="3"/>
  <c r="P169" i="3"/>
  <c r="Q169" i="3"/>
  <c r="P170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B189" i="3"/>
  <c r="C189" i="3"/>
  <c r="D189" i="3"/>
  <c r="E189" i="3"/>
  <c r="F189" i="3"/>
  <c r="G189" i="3"/>
  <c r="H189" i="3"/>
  <c r="O189" i="3"/>
  <c r="I189" i="3"/>
  <c r="J189" i="3"/>
  <c r="K189" i="3"/>
  <c r="L189" i="3"/>
  <c r="M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B191" i="3"/>
  <c r="C191" i="3"/>
  <c r="D191" i="3"/>
  <c r="E191" i="3"/>
  <c r="F191" i="3"/>
  <c r="G191" i="3"/>
  <c r="H191" i="3"/>
  <c r="O191" i="3"/>
  <c r="I191" i="3"/>
  <c r="J191" i="3"/>
  <c r="K191" i="3"/>
  <c r="L191" i="3"/>
  <c r="Q191" i="3"/>
  <c r="M191" i="3"/>
  <c r="B192" i="3"/>
  <c r="C192" i="3"/>
  <c r="D192" i="3"/>
  <c r="E192" i="3"/>
  <c r="F192" i="3"/>
  <c r="G192" i="3"/>
  <c r="H192" i="3"/>
  <c r="I192" i="3"/>
  <c r="J192" i="3"/>
  <c r="K192" i="3"/>
  <c r="L192" i="3"/>
  <c r="Q192" i="3"/>
  <c r="M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B194" i="3"/>
  <c r="C194" i="3"/>
  <c r="D194" i="3"/>
  <c r="E194" i="3"/>
  <c r="F194" i="3"/>
  <c r="G194" i="3"/>
  <c r="H194" i="3"/>
  <c r="P194" i="3"/>
  <c r="I194" i="3"/>
  <c r="B195" i="3"/>
  <c r="D195" i="3"/>
  <c r="E196" i="3"/>
  <c r="H196" i="3"/>
  <c r="J196" i="3"/>
  <c r="K196" i="3"/>
  <c r="L196" i="3"/>
  <c r="M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B198" i="3"/>
  <c r="C198" i="3"/>
  <c r="D198" i="3"/>
  <c r="R197" i="3"/>
  <c r="E198" i="3"/>
  <c r="F198" i="3"/>
  <c r="G198" i="3"/>
  <c r="H198" i="3"/>
  <c r="I198" i="3"/>
  <c r="J198" i="3"/>
  <c r="K198" i="3"/>
  <c r="L198" i="3"/>
  <c r="M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B200" i="3"/>
  <c r="C200" i="3"/>
  <c r="D200" i="3"/>
  <c r="E200" i="3"/>
  <c r="F200" i="3"/>
  <c r="G200" i="3"/>
  <c r="H200" i="3"/>
  <c r="N5" i="2"/>
  <c r="N6" i="2"/>
  <c r="N7" i="2"/>
  <c r="N8" i="2"/>
  <c r="N9" i="2"/>
  <c r="N10" i="2"/>
  <c r="N11" i="2"/>
  <c r="P11" i="2"/>
  <c r="Q11" i="2"/>
  <c r="N12" i="2"/>
  <c r="P12" i="2"/>
  <c r="Q12" i="2"/>
  <c r="N13" i="2"/>
  <c r="P13" i="2"/>
  <c r="Q13" i="2"/>
  <c r="N14" i="2"/>
  <c r="P14" i="2"/>
  <c r="Q14" i="2"/>
  <c r="H15" i="2"/>
  <c r="I15" i="2"/>
  <c r="Q15" i="2"/>
  <c r="O16" i="2"/>
  <c r="Q16" i="2"/>
  <c r="N17" i="2"/>
  <c r="P17" i="2"/>
  <c r="Q17" i="2"/>
  <c r="N18" i="2"/>
  <c r="P18" i="2"/>
  <c r="Q18" i="2"/>
  <c r="N19" i="2"/>
  <c r="P19" i="2"/>
  <c r="Q19" i="2"/>
  <c r="N20" i="2"/>
  <c r="P20" i="2"/>
  <c r="N35" i="2"/>
  <c r="N36" i="2"/>
  <c r="N37" i="2"/>
  <c r="N38" i="2"/>
  <c r="N39" i="2"/>
  <c r="N40" i="2"/>
  <c r="N41" i="2"/>
  <c r="P41" i="2"/>
  <c r="Q41" i="2"/>
  <c r="N42" i="2"/>
  <c r="P42" i="2"/>
  <c r="Q42" i="2"/>
  <c r="N43" i="2"/>
  <c r="P43" i="2"/>
  <c r="Q43" i="2"/>
  <c r="N44" i="2"/>
  <c r="P44" i="2"/>
  <c r="Q44" i="2"/>
  <c r="N45" i="2"/>
  <c r="P45" i="2"/>
  <c r="Q45" i="2"/>
  <c r="N46" i="2"/>
  <c r="P46" i="2"/>
  <c r="Q46" i="2"/>
  <c r="N47" i="2"/>
  <c r="P47" i="2"/>
  <c r="Q47" i="2"/>
  <c r="N48" i="2"/>
  <c r="P48" i="2"/>
  <c r="Q48" i="2"/>
  <c r="N49" i="2"/>
  <c r="P49" i="2"/>
  <c r="Q49" i="2"/>
  <c r="N65" i="2"/>
  <c r="N66" i="2"/>
  <c r="N67" i="2"/>
  <c r="N68" i="2"/>
  <c r="N69" i="2"/>
  <c r="N70" i="2"/>
  <c r="N71" i="2"/>
  <c r="P71" i="2"/>
  <c r="Q71" i="2"/>
  <c r="N72" i="2"/>
  <c r="P72" i="2"/>
  <c r="Q72" i="2"/>
  <c r="N73" i="2"/>
  <c r="P73" i="2"/>
  <c r="Q73" i="2"/>
  <c r="N74" i="2"/>
  <c r="P74" i="2"/>
  <c r="Q74" i="2"/>
  <c r="N75" i="2"/>
  <c r="P75" i="2"/>
  <c r="Q75" i="2"/>
  <c r="N76" i="2"/>
  <c r="P76" i="2"/>
  <c r="Q76" i="2"/>
  <c r="N77" i="2"/>
  <c r="P77" i="2"/>
  <c r="Q77" i="2"/>
  <c r="N78" i="2"/>
  <c r="P78" i="2"/>
  <c r="Q78" i="2"/>
  <c r="N79" i="2"/>
  <c r="P79" i="2"/>
  <c r="Q79" i="2"/>
  <c r="N95" i="2"/>
  <c r="N96" i="2"/>
  <c r="N97" i="2"/>
  <c r="N98" i="2"/>
  <c r="N99" i="2"/>
  <c r="N100" i="2"/>
  <c r="N101" i="2"/>
  <c r="P101" i="2"/>
  <c r="Q101" i="2"/>
  <c r="N102" i="2"/>
  <c r="P102" i="2"/>
  <c r="Q102" i="2"/>
  <c r="N103" i="2"/>
  <c r="P103" i="2"/>
  <c r="Q103" i="2"/>
  <c r="J104" i="2"/>
  <c r="K104" i="2"/>
  <c r="K194" i="2"/>
  <c r="L104" i="2"/>
  <c r="M104" i="2"/>
  <c r="C105" i="2"/>
  <c r="C195" i="2"/>
  <c r="D105" i="2"/>
  <c r="D195" i="2"/>
  <c r="E105" i="2"/>
  <c r="F105" i="2"/>
  <c r="F195" i="2"/>
  <c r="G105" i="2"/>
  <c r="G195" i="2"/>
  <c r="H105" i="2"/>
  <c r="H195" i="2"/>
  <c r="I105" i="2"/>
  <c r="I195" i="2"/>
  <c r="J105" i="2"/>
  <c r="J195" i="2"/>
  <c r="K105" i="2"/>
  <c r="K195" i="2"/>
  <c r="L105" i="2"/>
  <c r="M105" i="2"/>
  <c r="N106" i="2"/>
  <c r="P106" i="2"/>
  <c r="Q106" i="2"/>
  <c r="N107" i="2"/>
  <c r="P107" i="2"/>
  <c r="Q107" i="2"/>
  <c r="N108" i="2"/>
  <c r="P108" i="2"/>
  <c r="Q108" i="2"/>
  <c r="N109" i="2"/>
  <c r="P109" i="2"/>
  <c r="Q109" i="2"/>
  <c r="N125" i="2"/>
  <c r="N126" i="2"/>
  <c r="N127" i="2"/>
  <c r="N128" i="2"/>
  <c r="N129" i="2"/>
  <c r="N130" i="2"/>
  <c r="N131" i="2"/>
  <c r="P131" i="2"/>
  <c r="Q131" i="2"/>
  <c r="N132" i="2"/>
  <c r="P132" i="2"/>
  <c r="Q132" i="2"/>
  <c r="N133" i="2"/>
  <c r="P133" i="2"/>
  <c r="Q133" i="2"/>
  <c r="N134" i="2"/>
  <c r="P134" i="2"/>
  <c r="Q134" i="2"/>
  <c r="N135" i="2"/>
  <c r="P135" i="2"/>
  <c r="Q135" i="2"/>
  <c r="N136" i="2"/>
  <c r="P136" i="2"/>
  <c r="Q136" i="2"/>
  <c r="N137" i="2"/>
  <c r="P137" i="2"/>
  <c r="Q137" i="2"/>
  <c r="Q138" i="2"/>
  <c r="Q139" i="2"/>
  <c r="N138" i="2"/>
  <c r="P138" i="2"/>
  <c r="N139" i="2"/>
  <c r="P139" i="2"/>
  <c r="N155" i="2"/>
  <c r="N156" i="2"/>
  <c r="N157" i="2"/>
  <c r="N158" i="2"/>
  <c r="N159" i="2"/>
  <c r="N160" i="2"/>
  <c r="N161" i="2"/>
  <c r="P161" i="2"/>
  <c r="Q161" i="2"/>
  <c r="N162" i="2"/>
  <c r="P162" i="2"/>
  <c r="Q162" i="2"/>
  <c r="N163" i="2"/>
  <c r="P163" i="2"/>
  <c r="Q163" i="2"/>
  <c r="N164" i="2"/>
  <c r="P164" i="2"/>
  <c r="Q164" i="2"/>
  <c r="N165" i="2"/>
  <c r="P165" i="2"/>
  <c r="Q165" i="2"/>
  <c r="N166" i="2"/>
  <c r="Q166" i="2"/>
  <c r="N167" i="2"/>
  <c r="P167" i="2"/>
  <c r="Q167" i="2"/>
  <c r="N168" i="2"/>
  <c r="P168" i="2"/>
  <c r="Q168" i="2"/>
  <c r="N169" i="2"/>
  <c r="N5" i="1"/>
  <c r="N6" i="1"/>
  <c r="N7" i="1"/>
  <c r="N8" i="1"/>
  <c r="N9" i="1"/>
  <c r="N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P17" i="1"/>
  <c r="Q17" i="1"/>
  <c r="R17" i="1"/>
  <c r="N18" i="1"/>
  <c r="P18" i="1"/>
  <c r="Q18" i="1"/>
  <c r="R18" i="1"/>
  <c r="N19" i="1"/>
  <c r="P19" i="1"/>
  <c r="Q19" i="1"/>
  <c r="R19" i="1"/>
  <c r="N20" i="1"/>
  <c r="P20" i="1"/>
  <c r="N35" i="1"/>
  <c r="N36" i="1"/>
  <c r="N37" i="1"/>
  <c r="N38" i="1"/>
  <c r="N39" i="1"/>
  <c r="N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E45" i="1"/>
  <c r="F45" i="1"/>
  <c r="E195" i="1"/>
  <c r="B195" i="1"/>
  <c r="C195" i="1"/>
  <c r="D195" i="1"/>
  <c r="G195" i="1"/>
  <c r="H195" i="1"/>
  <c r="I195" i="1"/>
  <c r="J195" i="1"/>
  <c r="K195" i="1"/>
  <c r="L195" i="1"/>
  <c r="M195" i="1"/>
  <c r="Q45" i="1"/>
  <c r="R45" i="1"/>
  <c r="E46" i="1"/>
  <c r="E196" i="1"/>
  <c r="F46" i="1"/>
  <c r="F196" i="1"/>
  <c r="G46" i="1"/>
  <c r="G196" i="1"/>
  <c r="H46" i="1"/>
  <c r="H19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O50" i="1"/>
  <c r="N65" i="1"/>
  <c r="N66" i="1"/>
  <c r="N67" i="1"/>
  <c r="N68" i="1"/>
  <c r="N69" i="1"/>
  <c r="N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95" i="1"/>
  <c r="N96" i="1"/>
  <c r="N97" i="1"/>
  <c r="N98" i="1"/>
  <c r="N99" i="1"/>
  <c r="N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Q106" i="1"/>
  <c r="R106" i="1"/>
  <c r="N107" i="1"/>
  <c r="O107" i="1"/>
  <c r="Q107" i="1"/>
  <c r="R107" i="1"/>
  <c r="N108" i="1"/>
  <c r="P108" i="1"/>
  <c r="Q108" i="1"/>
  <c r="R108" i="1"/>
  <c r="N109" i="1"/>
  <c r="O109" i="1"/>
  <c r="Q109" i="1"/>
  <c r="N125" i="1"/>
  <c r="N126" i="1"/>
  <c r="N127" i="1"/>
  <c r="N128" i="1"/>
  <c r="N129" i="1"/>
  <c r="N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L134" i="1"/>
  <c r="R134" i="1"/>
  <c r="O134" i="1"/>
  <c r="P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55" i="1"/>
  <c r="N156" i="1"/>
  <c r="N157" i="1"/>
  <c r="N158" i="1"/>
  <c r="N159" i="1"/>
  <c r="N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P166" i="1"/>
  <c r="Q166" i="1"/>
  <c r="R166" i="1"/>
  <c r="N167" i="1"/>
  <c r="P167" i="1"/>
  <c r="Q167" i="1"/>
  <c r="R167" i="1"/>
  <c r="N168" i="1"/>
  <c r="P168" i="1"/>
  <c r="R168" i="1"/>
  <c r="N169" i="1"/>
  <c r="P169" i="1"/>
  <c r="Q169" i="1"/>
  <c r="R169" i="1"/>
  <c r="P170" i="1"/>
  <c r="C185" i="1"/>
  <c r="D185" i="1"/>
  <c r="O185" i="1"/>
  <c r="K185" i="1"/>
  <c r="K186" i="1"/>
  <c r="K187" i="1"/>
  <c r="N187" i="1"/>
  <c r="O187" i="1"/>
  <c r="K188" i="1"/>
  <c r="O188" i="1"/>
  <c r="K189" i="1"/>
  <c r="N189" i="1"/>
  <c r="O189" i="1"/>
  <c r="K190" i="1"/>
  <c r="O190" i="1"/>
  <c r="E191" i="1"/>
  <c r="F191" i="1"/>
  <c r="G191" i="1"/>
  <c r="H191" i="1"/>
  <c r="I191" i="1"/>
  <c r="J191" i="1"/>
  <c r="K191" i="1"/>
  <c r="L191" i="1"/>
  <c r="M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B193" i="1"/>
  <c r="C193" i="1"/>
  <c r="D193" i="1"/>
  <c r="E193" i="1"/>
  <c r="O193" i="1"/>
  <c r="F193" i="1"/>
  <c r="G193" i="1"/>
  <c r="H193" i="1"/>
  <c r="I193" i="1"/>
  <c r="J193" i="1"/>
  <c r="K193" i="1"/>
  <c r="L193" i="1"/>
  <c r="M193" i="1"/>
  <c r="B194" i="1"/>
  <c r="C194" i="1"/>
  <c r="D194" i="1"/>
  <c r="E194" i="1"/>
  <c r="F194" i="1"/>
  <c r="G194" i="1"/>
  <c r="H194" i="1"/>
  <c r="I194" i="1"/>
  <c r="J194" i="1"/>
  <c r="K194" i="1"/>
  <c r="L194" i="1"/>
  <c r="Q194" i="1"/>
  <c r="M194" i="1"/>
  <c r="B196" i="1"/>
  <c r="C196" i="1"/>
  <c r="D196" i="1"/>
  <c r="I196" i="1"/>
  <c r="J196" i="1"/>
  <c r="K196" i="1"/>
  <c r="L196" i="1"/>
  <c r="M196" i="1"/>
  <c r="B197" i="1"/>
  <c r="C197" i="1"/>
  <c r="D197" i="1"/>
  <c r="E197" i="1"/>
  <c r="F197" i="1"/>
  <c r="G197" i="1"/>
  <c r="H197" i="1"/>
  <c r="I197" i="1"/>
  <c r="J197" i="1"/>
  <c r="K197" i="1"/>
  <c r="L197" i="1"/>
  <c r="Q197" i="1"/>
  <c r="M197" i="1"/>
  <c r="B198" i="1"/>
  <c r="C198" i="1"/>
  <c r="D198" i="1"/>
  <c r="E198" i="1"/>
  <c r="F198" i="1"/>
  <c r="G198" i="1"/>
  <c r="H198" i="1"/>
  <c r="I198" i="1"/>
  <c r="J198" i="1"/>
  <c r="K198" i="1"/>
  <c r="L198" i="1"/>
  <c r="Q198" i="1"/>
  <c r="M198" i="1"/>
  <c r="B199" i="1"/>
  <c r="C199" i="1"/>
  <c r="D199" i="1"/>
  <c r="E199" i="1"/>
  <c r="F199" i="1"/>
  <c r="G199" i="1"/>
  <c r="O199" i="1"/>
  <c r="H199" i="1"/>
  <c r="I199" i="1"/>
  <c r="J199" i="1"/>
  <c r="K199" i="1"/>
  <c r="Q105" i="2"/>
  <c r="Q134" i="1"/>
  <c r="P46" i="3"/>
  <c r="N16" i="2"/>
  <c r="S134" i="1"/>
  <c r="N134" i="1"/>
  <c r="L195" i="2"/>
  <c r="R114" i="2"/>
  <c r="P16" i="2"/>
  <c r="G24" i="15"/>
  <c r="O45" i="3"/>
  <c r="N46" i="1"/>
  <c r="O203" i="3"/>
  <c r="Q199" i="3"/>
  <c r="P200" i="1"/>
  <c r="X16" i="16"/>
  <c r="Q202" i="2"/>
  <c r="H29" i="15"/>
  <c r="D25" i="15"/>
  <c r="J25" i="15"/>
  <c r="O27" i="16"/>
  <c r="R27" i="16"/>
  <c r="E24" i="15"/>
  <c r="Q25" i="15"/>
  <c r="G16" i="15"/>
  <c r="H16" i="15"/>
  <c r="L194" i="3"/>
  <c r="H19" i="15"/>
  <c r="G19" i="15"/>
  <c r="Q198" i="3"/>
  <c r="R104" i="3"/>
  <c r="P105" i="3"/>
  <c r="P45" i="3"/>
  <c r="Q197" i="3"/>
  <c r="O204" i="3"/>
  <c r="P27" i="15"/>
  <c r="G28" i="16"/>
  <c r="Q26" i="16"/>
  <c r="P26" i="16"/>
  <c r="P29" i="15"/>
  <c r="Q29" i="15"/>
  <c r="P28" i="16"/>
  <c r="Q28" i="16"/>
  <c r="H26" i="15"/>
  <c r="G26" i="15"/>
  <c r="N207" i="2"/>
  <c r="K27" i="15"/>
  <c r="K24" i="15"/>
  <c r="L194" i="2"/>
  <c r="P104" i="2"/>
  <c r="Q203" i="1"/>
  <c r="P114" i="1"/>
  <c r="D9" i="16"/>
  <c r="J9" i="16"/>
  <c r="I9" i="16"/>
  <c r="O6" i="16"/>
  <c r="R6" i="16"/>
  <c r="P46" i="1"/>
  <c r="H26" i="16"/>
  <c r="H24" i="15"/>
  <c r="E25" i="15"/>
  <c r="G19" i="16"/>
  <c r="H19" i="16"/>
  <c r="Q16" i="15"/>
  <c r="Q16" i="16"/>
  <c r="P16" i="16"/>
  <c r="D15" i="15"/>
  <c r="P14" i="16"/>
  <c r="P15" i="15"/>
  <c r="K15" i="15"/>
  <c r="K14" i="15"/>
  <c r="K17" i="16"/>
  <c r="J14" i="16"/>
  <c r="I14" i="16"/>
  <c r="Q15" i="16"/>
  <c r="E19" i="16"/>
  <c r="E15" i="15"/>
  <c r="C20" i="15"/>
  <c r="H14" i="16"/>
  <c r="Q18" i="15"/>
  <c r="P14" i="15"/>
  <c r="K19" i="16"/>
  <c r="H15" i="16"/>
  <c r="K16" i="16"/>
  <c r="B212" i="3"/>
  <c r="P17" i="16"/>
  <c r="P17" i="15"/>
  <c r="H16" i="16"/>
  <c r="N207" i="3"/>
  <c r="R204" i="3"/>
  <c r="X14" i="16"/>
  <c r="D8" i="16"/>
  <c r="L8" i="16"/>
  <c r="G6" i="16"/>
  <c r="G8" i="16"/>
  <c r="H5" i="16"/>
  <c r="P9" i="16"/>
  <c r="P6" i="16"/>
  <c r="G4" i="15"/>
  <c r="L25" i="15"/>
  <c r="E16" i="15"/>
  <c r="K16" i="15"/>
  <c r="G8" i="15"/>
  <c r="H7" i="16"/>
  <c r="H9" i="16"/>
  <c r="K4" i="15"/>
  <c r="E8" i="16"/>
  <c r="P9" i="15"/>
  <c r="P7" i="15"/>
  <c r="Q8" i="15"/>
  <c r="E4" i="15"/>
  <c r="K8" i="16"/>
  <c r="G5" i="16"/>
  <c r="P4" i="15"/>
  <c r="Q28" i="19"/>
  <c r="P28" i="19"/>
  <c r="E5" i="17"/>
  <c r="P104" i="3"/>
  <c r="J194" i="3"/>
  <c r="K19" i="19"/>
  <c r="H19" i="19"/>
  <c r="G19" i="19"/>
  <c r="G205" i="1"/>
  <c r="S19" i="17"/>
  <c r="R19" i="17"/>
  <c r="Q15" i="19"/>
  <c r="P15" i="19"/>
  <c r="N187" i="2"/>
  <c r="E26" i="15"/>
  <c r="N20" i="16"/>
  <c r="P20" i="16"/>
  <c r="N202" i="3"/>
  <c r="O186" i="1"/>
  <c r="E15" i="17"/>
  <c r="L9" i="17"/>
  <c r="J9" i="17"/>
  <c r="I9" i="17"/>
  <c r="N15" i="3"/>
  <c r="S6" i="17"/>
  <c r="Q203" i="3"/>
  <c r="R203" i="3"/>
  <c r="G25" i="15"/>
  <c r="K5" i="17"/>
  <c r="R32" i="3"/>
  <c r="Q122" i="3"/>
  <c r="D17" i="15"/>
  <c r="L17" i="15"/>
  <c r="R152" i="1"/>
  <c r="Q9" i="19"/>
  <c r="P9" i="19"/>
  <c r="P199" i="2"/>
  <c r="P186" i="1"/>
  <c r="K15" i="17"/>
  <c r="D205" i="1"/>
  <c r="S114" i="1"/>
  <c r="F25" i="19"/>
  <c r="L25" i="19"/>
  <c r="E17" i="15"/>
  <c r="O15" i="3"/>
  <c r="Q185" i="1"/>
  <c r="R185" i="1"/>
  <c r="Q6" i="19"/>
  <c r="P6" i="19"/>
  <c r="K29" i="19"/>
  <c r="H29" i="19"/>
  <c r="G29" i="19"/>
  <c r="Q27" i="17"/>
  <c r="P27" i="17"/>
  <c r="H195" i="3"/>
  <c r="F14" i="16"/>
  <c r="F25" i="15"/>
  <c r="P191" i="1"/>
  <c r="H14" i="15"/>
  <c r="G17" i="15"/>
  <c r="E17" i="17"/>
  <c r="K26" i="15"/>
  <c r="P27" i="16"/>
  <c r="H18" i="15"/>
  <c r="R104" i="2"/>
  <c r="O193" i="3"/>
  <c r="O200" i="2"/>
  <c r="Q198" i="2"/>
  <c r="G9" i="16"/>
  <c r="E16" i="17"/>
  <c r="E7" i="19"/>
  <c r="K14" i="16"/>
  <c r="H25" i="16"/>
  <c r="P15" i="3"/>
  <c r="C20" i="16"/>
  <c r="G20" i="16"/>
  <c r="P197" i="3"/>
  <c r="N189" i="3"/>
  <c r="P188" i="1"/>
  <c r="H29" i="16"/>
  <c r="G29" i="16"/>
  <c r="K8" i="19"/>
  <c r="H8" i="19"/>
  <c r="G8" i="19"/>
  <c r="E8" i="19"/>
  <c r="K7" i="19"/>
  <c r="H7" i="19"/>
  <c r="G7" i="19"/>
  <c r="E19" i="19"/>
  <c r="H18" i="16"/>
  <c r="G18" i="16"/>
  <c r="Q19" i="19"/>
  <c r="O187" i="2"/>
  <c r="S8" i="19"/>
  <c r="R8" i="19"/>
  <c r="L15" i="15"/>
  <c r="N204" i="3"/>
  <c r="H17" i="15"/>
  <c r="K25" i="15"/>
  <c r="N191" i="2"/>
  <c r="K17" i="17"/>
  <c r="S182" i="1"/>
  <c r="Q29" i="19"/>
  <c r="P29" i="19"/>
  <c r="O8" i="15"/>
  <c r="E14" i="16"/>
  <c r="I15" i="15"/>
  <c r="Q24" i="15"/>
  <c r="O19" i="16"/>
  <c r="P202" i="3"/>
  <c r="O186" i="2"/>
  <c r="Q4" i="19"/>
  <c r="P4" i="19"/>
  <c r="F9" i="17"/>
  <c r="E9" i="17"/>
  <c r="K9" i="17"/>
  <c r="K14" i="19"/>
  <c r="H14" i="19"/>
  <c r="G14" i="19"/>
  <c r="E29" i="19"/>
  <c r="Q203" i="2"/>
  <c r="I195" i="3"/>
  <c r="G27" i="15"/>
  <c r="H27" i="15"/>
  <c r="C18" i="17"/>
  <c r="B18" i="16"/>
  <c r="K18" i="16"/>
  <c r="Q8" i="19"/>
  <c r="P8" i="19"/>
  <c r="B20" i="19"/>
  <c r="P207" i="1"/>
  <c r="X5" i="19"/>
  <c r="O206" i="3"/>
  <c r="E27" i="19"/>
  <c r="Q122" i="1"/>
  <c r="R210" i="2"/>
  <c r="B8" i="15"/>
  <c r="D28" i="15"/>
  <c r="L28" i="15"/>
  <c r="P15" i="17"/>
  <c r="L212" i="3"/>
  <c r="P24" i="19"/>
  <c r="G27" i="19"/>
  <c r="C26" i="19"/>
  <c r="E26" i="19"/>
  <c r="N207" i="1"/>
  <c r="N6" i="17"/>
  <c r="P6" i="17"/>
  <c r="R208" i="3"/>
  <c r="K15" i="19"/>
  <c r="Q24" i="19"/>
  <c r="H27" i="19"/>
  <c r="B7" i="15"/>
  <c r="K7" i="15"/>
  <c r="L15" i="19"/>
  <c r="R205" i="1"/>
  <c r="X4" i="17"/>
  <c r="O210" i="3"/>
  <c r="R205" i="3"/>
  <c r="X14" i="17"/>
  <c r="C28" i="19"/>
  <c r="E28" i="19"/>
  <c r="R210" i="1"/>
  <c r="P4" i="17"/>
  <c r="P8" i="17"/>
  <c r="P210" i="2"/>
  <c r="X28" i="19"/>
  <c r="N201" i="1"/>
  <c r="O209" i="1"/>
  <c r="E212" i="3"/>
  <c r="P201" i="1"/>
  <c r="B29" i="15"/>
  <c r="R187" i="1"/>
  <c r="P27" i="19"/>
  <c r="R210" i="3"/>
  <c r="N206" i="3"/>
  <c r="G16" i="17"/>
  <c r="P18" i="17"/>
  <c r="Q207" i="3"/>
  <c r="G4" i="19"/>
  <c r="I25" i="19"/>
  <c r="E7" i="15"/>
  <c r="E8" i="15"/>
  <c r="K8" i="15"/>
  <c r="N194" i="3"/>
  <c r="R8" i="15"/>
  <c r="S8" i="15"/>
  <c r="X15" i="16"/>
  <c r="D212" i="1"/>
  <c r="N205" i="1"/>
  <c r="C20" i="17"/>
  <c r="H20" i="17"/>
  <c r="P6" i="15"/>
  <c r="Q6" i="15"/>
  <c r="R19" i="16"/>
  <c r="S19" i="16"/>
  <c r="O9" i="17"/>
  <c r="O9" i="16"/>
  <c r="F17" i="15"/>
  <c r="J17" i="15"/>
  <c r="I17" i="15"/>
  <c r="S9" i="17"/>
  <c r="R9" i="17"/>
  <c r="F28" i="15"/>
  <c r="I28" i="15"/>
  <c r="R9" i="16"/>
  <c r="S9" i="16"/>
  <c r="X6" i="15"/>
  <c r="D7" i="15"/>
  <c r="D7" i="19"/>
  <c r="F7" i="19"/>
  <c r="Q204" i="2"/>
  <c r="R204" i="2"/>
  <c r="X24" i="16"/>
  <c r="X26" i="19"/>
  <c r="X27" i="15"/>
  <c r="R190" i="1"/>
  <c r="J28" i="15"/>
  <c r="H20" i="16"/>
  <c r="I8" i="16"/>
  <c r="J15" i="15"/>
  <c r="F15" i="15"/>
  <c r="P196" i="1"/>
  <c r="O185" i="3"/>
  <c r="P197" i="2"/>
  <c r="O197" i="2"/>
  <c r="O191" i="2"/>
  <c r="P191" i="2"/>
  <c r="Q201" i="3"/>
  <c r="R201" i="3"/>
  <c r="P29" i="17"/>
  <c r="Q29" i="17"/>
  <c r="K27" i="17"/>
  <c r="E27" i="17"/>
  <c r="B29" i="16"/>
  <c r="K29" i="16"/>
  <c r="C29" i="17"/>
  <c r="C26" i="17"/>
  <c r="B26" i="16"/>
  <c r="P25" i="16"/>
  <c r="Q25" i="16"/>
  <c r="B25" i="16"/>
  <c r="K25" i="16"/>
  <c r="C25" i="17"/>
  <c r="K25" i="17"/>
  <c r="O62" i="2"/>
  <c r="E195" i="2"/>
  <c r="O195" i="2"/>
  <c r="P105" i="2"/>
  <c r="E15" i="16"/>
  <c r="K15" i="16"/>
  <c r="N191" i="1"/>
  <c r="D28" i="19"/>
  <c r="F28" i="19"/>
  <c r="B20" i="16"/>
  <c r="Q14" i="19"/>
  <c r="G212" i="1"/>
  <c r="G20" i="15"/>
  <c r="H20" i="15"/>
  <c r="N46" i="3"/>
  <c r="S27" i="16"/>
  <c r="O194" i="1"/>
  <c r="P194" i="1"/>
  <c r="N192" i="1"/>
  <c r="N199" i="3"/>
  <c r="R196" i="3"/>
  <c r="R193" i="3"/>
  <c r="Q193" i="3"/>
  <c r="N192" i="3"/>
  <c r="N191" i="3"/>
  <c r="H28" i="16"/>
  <c r="X6" i="19"/>
  <c r="X7" i="15"/>
  <c r="C212" i="1"/>
  <c r="E15" i="19"/>
  <c r="F15" i="19"/>
  <c r="Q7" i="17"/>
  <c r="P7" i="17"/>
  <c r="S122" i="1"/>
  <c r="E17" i="19"/>
  <c r="Q196" i="1"/>
  <c r="R196" i="1"/>
  <c r="N194" i="1"/>
  <c r="R193" i="1"/>
  <c r="O192" i="1"/>
  <c r="P45" i="1"/>
  <c r="F195" i="1"/>
  <c r="O195" i="1"/>
  <c r="N45" i="1"/>
  <c r="Q104" i="2"/>
  <c r="M194" i="2"/>
  <c r="R194" i="2"/>
  <c r="O204" i="2"/>
  <c r="D15" i="17"/>
  <c r="D15" i="16"/>
  <c r="D27" i="15"/>
  <c r="L27" i="15"/>
  <c r="D27" i="19"/>
  <c r="B30" i="19"/>
  <c r="E24" i="19"/>
  <c r="B5" i="15"/>
  <c r="C5" i="19"/>
  <c r="N198" i="1"/>
  <c r="Q193" i="1"/>
  <c r="Q192" i="1"/>
  <c r="Q191" i="1"/>
  <c r="N185" i="1"/>
  <c r="R105" i="2"/>
  <c r="O15" i="2"/>
  <c r="O194" i="3"/>
  <c r="O46" i="3"/>
  <c r="O200" i="3"/>
  <c r="N201" i="3"/>
  <c r="R203" i="2"/>
  <c r="N203" i="2"/>
  <c r="N197" i="2"/>
  <c r="Q196" i="2"/>
  <c r="P196" i="2"/>
  <c r="Q193" i="2"/>
  <c r="Q192" i="2"/>
  <c r="C27" i="16"/>
  <c r="E29" i="16"/>
  <c r="N210" i="2"/>
  <c r="B28" i="16"/>
  <c r="C28" i="17"/>
  <c r="X27" i="19"/>
  <c r="X28" i="15"/>
  <c r="D16" i="15"/>
  <c r="D16" i="19"/>
  <c r="O191" i="1"/>
  <c r="O46" i="1"/>
  <c r="N197" i="3"/>
  <c r="N190" i="3"/>
  <c r="G7" i="15"/>
  <c r="H7" i="15"/>
  <c r="H212" i="3"/>
  <c r="E7" i="17"/>
  <c r="R205" i="2"/>
  <c r="Q205" i="2"/>
  <c r="P209" i="3"/>
  <c r="S62" i="1"/>
  <c r="P195" i="1"/>
  <c r="R198" i="3"/>
  <c r="O198" i="3"/>
  <c r="Q196" i="3"/>
  <c r="P191" i="3"/>
  <c r="O186" i="3"/>
  <c r="P201" i="3"/>
  <c r="O202" i="3"/>
  <c r="N188" i="2"/>
  <c r="R186" i="1"/>
  <c r="C7" i="17"/>
  <c r="O26" i="1"/>
  <c r="O32" i="1"/>
  <c r="G206" i="1"/>
  <c r="O206" i="1"/>
  <c r="P210" i="1"/>
  <c r="X8" i="19"/>
  <c r="P205" i="2"/>
  <c r="X24" i="15"/>
  <c r="R207" i="2"/>
  <c r="Q207" i="2"/>
  <c r="C6" i="15"/>
  <c r="Q92" i="1"/>
  <c r="P92" i="1"/>
  <c r="B4" i="16"/>
  <c r="C4" i="17"/>
  <c r="C6" i="19"/>
  <c r="B6" i="15"/>
  <c r="K27" i="19"/>
  <c r="O200" i="1"/>
  <c r="P202" i="1"/>
  <c r="P207" i="2"/>
  <c r="P190" i="1"/>
  <c r="N10" i="19"/>
  <c r="O182" i="3"/>
  <c r="R122" i="1"/>
  <c r="R122" i="3"/>
  <c r="P152" i="3"/>
  <c r="F212" i="1"/>
  <c r="M212" i="1"/>
  <c r="P207" i="3"/>
  <c r="P206" i="3"/>
  <c r="N210" i="3"/>
  <c r="R207" i="3"/>
  <c r="C212" i="3"/>
  <c r="N209" i="2"/>
  <c r="N206" i="2"/>
  <c r="K26" i="17"/>
  <c r="P182" i="1"/>
  <c r="O209" i="2"/>
  <c r="N30" i="17"/>
  <c r="P30" i="17"/>
  <c r="O26" i="17"/>
  <c r="N196" i="2"/>
  <c r="R193" i="2"/>
  <c r="Q191" i="2"/>
  <c r="N185" i="2"/>
  <c r="P204" i="3"/>
  <c r="R200" i="1"/>
  <c r="R203" i="1"/>
  <c r="E5" i="16"/>
  <c r="N190" i="1"/>
  <c r="Q186" i="1"/>
  <c r="Q204" i="1"/>
  <c r="O152" i="2"/>
  <c r="R152" i="3"/>
  <c r="C8" i="17"/>
  <c r="N26" i="1"/>
  <c r="C9" i="19"/>
  <c r="K212" i="1"/>
  <c r="Q205" i="1"/>
  <c r="P210" i="3"/>
  <c r="X18" i="19"/>
  <c r="P206" i="2"/>
  <c r="X25" i="15"/>
  <c r="R209" i="1"/>
  <c r="X8" i="17"/>
  <c r="R62" i="1"/>
  <c r="R92" i="3"/>
  <c r="C17" i="19"/>
  <c r="N211" i="1"/>
  <c r="O193" i="2"/>
  <c r="R192" i="2"/>
  <c r="N192" i="2"/>
  <c r="P203" i="1"/>
  <c r="Q201" i="1"/>
  <c r="O204" i="1"/>
  <c r="R202" i="3"/>
  <c r="Q204" i="3"/>
  <c r="E14" i="15"/>
  <c r="N188" i="1"/>
  <c r="P187" i="1"/>
  <c r="E14" i="17"/>
  <c r="K17" i="15"/>
  <c r="H212" i="1"/>
  <c r="R182" i="1"/>
  <c r="B212" i="1"/>
  <c r="Q182" i="1"/>
  <c r="P206" i="1"/>
  <c r="Q207" i="1"/>
  <c r="R208" i="1"/>
  <c r="X8" i="16"/>
  <c r="D212" i="3"/>
  <c r="N208" i="3"/>
  <c r="O92" i="2"/>
  <c r="Q208" i="2"/>
  <c r="P209" i="1"/>
  <c r="O209" i="3"/>
  <c r="P122" i="3"/>
  <c r="P152" i="2"/>
  <c r="O28" i="19"/>
  <c r="R62" i="3"/>
  <c r="Q30" i="17"/>
  <c r="I8" i="17"/>
  <c r="F8" i="17"/>
  <c r="K6" i="19"/>
  <c r="E6" i="19"/>
  <c r="P195" i="2"/>
  <c r="H9" i="15"/>
  <c r="G9" i="15"/>
  <c r="K9" i="15"/>
  <c r="X6" i="16"/>
  <c r="X5" i="17"/>
  <c r="H28" i="15"/>
  <c r="C30" i="15"/>
  <c r="G28" i="15"/>
  <c r="K28" i="15"/>
  <c r="Q209" i="2"/>
  <c r="I7" i="15"/>
  <c r="L7" i="15"/>
  <c r="P202" i="2"/>
  <c r="B30" i="15"/>
  <c r="E18" i="16"/>
  <c r="N10" i="16"/>
  <c r="P7" i="16"/>
  <c r="Q206" i="1"/>
  <c r="L212" i="1"/>
  <c r="P26" i="19"/>
  <c r="Q26" i="19"/>
  <c r="N208" i="2"/>
  <c r="N115" i="2"/>
  <c r="O194" i="2"/>
  <c r="Q190" i="1"/>
  <c r="O9" i="19"/>
  <c r="O9" i="15"/>
  <c r="P197" i="1"/>
  <c r="O197" i="1"/>
  <c r="R194" i="1"/>
  <c r="N186" i="3"/>
  <c r="R199" i="1"/>
  <c r="V53" i="9"/>
  <c r="O210" i="1"/>
  <c r="O212" i="1"/>
  <c r="O205" i="1"/>
  <c r="I212" i="1"/>
  <c r="N205" i="3"/>
  <c r="O208" i="2"/>
  <c r="E16" i="16"/>
  <c r="O17" i="17"/>
  <c r="O17" i="16"/>
  <c r="G7" i="16"/>
  <c r="E7" i="16"/>
  <c r="Q16" i="17"/>
  <c r="P16" i="17"/>
  <c r="N115" i="1"/>
  <c r="O115" i="1"/>
  <c r="X7" i="17"/>
  <c r="F27" i="15"/>
  <c r="J27" i="15"/>
  <c r="N193" i="2"/>
  <c r="O15" i="17"/>
  <c r="O15" i="16"/>
  <c r="P192" i="1"/>
  <c r="X5" i="16"/>
  <c r="R194" i="3"/>
  <c r="Q194" i="3"/>
  <c r="K29" i="15"/>
  <c r="E29" i="15"/>
  <c r="Q20" i="16"/>
  <c r="E28" i="15"/>
  <c r="E5" i="15"/>
  <c r="C30" i="16"/>
  <c r="G25" i="16"/>
  <c r="E25" i="16"/>
  <c r="G17" i="16"/>
  <c r="H17" i="16"/>
  <c r="E17" i="16"/>
  <c r="Q19" i="15"/>
  <c r="P19" i="15"/>
  <c r="N186" i="2"/>
  <c r="C10" i="16"/>
  <c r="H4" i="16"/>
  <c r="G4" i="16"/>
  <c r="B10" i="15"/>
  <c r="R206" i="2"/>
  <c r="Q28" i="15"/>
  <c r="R207" i="1"/>
  <c r="K7" i="16"/>
  <c r="O198" i="1"/>
  <c r="N20" i="15"/>
  <c r="Q14" i="15"/>
  <c r="B18" i="15"/>
  <c r="C18" i="19"/>
  <c r="C6" i="17"/>
  <c r="B6" i="16"/>
  <c r="H25" i="19"/>
  <c r="G25" i="19"/>
  <c r="K25" i="19"/>
  <c r="S27" i="17"/>
  <c r="R27" i="17"/>
  <c r="H25" i="17"/>
  <c r="G25" i="17"/>
  <c r="E25" i="17"/>
  <c r="R209" i="2"/>
  <c r="X28" i="17"/>
  <c r="K18" i="17"/>
  <c r="H18" i="17"/>
  <c r="E18" i="17"/>
  <c r="G18" i="17"/>
  <c r="O187" i="3"/>
  <c r="N10" i="15"/>
  <c r="L28" i="19"/>
  <c r="J28" i="19"/>
  <c r="I28" i="19"/>
  <c r="N30" i="19"/>
  <c r="E4" i="16"/>
  <c r="N198" i="3"/>
  <c r="N187" i="3"/>
  <c r="L195" i="3"/>
  <c r="N105" i="3"/>
  <c r="O122" i="1"/>
  <c r="O182" i="2"/>
  <c r="N10" i="17"/>
  <c r="Q6" i="17"/>
  <c r="P193" i="2"/>
  <c r="K4" i="16"/>
  <c r="N203" i="1"/>
  <c r="P199" i="3"/>
  <c r="O199" i="3"/>
  <c r="O188" i="3"/>
  <c r="P200" i="3"/>
  <c r="N193" i="1"/>
  <c r="O192" i="3"/>
  <c r="P192" i="3"/>
  <c r="O201" i="1"/>
  <c r="R202" i="1"/>
  <c r="Q202" i="1"/>
  <c r="P203" i="3"/>
  <c r="N203" i="3"/>
  <c r="D19" i="17"/>
  <c r="D19" i="16"/>
  <c r="O15" i="19"/>
  <c r="O15" i="15"/>
  <c r="N201" i="2"/>
  <c r="H5" i="15"/>
  <c r="K5" i="15"/>
  <c r="C10" i="15"/>
  <c r="N200" i="2"/>
  <c r="R200" i="2"/>
  <c r="Q200" i="2"/>
  <c r="Q32" i="3"/>
  <c r="S28" i="19"/>
  <c r="R28" i="19"/>
  <c r="O19" i="15"/>
  <c r="O19" i="19"/>
  <c r="N196" i="1"/>
  <c r="C24" i="17"/>
  <c r="B24" i="16"/>
  <c r="O28" i="15"/>
  <c r="I27" i="15"/>
  <c r="J7" i="19"/>
  <c r="N30" i="15"/>
  <c r="O14" i="17"/>
  <c r="O14" i="16"/>
  <c r="J7" i="15"/>
  <c r="G20" i="17"/>
  <c r="H26" i="19"/>
  <c r="G28" i="19"/>
  <c r="Q206" i="2"/>
  <c r="O115" i="2"/>
  <c r="Q187" i="1"/>
  <c r="B30" i="17"/>
  <c r="K26" i="19"/>
  <c r="H28" i="19"/>
  <c r="P205" i="1"/>
  <c r="X4" i="15"/>
  <c r="R212" i="3"/>
  <c r="X19" i="16"/>
  <c r="X18" i="16"/>
  <c r="X17" i="17"/>
  <c r="K16" i="17"/>
  <c r="J8" i="17"/>
  <c r="E25" i="19"/>
  <c r="E26" i="17"/>
  <c r="B10" i="17"/>
  <c r="J8" i="16"/>
  <c r="S6" i="16"/>
  <c r="P26" i="15"/>
  <c r="R105" i="3"/>
  <c r="O198" i="2"/>
  <c r="N198" i="2"/>
  <c r="O188" i="2"/>
  <c r="Q26" i="17"/>
  <c r="P26" i="17"/>
  <c r="R195" i="1"/>
  <c r="Q195" i="1"/>
  <c r="P24" i="16"/>
  <c r="Q24" i="16"/>
  <c r="F7" i="15"/>
  <c r="R198" i="1"/>
  <c r="P5" i="17"/>
  <c r="L7" i="19"/>
  <c r="G26" i="19"/>
  <c r="C30" i="19"/>
  <c r="O205" i="2"/>
  <c r="D17" i="19"/>
  <c r="K28" i="19"/>
  <c r="O202" i="2"/>
  <c r="N199" i="1"/>
  <c r="L8" i="17"/>
  <c r="P115" i="1"/>
  <c r="O105" i="2"/>
  <c r="N188" i="3"/>
  <c r="N202" i="2"/>
  <c r="O201" i="2"/>
  <c r="P201" i="2"/>
  <c r="Q199" i="2"/>
  <c r="R199" i="2"/>
  <c r="P198" i="2"/>
  <c r="O192" i="2"/>
  <c r="P192" i="2"/>
  <c r="O189" i="2"/>
  <c r="O185" i="2"/>
  <c r="E195" i="3"/>
  <c r="O105" i="3"/>
  <c r="O122" i="3"/>
  <c r="K19" i="15"/>
  <c r="E19" i="15"/>
  <c r="B20" i="17"/>
  <c r="P203" i="2"/>
  <c r="F195" i="3"/>
  <c r="N202" i="1"/>
  <c r="K19" i="17"/>
  <c r="H19" i="17"/>
  <c r="G19" i="17"/>
  <c r="P32" i="3"/>
  <c r="H9" i="17"/>
  <c r="G9" i="17"/>
  <c r="O203" i="2"/>
  <c r="O190" i="2"/>
  <c r="N189" i="2"/>
  <c r="R189" i="1"/>
  <c r="Q9" i="17"/>
  <c r="P9" i="17"/>
  <c r="K5" i="16"/>
  <c r="P62" i="2"/>
  <c r="P14" i="17"/>
  <c r="N20" i="17"/>
  <c r="N16" i="19"/>
  <c r="P92" i="3"/>
  <c r="P205" i="3"/>
  <c r="X14" i="15"/>
  <c r="P193" i="1"/>
  <c r="P193" i="3"/>
  <c r="B20" i="15"/>
  <c r="Q25" i="19"/>
  <c r="P25" i="19"/>
  <c r="O152" i="3"/>
  <c r="Q19" i="17"/>
  <c r="P19" i="17"/>
  <c r="O208" i="3"/>
  <c r="P208" i="3"/>
  <c r="S32" i="1"/>
  <c r="Q5" i="19"/>
  <c r="P5" i="19"/>
  <c r="N211" i="2"/>
  <c r="Q210" i="2"/>
  <c r="P198" i="1"/>
  <c r="Q200" i="1"/>
  <c r="R197" i="1"/>
  <c r="N197" i="1"/>
  <c r="R192" i="1"/>
  <c r="M195" i="2"/>
  <c r="N195" i="2"/>
  <c r="N200" i="3"/>
  <c r="R191" i="3"/>
  <c r="P204" i="2"/>
  <c r="R201" i="2"/>
  <c r="N190" i="2"/>
  <c r="H5" i="17"/>
  <c r="Q7" i="19"/>
  <c r="P7" i="19"/>
  <c r="O62" i="1"/>
  <c r="Q152" i="3"/>
  <c r="Q152" i="1"/>
  <c r="E212" i="1"/>
  <c r="N210" i="1"/>
  <c r="D29" i="15"/>
  <c r="F29" i="15"/>
  <c r="D29" i="19"/>
  <c r="R208" i="2"/>
  <c r="I16" i="15"/>
  <c r="L16" i="15"/>
  <c r="Q17" i="19"/>
  <c r="P17" i="19"/>
  <c r="N205" i="2"/>
  <c r="O206" i="2"/>
  <c r="N29" i="16"/>
  <c r="N30" i="16"/>
  <c r="P122" i="1"/>
  <c r="Q195" i="2"/>
  <c r="R191" i="1"/>
  <c r="N195" i="1"/>
  <c r="R199" i="3"/>
  <c r="O197" i="3"/>
  <c r="N193" i="3"/>
  <c r="R200" i="3"/>
  <c r="Q197" i="2"/>
  <c r="R197" i="2"/>
  <c r="O202" i="1"/>
  <c r="P8" i="16"/>
  <c r="Q8" i="16"/>
  <c r="F8" i="16"/>
  <c r="N208" i="1"/>
  <c r="F212" i="3"/>
  <c r="O6" i="15"/>
  <c r="O6" i="19"/>
  <c r="N105" i="2"/>
  <c r="R196" i="2"/>
  <c r="P199" i="1"/>
  <c r="N104" i="2"/>
  <c r="J194" i="2"/>
  <c r="N194" i="2"/>
  <c r="N199" i="2"/>
  <c r="Q4" i="16"/>
  <c r="G15" i="15"/>
  <c r="N186" i="1"/>
  <c r="O92" i="3"/>
  <c r="O207" i="3"/>
  <c r="Q209" i="3"/>
  <c r="R209" i="3"/>
  <c r="X18" i="17"/>
  <c r="M212" i="3"/>
  <c r="P92" i="2"/>
  <c r="Q32" i="1"/>
  <c r="O212" i="3"/>
  <c r="N15" i="2"/>
  <c r="R192" i="3"/>
  <c r="O190" i="3"/>
  <c r="O196" i="2"/>
  <c r="N204" i="1"/>
  <c r="Q188" i="1"/>
  <c r="R188" i="1"/>
  <c r="Q14" i="17"/>
  <c r="P17" i="17"/>
  <c r="Q17" i="17"/>
  <c r="N206" i="1"/>
  <c r="D19" i="19"/>
  <c r="D19" i="15"/>
  <c r="B10" i="19"/>
  <c r="Q194" i="2"/>
  <c r="O196" i="1"/>
  <c r="O26" i="16"/>
  <c r="P15" i="2"/>
  <c r="N185" i="3"/>
  <c r="Q24" i="17"/>
  <c r="S152" i="1"/>
  <c r="K212" i="3"/>
  <c r="P212" i="3"/>
  <c r="P182" i="2"/>
  <c r="P198" i="3"/>
  <c r="N114" i="1"/>
  <c r="O114" i="1"/>
  <c r="G24" i="16"/>
  <c r="H24" i="16"/>
  <c r="O92" i="1"/>
  <c r="Q18" i="16"/>
  <c r="P18" i="16"/>
  <c r="E9" i="15"/>
  <c r="Q208" i="1"/>
  <c r="N209" i="3"/>
  <c r="K4" i="19"/>
  <c r="K24" i="19"/>
  <c r="K5" i="19"/>
  <c r="F16" i="19"/>
  <c r="Q208" i="3"/>
  <c r="C10" i="19"/>
  <c r="P62" i="1"/>
  <c r="P122" i="2"/>
  <c r="Q206" i="3"/>
  <c r="Q212" i="3"/>
  <c r="I15" i="19"/>
  <c r="P115" i="2"/>
  <c r="N18" i="19"/>
  <c r="F196" i="3"/>
  <c r="Q62" i="1"/>
  <c r="I25" i="15"/>
  <c r="B9" i="16"/>
  <c r="G28" i="17"/>
  <c r="H16" i="19"/>
  <c r="D14" i="17"/>
  <c r="P204" i="1"/>
  <c r="G14" i="17"/>
  <c r="P28" i="17"/>
  <c r="P26" i="1"/>
  <c r="P32" i="1"/>
  <c r="O205" i="3"/>
  <c r="O45" i="1"/>
  <c r="H14" i="17"/>
  <c r="O17" i="19"/>
  <c r="O17" i="15"/>
  <c r="O25" i="17"/>
  <c r="O25" i="16"/>
  <c r="X15" i="19"/>
  <c r="X16" i="15"/>
  <c r="O18" i="19"/>
  <c r="O18" i="15"/>
  <c r="P10" i="19"/>
  <c r="Q10" i="19"/>
  <c r="G4" i="17"/>
  <c r="E4" i="17"/>
  <c r="H4" i="17"/>
  <c r="K4" i="17"/>
  <c r="H6" i="15"/>
  <c r="G6" i="15"/>
  <c r="X17" i="19"/>
  <c r="X18" i="15"/>
  <c r="I16" i="19"/>
  <c r="L16" i="19"/>
  <c r="J16" i="19"/>
  <c r="H28" i="17"/>
  <c r="K28" i="17"/>
  <c r="E28" i="17"/>
  <c r="G27" i="16"/>
  <c r="H27" i="16"/>
  <c r="E5" i="19"/>
  <c r="H5" i="19"/>
  <c r="G5" i="19"/>
  <c r="L15" i="17"/>
  <c r="J15" i="17"/>
  <c r="I15" i="17"/>
  <c r="F15" i="17"/>
  <c r="K29" i="17"/>
  <c r="H29" i="17"/>
  <c r="E29" i="17"/>
  <c r="G29" i="17"/>
  <c r="R195" i="2"/>
  <c r="P194" i="2"/>
  <c r="X9" i="15"/>
  <c r="Q212" i="1"/>
  <c r="D26" i="16"/>
  <c r="D26" i="17"/>
  <c r="K17" i="19"/>
  <c r="H17" i="19"/>
  <c r="G17" i="19"/>
  <c r="K8" i="17"/>
  <c r="H8" i="17"/>
  <c r="G8" i="17"/>
  <c r="E8" i="17"/>
  <c r="X16" i="17"/>
  <c r="X17" i="16"/>
  <c r="J16" i="15"/>
  <c r="F16" i="15"/>
  <c r="E28" i="16"/>
  <c r="D27" i="16"/>
  <c r="D27" i="17"/>
  <c r="L27" i="19"/>
  <c r="I27" i="19"/>
  <c r="J27" i="19"/>
  <c r="F27" i="19"/>
  <c r="O7" i="17"/>
  <c r="O7" i="16"/>
  <c r="K28" i="16"/>
  <c r="D25" i="17"/>
  <c r="D25" i="16"/>
  <c r="X19" i="17"/>
  <c r="E27" i="16"/>
  <c r="I7" i="19"/>
  <c r="D24" i="19"/>
  <c r="D24" i="15"/>
  <c r="X7" i="19"/>
  <c r="X8" i="15"/>
  <c r="P212" i="1"/>
  <c r="X5" i="15"/>
  <c r="X4" i="19"/>
  <c r="X9" i="19"/>
  <c r="O16" i="17"/>
  <c r="O16" i="16"/>
  <c r="O18" i="17"/>
  <c r="O18" i="16"/>
  <c r="X25" i="19"/>
  <c r="X26" i="15"/>
  <c r="X26" i="17"/>
  <c r="X27" i="16"/>
  <c r="D4" i="17"/>
  <c r="D4" i="16"/>
  <c r="O5" i="17"/>
  <c r="O5" i="16"/>
  <c r="X24" i="17"/>
  <c r="X25" i="16"/>
  <c r="K20" i="16"/>
  <c r="E20" i="16"/>
  <c r="F26" i="16"/>
  <c r="E26" i="16"/>
  <c r="K26" i="16"/>
  <c r="E6" i="15"/>
  <c r="K6" i="15"/>
  <c r="K27" i="16"/>
  <c r="O28" i="16"/>
  <c r="O28" i="17"/>
  <c r="D9" i="15"/>
  <c r="D9" i="19"/>
  <c r="K9" i="19"/>
  <c r="H9" i="19"/>
  <c r="G9" i="19"/>
  <c r="E9" i="19"/>
  <c r="D28" i="17"/>
  <c r="D28" i="16"/>
  <c r="S26" i="17"/>
  <c r="R26" i="17"/>
  <c r="D26" i="19"/>
  <c r="D26" i="15"/>
  <c r="X15" i="15"/>
  <c r="X19" i="15"/>
  <c r="X14" i="19"/>
  <c r="G6" i="19"/>
  <c r="H6" i="19"/>
  <c r="D6" i="19"/>
  <c r="D6" i="15"/>
  <c r="X29" i="15"/>
  <c r="K7" i="17"/>
  <c r="G7" i="17"/>
  <c r="H7" i="17"/>
  <c r="O24" i="17"/>
  <c r="O24" i="16"/>
  <c r="F15" i="16"/>
  <c r="J15" i="16"/>
  <c r="I15" i="16"/>
  <c r="L15" i="16"/>
  <c r="H26" i="17"/>
  <c r="G26" i="17"/>
  <c r="P30" i="16"/>
  <c r="Q30" i="16"/>
  <c r="D16" i="17"/>
  <c r="D16" i="16"/>
  <c r="P10" i="17"/>
  <c r="Q10" i="17"/>
  <c r="O8" i="17"/>
  <c r="O8" i="16"/>
  <c r="N195" i="3"/>
  <c r="O195" i="3"/>
  <c r="P195" i="3"/>
  <c r="C20" i="19"/>
  <c r="K18" i="19"/>
  <c r="G18" i="19"/>
  <c r="H18" i="19"/>
  <c r="E18" i="19"/>
  <c r="E18" i="15"/>
  <c r="K18" i="15"/>
  <c r="O14" i="19"/>
  <c r="O14" i="15"/>
  <c r="H10" i="16"/>
  <c r="G10" i="16"/>
  <c r="R19" i="15"/>
  <c r="S19" i="15"/>
  <c r="O7" i="19"/>
  <c r="O7" i="15"/>
  <c r="O24" i="15"/>
  <c r="O24" i="19"/>
  <c r="O29" i="16"/>
  <c r="O29" i="17"/>
  <c r="D7" i="17"/>
  <c r="D7" i="16"/>
  <c r="D18" i="19"/>
  <c r="D18" i="15"/>
  <c r="S14" i="17"/>
  <c r="O20" i="17"/>
  <c r="R14" i="17"/>
  <c r="S15" i="16"/>
  <c r="R15" i="16"/>
  <c r="O16" i="19"/>
  <c r="O16" i="15"/>
  <c r="P18" i="19"/>
  <c r="Q18" i="19"/>
  <c r="N20" i="19"/>
  <c r="P16" i="19"/>
  <c r="Q16" i="19"/>
  <c r="X7" i="16"/>
  <c r="X6" i="17"/>
  <c r="S17" i="17"/>
  <c r="R17" i="17"/>
  <c r="O4" i="17"/>
  <c r="O4" i="16"/>
  <c r="X9" i="17"/>
  <c r="R9" i="15"/>
  <c r="S9" i="15"/>
  <c r="O26" i="19"/>
  <c r="O26" i="15"/>
  <c r="J14" i="17"/>
  <c r="I14" i="17"/>
  <c r="F14" i="17"/>
  <c r="L14" i="17"/>
  <c r="S6" i="15"/>
  <c r="R6" i="15"/>
  <c r="E9" i="16"/>
  <c r="K9" i="16"/>
  <c r="F9" i="16"/>
  <c r="D14" i="19"/>
  <c r="D14" i="15"/>
  <c r="D5" i="19"/>
  <c r="D5" i="15"/>
  <c r="E30" i="19"/>
  <c r="G30" i="19"/>
  <c r="K30" i="19"/>
  <c r="H30" i="19"/>
  <c r="D24" i="16"/>
  <c r="D24" i="17"/>
  <c r="O4" i="15"/>
  <c r="O4" i="19"/>
  <c r="K20" i="17"/>
  <c r="E20" i="17"/>
  <c r="Q10" i="16"/>
  <c r="P10" i="16"/>
  <c r="D18" i="17"/>
  <c r="D18" i="16"/>
  <c r="K24" i="17"/>
  <c r="G24" i="17"/>
  <c r="E24" i="17"/>
  <c r="H24" i="17"/>
  <c r="C30" i="17"/>
  <c r="E30" i="17"/>
  <c r="H6" i="17"/>
  <c r="G6" i="17"/>
  <c r="K6" i="17"/>
  <c r="E6" i="17"/>
  <c r="Q29" i="16"/>
  <c r="P29" i="16"/>
  <c r="R14" i="16"/>
  <c r="S14" i="16"/>
  <c r="O20" i="16"/>
  <c r="Q20" i="15"/>
  <c r="P20" i="15"/>
  <c r="O212" i="2"/>
  <c r="P196" i="3"/>
  <c r="N196" i="3"/>
  <c r="O196" i="3"/>
  <c r="X24" i="19"/>
  <c r="X29" i="19"/>
  <c r="P212" i="2"/>
  <c r="Q30" i="15"/>
  <c r="P30" i="15"/>
  <c r="Q195" i="3"/>
  <c r="R195" i="3"/>
  <c r="S15" i="17"/>
  <c r="R15" i="17"/>
  <c r="G10" i="15"/>
  <c r="H10" i="15"/>
  <c r="R212" i="1"/>
  <c r="X9" i="16"/>
  <c r="J17" i="19"/>
  <c r="I17" i="19"/>
  <c r="L17" i="19"/>
  <c r="F17" i="19"/>
  <c r="D6" i="17"/>
  <c r="D6" i="16"/>
  <c r="F6" i="16"/>
  <c r="E10" i="19"/>
  <c r="K10" i="19"/>
  <c r="H30" i="16"/>
  <c r="G30" i="16"/>
  <c r="S9" i="19"/>
  <c r="R9" i="19"/>
  <c r="C10" i="17"/>
  <c r="E10" i="17"/>
  <c r="R15" i="15"/>
  <c r="S15" i="15"/>
  <c r="X27" i="17"/>
  <c r="X28" i="16"/>
  <c r="I19" i="16"/>
  <c r="F19" i="16"/>
  <c r="L19" i="16"/>
  <c r="J19" i="16"/>
  <c r="S6" i="19"/>
  <c r="R6" i="19"/>
  <c r="E20" i="15"/>
  <c r="K20" i="15"/>
  <c r="D29" i="17"/>
  <c r="D29" i="16"/>
  <c r="D8" i="15"/>
  <c r="D8" i="19"/>
  <c r="D5" i="16"/>
  <c r="D5" i="17"/>
  <c r="S26" i="16"/>
  <c r="R26" i="16"/>
  <c r="O30" i="16"/>
  <c r="S17" i="16"/>
  <c r="R17" i="16"/>
  <c r="L9" i="16"/>
  <c r="P20" i="17"/>
  <c r="Q20" i="17"/>
  <c r="D4" i="19"/>
  <c r="D4" i="15"/>
  <c r="X17" i="15"/>
  <c r="X16" i="19"/>
  <c r="X19" i="19"/>
  <c r="O25" i="15"/>
  <c r="O25" i="19"/>
  <c r="S28" i="15"/>
  <c r="R28" i="15"/>
  <c r="Q30" i="19"/>
  <c r="P30" i="19"/>
  <c r="O27" i="19"/>
  <c r="O27" i="15"/>
  <c r="L19" i="15"/>
  <c r="I19" i="15"/>
  <c r="J19" i="15"/>
  <c r="F19" i="15"/>
  <c r="X29" i="16"/>
  <c r="X25" i="17"/>
  <c r="X26" i="16"/>
  <c r="O5" i="19"/>
  <c r="O5" i="15"/>
  <c r="F19" i="19"/>
  <c r="I19" i="19"/>
  <c r="L19" i="19"/>
  <c r="J19" i="19"/>
  <c r="K30" i="17"/>
  <c r="E24" i="16"/>
  <c r="B30" i="16"/>
  <c r="K24" i="16"/>
  <c r="F24" i="16"/>
  <c r="R15" i="19"/>
  <c r="S15" i="19"/>
  <c r="G30" i="15"/>
  <c r="H30" i="15"/>
  <c r="G10" i="19"/>
  <c r="H10" i="19"/>
  <c r="N212" i="1"/>
  <c r="I29" i="19"/>
  <c r="L29" i="19"/>
  <c r="F29" i="19"/>
  <c r="J29" i="19"/>
  <c r="I29" i="15"/>
  <c r="J29" i="15"/>
  <c r="L29" i="15"/>
  <c r="L19" i="17"/>
  <c r="F19" i="17"/>
  <c r="J19" i="17"/>
  <c r="I19" i="17"/>
  <c r="P10" i="15"/>
  <c r="Q10" i="15"/>
  <c r="E10" i="15"/>
  <c r="K10" i="15"/>
  <c r="E30" i="15"/>
  <c r="K30" i="15"/>
  <c r="O29" i="15"/>
  <c r="O29" i="19"/>
  <c r="D17" i="17"/>
  <c r="D17" i="16"/>
  <c r="S19" i="19"/>
  <c r="R19" i="19"/>
  <c r="E6" i="16"/>
  <c r="K6" i="16"/>
  <c r="B10" i="16"/>
  <c r="R24" i="16"/>
  <c r="S24" i="16"/>
  <c r="J26" i="15"/>
  <c r="I26" i="15"/>
  <c r="L26" i="15"/>
  <c r="F26" i="15"/>
  <c r="L28" i="16"/>
  <c r="I28" i="16"/>
  <c r="J28" i="16"/>
  <c r="R28" i="17"/>
  <c r="S28" i="17"/>
  <c r="R5" i="16"/>
  <c r="S5" i="16"/>
  <c r="S16" i="17"/>
  <c r="R16" i="17"/>
  <c r="L25" i="17"/>
  <c r="J25" i="17"/>
  <c r="F25" i="17"/>
  <c r="I25" i="17"/>
  <c r="F27" i="17"/>
  <c r="J27" i="17"/>
  <c r="I27" i="17"/>
  <c r="L27" i="17"/>
  <c r="L26" i="17"/>
  <c r="I26" i="17"/>
  <c r="F26" i="17"/>
  <c r="J26" i="17"/>
  <c r="S18" i="15"/>
  <c r="R18" i="15"/>
  <c r="S25" i="16"/>
  <c r="R25" i="16"/>
  <c r="R24" i="17"/>
  <c r="S24" i="17"/>
  <c r="F26" i="19"/>
  <c r="J26" i="19"/>
  <c r="L26" i="19"/>
  <c r="I26" i="19"/>
  <c r="F28" i="17"/>
  <c r="L28" i="17"/>
  <c r="J28" i="17"/>
  <c r="I28" i="17"/>
  <c r="S28" i="16"/>
  <c r="R28" i="16"/>
  <c r="R5" i="17"/>
  <c r="S5" i="17"/>
  <c r="R18" i="16"/>
  <c r="S18" i="16"/>
  <c r="L27" i="16"/>
  <c r="J27" i="16"/>
  <c r="F27" i="16"/>
  <c r="I27" i="16"/>
  <c r="I26" i="16"/>
  <c r="J26" i="16"/>
  <c r="L26" i="16"/>
  <c r="S18" i="19"/>
  <c r="R18" i="19"/>
  <c r="R25" i="17"/>
  <c r="S25" i="17"/>
  <c r="J6" i="15"/>
  <c r="I6" i="15"/>
  <c r="F6" i="15"/>
  <c r="I9" i="19"/>
  <c r="F9" i="19"/>
  <c r="J9" i="19"/>
  <c r="L9" i="19"/>
  <c r="J4" i="16"/>
  <c r="L4" i="16"/>
  <c r="I4" i="16"/>
  <c r="L6" i="15"/>
  <c r="R18" i="17"/>
  <c r="S18" i="17"/>
  <c r="I24" i="15"/>
  <c r="L24" i="15"/>
  <c r="F24" i="15"/>
  <c r="J24" i="15"/>
  <c r="D30" i="15"/>
  <c r="R7" i="16"/>
  <c r="S7" i="16"/>
  <c r="F28" i="16"/>
  <c r="F4" i="16"/>
  <c r="R17" i="15"/>
  <c r="S17" i="15"/>
  <c r="J6" i="19"/>
  <c r="I6" i="19"/>
  <c r="F6" i="19"/>
  <c r="L6" i="19"/>
  <c r="J9" i="15"/>
  <c r="I9" i="15"/>
  <c r="F9" i="15"/>
  <c r="L9" i="15"/>
  <c r="L4" i="17"/>
  <c r="J4" i="17"/>
  <c r="I4" i="17"/>
  <c r="F4" i="17"/>
  <c r="R16" i="16"/>
  <c r="S16" i="16"/>
  <c r="L24" i="19"/>
  <c r="J24" i="19"/>
  <c r="I24" i="19"/>
  <c r="D30" i="19"/>
  <c r="F24" i="19"/>
  <c r="F25" i="16"/>
  <c r="L25" i="16"/>
  <c r="I25" i="16"/>
  <c r="J25" i="16"/>
  <c r="R7" i="17"/>
  <c r="S7" i="17"/>
  <c r="S17" i="19"/>
  <c r="R17" i="19"/>
  <c r="R7" i="15"/>
  <c r="S7" i="15"/>
  <c r="R5" i="15"/>
  <c r="S5" i="15"/>
  <c r="S5" i="19"/>
  <c r="R5" i="19"/>
  <c r="O30" i="15"/>
  <c r="S24" i="15"/>
  <c r="R24" i="15"/>
  <c r="S25" i="19"/>
  <c r="R25" i="19"/>
  <c r="I8" i="15"/>
  <c r="F8" i="15"/>
  <c r="J8" i="15"/>
  <c r="L8" i="15"/>
  <c r="S16" i="19"/>
  <c r="R16" i="19"/>
  <c r="I8" i="19"/>
  <c r="F8" i="19"/>
  <c r="L8" i="19"/>
  <c r="J8" i="19"/>
  <c r="S26" i="19"/>
  <c r="R26" i="19"/>
  <c r="I5" i="15"/>
  <c r="J5" i="15"/>
  <c r="L5" i="15"/>
  <c r="F5" i="15"/>
  <c r="F4" i="19"/>
  <c r="L4" i="19"/>
  <c r="D10" i="19"/>
  <c r="J4" i="19"/>
  <c r="I4" i="19"/>
  <c r="S8" i="16"/>
  <c r="R8" i="16"/>
  <c r="R27" i="15"/>
  <c r="S27" i="15"/>
  <c r="R25" i="15"/>
  <c r="S25" i="15"/>
  <c r="R26" i="15"/>
  <c r="S26" i="15"/>
  <c r="R7" i="19"/>
  <c r="S7" i="19"/>
  <c r="H10" i="17"/>
  <c r="G10" i="17"/>
  <c r="K10" i="17"/>
  <c r="I29" i="17"/>
  <c r="L29" i="17"/>
  <c r="F29" i="17"/>
  <c r="J29" i="17"/>
  <c r="X29" i="17"/>
  <c r="L18" i="17"/>
  <c r="J18" i="17"/>
  <c r="I18" i="17"/>
  <c r="F18" i="17"/>
  <c r="R14" i="19"/>
  <c r="O20" i="19"/>
  <c r="S14" i="19"/>
  <c r="S29" i="15"/>
  <c r="R29" i="15"/>
  <c r="R8" i="17"/>
  <c r="S8" i="17"/>
  <c r="E10" i="16"/>
  <c r="K10" i="16"/>
  <c r="L10" i="16"/>
  <c r="R4" i="19"/>
  <c r="O10" i="19"/>
  <c r="S4" i="19"/>
  <c r="R4" i="15"/>
  <c r="O10" i="15"/>
  <c r="S4" i="15"/>
  <c r="R29" i="16"/>
  <c r="S29" i="16"/>
  <c r="D10" i="16"/>
  <c r="I5" i="16"/>
  <c r="F5" i="16"/>
  <c r="L5" i="16"/>
  <c r="J5" i="16"/>
  <c r="R16" i="15"/>
  <c r="S16" i="15"/>
  <c r="L29" i="16"/>
  <c r="I29" i="16"/>
  <c r="F29" i="16"/>
  <c r="J29" i="16"/>
  <c r="J18" i="16"/>
  <c r="L18" i="16"/>
  <c r="I18" i="16"/>
  <c r="F18" i="16"/>
  <c r="H20" i="19"/>
  <c r="G20" i="19"/>
  <c r="E20" i="19"/>
  <c r="K20" i="19"/>
  <c r="L4" i="15"/>
  <c r="J4" i="15"/>
  <c r="I4" i="15"/>
  <c r="D10" i="15"/>
  <c r="F4" i="15"/>
  <c r="F5" i="19"/>
  <c r="L5" i="19"/>
  <c r="J5" i="19"/>
  <c r="I5" i="19"/>
  <c r="I17" i="16"/>
  <c r="L17" i="16"/>
  <c r="J17" i="16"/>
  <c r="F17" i="16"/>
  <c r="S20" i="16"/>
  <c r="R20" i="16"/>
  <c r="J14" i="15"/>
  <c r="L14" i="15"/>
  <c r="D20" i="15"/>
  <c r="I14" i="15"/>
  <c r="F14" i="15"/>
  <c r="L17" i="17"/>
  <c r="J17" i="17"/>
  <c r="I17" i="17"/>
  <c r="F17" i="17"/>
  <c r="F14" i="19"/>
  <c r="J14" i="19"/>
  <c r="L14" i="19"/>
  <c r="I14" i="19"/>
  <c r="D20" i="19"/>
  <c r="R4" i="16"/>
  <c r="S4" i="16"/>
  <c r="O10" i="16"/>
  <c r="S20" i="17"/>
  <c r="R20" i="17"/>
  <c r="O20" i="15"/>
  <c r="R14" i="15"/>
  <c r="S14" i="15"/>
  <c r="S29" i="19"/>
  <c r="R29" i="19"/>
  <c r="E30" i="16"/>
  <c r="K30" i="16"/>
  <c r="O10" i="17"/>
  <c r="S4" i="17"/>
  <c r="R4" i="17"/>
  <c r="L18" i="15"/>
  <c r="J18" i="15"/>
  <c r="I18" i="15"/>
  <c r="I18" i="19"/>
  <c r="J18" i="19"/>
  <c r="L18" i="19"/>
  <c r="F18" i="19"/>
  <c r="L7" i="16"/>
  <c r="I7" i="16"/>
  <c r="J7" i="16"/>
  <c r="F7" i="16"/>
  <c r="S27" i="19"/>
  <c r="R27" i="19"/>
  <c r="R30" i="16"/>
  <c r="S30" i="16"/>
  <c r="I7" i="17"/>
  <c r="F7" i="17"/>
  <c r="L7" i="17"/>
  <c r="J7" i="17"/>
  <c r="J16" i="16"/>
  <c r="L16" i="16"/>
  <c r="I16" i="16"/>
  <c r="D20" i="16"/>
  <c r="F16" i="16"/>
  <c r="D20" i="17"/>
  <c r="S29" i="17"/>
  <c r="R29" i="17"/>
  <c r="O30" i="17"/>
  <c r="I16" i="17"/>
  <c r="J16" i="17"/>
  <c r="F16" i="17"/>
  <c r="L16" i="17"/>
  <c r="L6" i="16"/>
  <c r="I6" i="16"/>
  <c r="J6" i="16"/>
  <c r="L24" i="17"/>
  <c r="J24" i="17"/>
  <c r="F24" i="17"/>
  <c r="D30" i="17"/>
  <c r="I24" i="17"/>
  <c r="I5" i="17"/>
  <c r="D10" i="17"/>
  <c r="F5" i="17"/>
  <c r="L5" i="17"/>
  <c r="J5" i="17"/>
  <c r="L6" i="17"/>
  <c r="J6" i="17"/>
  <c r="I6" i="17"/>
  <c r="F6" i="17"/>
  <c r="G30" i="17"/>
  <c r="H30" i="17"/>
  <c r="L24" i="16"/>
  <c r="I24" i="16"/>
  <c r="J24" i="16"/>
  <c r="D30" i="16"/>
  <c r="L30" i="16"/>
  <c r="Q20" i="19"/>
  <c r="P20" i="19"/>
  <c r="O30" i="19"/>
  <c r="S24" i="19"/>
  <c r="R24" i="19"/>
  <c r="F18" i="15"/>
  <c r="J30" i="19"/>
  <c r="L30" i="19"/>
  <c r="I30" i="19"/>
  <c r="F30" i="19"/>
  <c r="J30" i="15"/>
  <c r="L30" i="15"/>
  <c r="I30" i="15"/>
  <c r="F30" i="15"/>
  <c r="F30" i="16"/>
  <c r="J10" i="15"/>
  <c r="I10" i="15"/>
  <c r="L10" i="15"/>
  <c r="F10" i="15"/>
  <c r="S20" i="15"/>
  <c r="R20" i="15"/>
  <c r="J10" i="19"/>
  <c r="I10" i="19"/>
  <c r="L10" i="19"/>
  <c r="F10" i="19"/>
  <c r="R10" i="16"/>
  <c r="S10" i="16"/>
  <c r="J10" i="16"/>
  <c r="I10" i="16"/>
  <c r="I20" i="19"/>
  <c r="L20" i="19"/>
  <c r="F20" i="19"/>
  <c r="J20" i="19"/>
  <c r="S10" i="15"/>
  <c r="R10" i="15"/>
  <c r="S30" i="19"/>
  <c r="R30" i="19"/>
  <c r="J20" i="17"/>
  <c r="I20" i="17"/>
  <c r="F20" i="17"/>
  <c r="L20" i="17"/>
  <c r="I20" i="15"/>
  <c r="J20" i="15"/>
  <c r="F20" i="15"/>
  <c r="L20" i="15"/>
  <c r="S10" i="17"/>
  <c r="R10" i="17"/>
  <c r="R20" i="19"/>
  <c r="S20" i="19"/>
  <c r="S30" i="15"/>
  <c r="R30" i="15"/>
  <c r="S30" i="17"/>
  <c r="R30" i="17"/>
  <c r="I10" i="17"/>
  <c r="J10" i="17"/>
  <c r="L10" i="17"/>
  <c r="F10" i="17"/>
  <c r="R10" i="19"/>
  <c r="S10" i="19"/>
  <c r="J30" i="16"/>
  <c r="I30" i="16"/>
  <c r="J30" i="17"/>
  <c r="I30" i="17"/>
  <c r="F30" i="17"/>
  <c r="L30" i="17"/>
  <c r="I20" i="16"/>
  <c r="J20" i="16"/>
  <c r="L20" i="16"/>
  <c r="F20" i="16"/>
  <c r="F10" i="16"/>
</calcChain>
</file>

<file path=xl/comments1.xml><?xml version="1.0" encoding="utf-8"?>
<comments xmlns="http://schemas.openxmlformats.org/spreadsheetml/2006/main">
  <authors>
    <author>*</author>
  </authors>
  <commentList>
    <comment ref="D170" authorId="0">
      <text>
        <r>
          <rPr>
            <sz val="9"/>
            <color indexed="81"/>
            <rFont val="ＭＳ Ｐゴシック"/>
            <family val="3"/>
            <charset val="128"/>
          </rPr>
          <t>訂正済み</t>
        </r>
      </text>
    </comment>
  </commentList>
</comments>
</file>

<file path=xl/sharedStrings.xml><?xml version="1.0" encoding="utf-8"?>
<sst xmlns="http://schemas.openxmlformats.org/spreadsheetml/2006/main" count="2428" uniqueCount="391">
  <si>
    <t>各県漁況情報のとりまとめ</t>
  </si>
  <si>
    <t>マイワシ</t>
  </si>
  <si>
    <t>山口県(湊・通・川尻・江崎)</t>
  </si>
  <si>
    <t>単位:トン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</si>
  <si>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</si>
  <si>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</si>
  <si>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</si>
  <si>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</si>
  <si>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</si>
  <si>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</si>
  <si>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</si>
  <si>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</si>
  <si>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</si>
  <si>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</si>
  <si>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</si>
  <si>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</si>
  <si>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</si>
  <si>
    <t>1992年</t>
  </si>
  <si>
    <t>1993年</t>
  </si>
  <si>
    <t>1994年</t>
  </si>
  <si>
    <t>1995年</t>
  </si>
  <si>
    <t>1996年</t>
  </si>
  <si>
    <t>1997年</t>
  </si>
  <si>
    <t>1998年</t>
  </si>
  <si>
    <t>福岡県(鐘崎・波津・志賀島・唐泊)</t>
  </si>
  <si>
    <t>佐賀県(高串・玄海・名護屋)</t>
  </si>
  <si>
    <t>長崎県(長崎魚市・奈留・小佐々・有喜)</t>
  </si>
  <si>
    <t>熊本県(牛深)</t>
  </si>
  <si>
    <t>鹿児島県(阿久根・枕崎・山川・内之浦)</t>
  </si>
  <si>
    <t>西海ブロック全体</t>
  </si>
  <si>
    <t>カタクチイワシ</t>
  </si>
  <si>
    <t>ウルメイワシ</t>
  </si>
  <si>
    <t>1999年</t>
  </si>
  <si>
    <t>2000年</t>
  </si>
  <si>
    <t>2001年</t>
  </si>
  <si>
    <t>2002年</t>
  </si>
  <si>
    <t>2002年</t>
    <rPh sb="4" eb="5">
      <t>ネン</t>
    </rPh>
    <phoneticPr fontId="2"/>
  </si>
  <si>
    <t>2003年</t>
  </si>
  <si>
    <t>2003年</t>
    <rPh sb="4" eb="5">
      <t>ネン</t>
    </rPh>
    <phoneticPr fontId="2"/>
  </si>
  <si>
    <t>2004年</t>
  </si>
  <si>
    <t>2005年</t>
  </si>
  <si>
    <t>2006年</t>
  </si>
  <si>
    <t>11~3</t>
    <phoneticPr fontId="2"/>
  </si>
  <si>
    <t>4~8</t>
    <phoneticPr fontId="2"/>
  </si>
  <si>
    <t>4~9</t>
    <phoneticPr fontId="2"/>
  </si>
  <si>
    <t>2007年</t>
  </si>
  <si>
    <t>2008年</t>
    <rPh sb="4" eb="5">
      <t>ネン</t>
    </rPh>
    <phoneticPr fontId="2"/>
  </si>
  <si>
    <t>まき網のみ</t>
    <rPh sb="2" eb="3">
      <t>アミ</t>
    </rPh>
    <phoneticPr fontId="2"/>
  </si>
  <si>
    <t>2008年</t>
  </si>
  <si>
    <t>※沿岸漁具を参照</t>
    <rPh sb="1" eb="3">
      <t>エンガン</t>
    </rPh>
    <rPh sb="3" eb="5">
      <t>ギョグ</t>
    </rPh>
    <rPh sb="6" eb="8">
      <t>サンショウ</t>
    </rPh>
    <phoneticPr fontId="2"/>
  </si>
  <si>
    <t>佐賀県(沿岸漁具)</t>
    <rPh sb="4" eb="6">
      <t>エンガン</t>
    </rPh>
    <rPh sb="6" eb="8">
      <t>ギョグ</t>
    </rPh>
    <phoneticPr fontId="2"/>
  </si>
  <si>
    <t>※沿岸漁具</t>
    <rPh sb="1" eb="3">
      <t>エンガン</t>
    </rPh>
    <rPh sb="3" eb="5">
      <t>ギョグ</t>
    </rPh>
    <phoneticPr fontId="2"/>
  </si>
  <si>
    <t>2004年分を修正(2008/10/6)</t>
    <rPh sb="4" eb="6">
      <t>ネンブン</t>
    </rPh>
    <rPh sb="7" eb="9">
      <t>シュウセイ</t>
    </rPh>
    <phoneticPr fontId="2"/>
  </si>
  <si>
    <t>阿久根</t>
    <rPh sb="0" eb="3">
      <t>アクネ</t>
    </rPh>
    <phoneticPr fontId="2"/>
  </si>
  <si>
    <t>内之浦</t>
    <rPh sb="0" eb="3">
      <t>ウチノウラ</t>
    </rPh>
    <phoneticPr fontId="2"/>
  </si>
  <si>
    <t>heinen</t>
    <phoneticPr fontId="2"/>
  </si>
  <si>
    <t>2009年</t>
  </si>
  <si>
    <t>2009年</t>
    <rPh sb="4" eb="5">
      <t>ネン</t>
    </rPh>
    <phoneticPr fontId="2"/>
  </si>
  <si>
    <t>ton表示</t>
    <rPh sb="3" eb="5">
      <t>ヒョウジ</t>
    </rPh>
    <phoneticPr fontId="2"/>
  </si>
  <si>
    <t>2005年1～3月分を修正(2009/10/5)</t>
    <rPh sb="4" eb="5">
      <t>ネン</t>
    </rPh>
    <rPh sb="8" eb="10">
      <t>ガツブン</t>
    </rPh>
    <rPh sb="11" eb="13">
      <t>シュウセイ</t>
    </rPh>
    <phoneticPr fontId="2"/>
  </si>
  <si>
    <t>2007年3月を訂正(2009/10/5)</t>
    <rPh sb="4" eb="5">
      <t>ネン</t>
    </rPh>
    <rPh sb="6" eb="7">
      <t>ガツ</t>
    </rPh>
    <rPh sb="8" eb="10">
      <t>テイセイ</t>
    </rPh>
    <phoneticPr fontId="2"/>
  </si>
  <si>
    <t>マイワシ</t>
    <phoneticPr fontId="5"/>
  </si>
  <si>
    <t>前年</t>
    <rPh sb="0" eb="2">
      <t>ゼンネン</t>
    </rPh>
    <phoneticPr fontId="5"/>
  </si>
  <si>
    <t>平年</t>
    <rPh sb="0" eb="2">
      <t>ヘイネン</t>
    </rPh>
    <phoneticPr fontId="5"/>
  </si>
  <si>
    <t>前年比(%)</t>
    <rPh sb="0" eb="3">
      <t>ゼンネンヒ</t>
    </rPh>
    <phoneticPr fontId="5"/>
  </si>
  <si>
    <t>平年比(%)</t>
    <rPh sb="0" eb="3">
      <t>ヘイネンヒ</t>
    </rPh>
    <phoneticPr fontId="5"/>
  </si>
  <si>
    <t>前年-20%</t>
    <rPh sb="0" eb="2">
      <t>ゼンネン</t>
    </rPh>
    <phoneticPr fontId="2"/>
  </si>
  <si>
    <t>前年+20%</t>
    <rPh sb="0" eb="2">
      <t>ゼンネン</t>
    </rPh>
    <phoneticPr fontId="2"/>
  </si>
  <si>
    <t>平年-20%</t>
    <rPh sb="0" eb="2">
      <t>ヘイネン</t>
    </rPh>
    <phoneticPr fontId="2"/>
  </si>
  <si>
    <t>平年+20%</t>
    <rPh sb="0" eb="2">
      <t>ヘイネン</t>
    </rPh>
    <phoneticPr fontId="2"/>
  </si>
  <si>
    <t>前年を</t>
    <rPh sb="0" eb="2">
      <t>ゼンネン</t>
    </rPh>
    <phoneticPr fontId="2"/>
  </si>
  <si>
    <t>平年を</t>
    <rPh sb="0" eb="2">
      <t>ヘイネン</t>
    </rPh>
    <phoneticPr fontId="2"/>
  </si>
  <si>
    <t>山口</t>
    <rPh sb="0" eb="2">
      <t>ヤマグチ</t>
    </rPh>
    <phoneticPr fontId="5"/>
  </si>
  <si>
    <t>福岡</t>
    <rPh sb="0" eb="2">
      <t>フクオカ</t>
    </rPh>
    <phoneticPr fontId="5"/>
  </si>
  <si>
    <t>佐賀</t>
    <rPh sb="0" eb="2">
      <t>サガ</t>
    </rPh>
    <phoneticPr fontId="5"/>
  </si>
  <si>
    <t>長崎</t>
    <rPh sb="0" eb="2">
      <t>ナガサキ</t>
    </rPh>
    <phoneticPr fontId="5"/>
  </si>
  <si>
    <t>熊本</t>
    <rPh sb="0" eb="2">
      <t>クマモト</t>
    </rPh>
    <phoneticPr fontId="5"/>
  </si>
  <si>
    <t>鹿児島</t>
    <rPh sb="0" eb="3">
      <t>カゴシマ</t>
    </rPh>
    <phoneticPr fontId="5"/>
  </si>
  <si>
    <t>計</t>
    <rPh sb="0" eb="1">
      <t>ケイ</t>
    </rPh>
    <phoneticPr fontId="5"/>
  </si>
  <si>
    <t>ウルメイワシ</t>
    <phoneticPr fontId="2"/>
  </si>
  <si>
    <t>カタクチイワシ</t>
    <phoneticPr fontId="5"/>
  </si>
  <si>
    <t>4~8</t>
    <phoneticPr fontId="2"/>
  </si>
  <si>
    <t>4~9</t>
    <phoneticPr fontId="2"/>
  </si>
  <si>
    <t>11~1</t>
    <phoneticPr fontId="2"/>
  </si>
  <si>
    <t>10~1</t>
    <phoneticPr fontId="2"/>
  </si>
  <si>
    <t>11~3</t>
    <phoneticPr fontId="2"/>
  </si>
  <si>
    <t>平年を</t>
    <rPh sb="0" eb="2">
      <t>ヘイネン</t>
    </rPh>
    <phoneticPr fontId="5"/>
  </si>
  <si>
    <t>前年を</t>
    <rPh sb="0" eb="2">
      <t>ゼンネン</t>
    </rPh>
    <phoneticPr fontId="5"/>
  </si>
  <si>
    <t>各県予報</t>
    <rPh sb="0" eb="2">
      <t>カクケン</t>
    </rPh>
    <rPh sb="2" eb="4">
      <t>ヨホウ</t>
    </rPh>
    <phoneticPr fontId="5"/>
  </si>
  <si>
    <t>※2004年から「中型まき網＋湊」のみ</t>
    <rPh sb="5" eb="6">
      <t>ネン</t>
    </rPh>
    <rPh sb="9" eb="11">
      <t>チュウガタ</t>
    </rPh>
    <rPh sb="13" eb="14">
      <t>アミ</t>
    </rPh>
    <rPh sb="15" eb="16">
      <t>ミナト</t>
    </rPh>
    <phoneticPr fontId="2"/>
  </si>
  <si>
    <t>長崎県(長崎魚市・奈留・小佐々・有喜)</t>
    <phoneticPr fontId="2"/>
  </si>
  <si>
    <t>※2004年から湊のみ</t>
    <rPh sb="5" eb="6">
      <t>ネン</t>
    </rPh>
    <rPh sb="8" eb="9">
      <t>ミナト</t>
    </rPh>
    <phoneticPr fontId="2"/>
  </si>
  <si>
    <t>2010年</t>
    <rPh sb="4" eb="5">
      <t>ネン</t>
    </rPh>
    <phoneticPr fontId="2"/>
  </si>
  <si>
    <t>下回る</t>
    <rPh sb="0" eb="2">
      <t>シタマワ</t>
    </rPh>
    <phoneticPr fontId="2"/>
  </si>
  <si>
    <t>並み</t>
    <rPh sb="0" eb="1">
      <t>ナ</t>
    </rPh>
    <phoneticPr fontId="2"/>
  </si>
  <si>
    <t>前年</t>
    <rPh sb="0" eb="2">
      <t>ゼンネン</t>
    </rPh>
    <phoneticPr fontId="2"/>
  </si>
  <si>
    <t>平年</t>
    <rPh sb="0" eb="2">
      <t>ヘイネン</t>
    </rPh>
    <phoneticPr fontId="2"/>
  </si>
  <si>
    <t>「今後の見通し参考図」用</t>
    <rPh sb="1" eb="3">
      <t>コンゴ</t>
    </rPh>
    <rPh sb="4" eb="6">
      <t>ミトオ</t>
    </rPh>
    <rPh sb="7" eb="10">
      <t>サンコウズ</t>
    </rPh>
    <rPh sb="11" eb="12">
      <t>ヨウ</t>
    </rPh>
    <phoneticPr fontId="2"/>
  </si>
  <si>
    <t>鹿児島棒受（参考）</t>
    <rPh sb="0" eb="3">
      <t>カゴシマ</t>
    </rPh>
    <rPh sb="3" eb="4">
      <t>ボウ</t>
    </rPh>
    <rPh sb="4" eb="5">
      <t>ウ</t>
    </rPh>
    <rPh sb="6" eb="8">
      <t>サンコウ</t>
    </rPh>
    <phoneticPr fontId="2"/>
  </si>
  <si>
    <t>上回る</t>
    <rPh sb="0" eb="2">
      <t>ウワマワ</t>
    </rPh>
    <phoneticPr fontId="2"/>
  </si>
  <si>
    <t>統計表、のシート</t>
    <rPh sb="0" eb="3">
      <t>トウケイヒョウ</t>
    </rPh>
    <phoneticPr fontId="2"/>
  </si>
  <si>
    <t>鐘崎まき網＋鐘崎棒受け＋定置網</t>
    <rPh sb="0" eb="2">
      <t>カネサキ</t>
    </rPh>
    <rPh sb="4" eb="5">
      <t>アミ</t>
    </rPh>
    <rPh sb="6" eb="8">
      <t>カネサキ</t>
    </rPh>
    <rPh sb="8" eb="9">
      <t>ボウ</t>
    </rPh>
    <rPh sb="9" eb="10">
      <t>ウ</t>
    </rPh>
    <rPh sb="12" eb="15">
      <t>テイチアミ</t>
    </rPh>
    <phoneticPr fontId="2"/>
  </si>
  <si>
    <t>鐘崎まき網＋鐘崎棒受け</t>
    <rPh sb="0" eb="2">
      <t>カネサキ</t>
    </rPh>
    <rPh sb="4" eb="5">
      <t>アミ</t>
    </rPh>
    <rPh sb="6" eb="8">
      <t>カネサキ</t>
    </rPh>
    <rPh sb="8" eb="9">
      <t>ボウ</t>
    </rPh>
    <rPh sb="9" eb="10">
      <t>ウ</t>
    </rPh>
    <phoneticPr fontId="2"/>
  </si>
  <si>
    <t>2011年</t>
    <rPh sb="4" eb="5">
      <t>ネン</t>
    </rPh>
    <phoneticPr fontId="2"/>
  </si>
  <si>
    <t>鳥取県</t>
    <rPh sb="0" eb="3">
      <t>トットリケン</t>
    </rPh>
    <phoneticPr fontId="5"/>
  </si>
  <si>
    <t>島根（県中まき）</t>
    <rPh sb="0" eb="2">
      <t>シマネ</t>
    </rPh>
    <rPh sb="3" eb="4">
      <t>ケン</t>
    </rPh>
    <rPh sb="4" eb="5">
      <t>チュウ</t>
    </rPh>
    <phoneticPr fontId="5"/>
  </si>
  <si>
    <t>島根（浜田中まき）</t>
    <rPh sb="0" eb="2">
      <t>シマネ</t>
    </rPh>
    <rPh sb="3" eb="5">
      <t>ハマダ</t>
    </rPh>
    <rPh sb="5" eb="6">
      <t>チュウ</t>
    </rPh>
    <phoneticPr fontId="2"/>
  </si>
  <si>
    <t>単位kg</t>
    <rPh sb="0" eb="2">
      <t>タンイ</t>
    </rPh>
    <phoneticPr fontId="2"/>
  </si>
  <si>
    <t>kei</t>
    <phoneticPr fontId="2"/>
  </si>
  <si>
    <t>山陰漁況</t>
    <rPh sb="0" eb="2">
      <t>サンイン</t>
    </rPh>
    <rPh sb="2" eb="4">
      <t>ギョキョウ</t>
    </rPh>
    <phoneticPr fontId="2"/>
  </si>
  <si>
    <t>マイワシ</t>
    <phoneticPr fontId="2"/>
  </si>
  <si>
    <t>*旋網月計より、資源評価用のシートで別途整理</t>
    <rPh sb="1" eb="3">
      <t>マキアミ</t>
    </rPh>
    <rPh sb="3" eb="5">
      <t>ゲッケイ</t>
    </rPh>
    <rPh sb="8" eb="10">
      <t>シゲン</t>
    </rPh>
    <rPh sb="10" eb="13">
      <t>ヒョウカヨウ</t>
    </rPh>
    <rPh sb="18" eb="20">
      <t>ベット</t>
    </rPh>
    <rPh sb="20" eb="22">
      <t>セイリ</t>
    </rPh>
    <phoneticPr fontId="5"/>
  </si>
  <si>
    <t>4~9</t>
    <phoneticPr fontId="2"/>
  </si>
  <si>
    <t>11~1</t>
    <phoneticPr fontId="2"/>
  </si>
  <si>
    <t>11~3</t>
    <phoneticPr fontId="2"/>
  </si>
  <si>
    <t>2005年</t>
    <phoneticPr fontId="2"/>
  </si>
  <si>
    <t>中型まき網＋棒受け</t>
    <rPh sb="0" eb="2">
      <t>チュウガタ</t>
    </rPh>
    <rPh sb="4" eb="5">
      <t>アミ</t>
    </rPh>
    <rPh sb="6" eb="7">
      <t>ボウ</t>
    </rPh>
    <rPh sb="7" eb="8">
      <t>ウ</t>
    </rPh>
    <phoneticPr fontId="2"/>
  </si>
  <si>
    <t>西海ブロック全体：漁海況用201003から（福岡棒受けのみ）→201110から再び福岡棒受け＋まき網（県資料に合わせた）</t>
    <rPh sb="9" eb="12">
      <t>ギョカイキョウ</t>
    </rPh>
    <rPh sb="12" eb="13">
      <t>ヨウ</t>
    </rPh>
    <rPh sb="22" eb="24">
      <t>フクオカ</t>
    </rPh>
    <rPh sb="24" eb="25">
      <t>ボウ</t>
    </rPh>
    <rPh sb="25" eb="26">
      <t>ウ</t>
    </rPh>
    <rPh sb="39" eb="40">
      <t>フタタ</t>
    </rPh>
    <rPh sb="41" eb="43">
      <t>フクオカ</t>
    </rPh>
    <rPh sb="43" eb="44">
      <t>ボウ</t>
    </rPh>
    <rPh sb="44" eb="45">
      <t>ウ</t>
    </rPh>
    <rPh sb="49" eb="50">
      <t>アミ</t>
    </rPh>
    <rPh sb="51" eb="52">
      <t>ケン</t>
    </rPh>
    <rPh sb="52" eb="54">
      <t>シリョウ</t>
    </rPh>
    <rPh sb="55" eb="56">
      <t>ア</t>
    </rPh>
    <phoneticPr fontId="2"/>
  </si>
  <si>
    <t>ton</t>
    <phoneticPr fontId="2"/>
  </si>
  <si>
    <t>kei(ton)</t>
    <phoneticPr fontId="2"/>
  </si>
  <si>
    <t>2012年</t>
  </si>
  <si>
    <t>2012年</t>
    <rPh sb="4" eb="5">
      <t>ネン</t>
    </rPh>
    <phoneticPr fontId="2"/>
  </si>
  <si>
    <t>予報の検証：沿岸漁業による漁獲量（トン）11～1月</t>
    <rPh sb="0" eb="2">
      <t>ヨホウ</t>
    </rPh>
    <rPh sb="3" eb="5">
      <t>ケンショウ</t>
    </rPh>
    <rPh sb="6" eb="8">
      <t>エンガン</t>
    </rPh>
    <rPh sb="8" eb="10">
      <t>ギョギョウ</t>
    </rPh>
    <rPh sb="13" eb="16">
      <t>ギョカクリョウ</t>
    </rPh>
    <rPh sb="24" eb="25">
      <t>ガツ</t>
    </rPh>
    <phoneticPr fontId="5"/>
  </si>
  <si>
    <t>今後の見通し：4～9月</t>
    <rPh sb="0" eb="2">
      <t>コンゴ</t>
    </rPh>
    <rPh sb="3" eb="5">
      <t>ミトオ</t>
    </rPh>
    <rPh sb="10" eb="11">
      <t>ガツ</t>
    </rPh>
    <phoneticPr fontId="2"/>
  </si>
  <si>
    <t>error check</t>
    <phoneticPr fontId="2"/>
  </si>
  <si>
    <t>予報の検証：沿岸漁業による漁獲量（トン）4～8月</t>
    <rPh sb="0" eb="2">
      <t>ヨホウ</t>
    </rPh>
    <rPh sb="3" eb="5">
      <t>ケンショウ</t>
    </rPh>
    <rPh sb="6" eb="8">
      <t>エンガン</t>
    </rPh>
    <rPh sb="8" eb="10">
      <t>ギョギョウ</t>
    </rPh>
    <rPh sb="13" eb="16">
      <t>ギョカクリョウ</t>
    </rPh>
    <rPh sb="23" eb="24">
      <t>ガツ</t>
    </rPh>
    <phoneticPr fontId="5"/>
  </si>
  <si>
    <t>今後の見通し：11～3月</t>
    <rPh sb="0" eb="2">
      <t>コンゴ</t>
    </rPh>
    <rPh sb="3" eb="5">
      <t>ミトオ</t>
    </rPh>
    <rPh sb="11" eb="12">
      <t>ガツ</t>
    </rPh>
    <phoneticPr fontId="2"/>
  </si>
  <si>
    <t>散発的に漁獲される</t>
    <rPh sb="0" eb="3">
      <t>サンパツテキ</t>
    </rPh>
    <rPh sb="4" eb="6">
      <t>ギョカク</t>
    </rPh>
    <phoneticPr fontId="2"/>
  </si>
  <si>
    <t>5年平均</t>
    <rPh sb="1" eb="2">
      <t>ネン</t>
    </rPh>
    <rPh sb="2" eb="4">
      <t>ヘイキン</t>
    </rPh>
    <phoneticPr fontId="2"/>
  </si>
  <si>
    <t>2013年</t>
    <rPh sb="4" eb="5">
      <t>ネン</t>
    </rPh>
    <phoneticPr fontId="2"/>
  </si>
  <si>
    <t>2013年</t>
  </si>
  <si>
    <t>大型</t>
    <rPh sb="0" eb="2">
      <t>オオガタ</t>
    </rPh>
    <phoneticPr fontId="2"/>
  </si>
  <si>
    <t>小型</t>
    <rPh sb="0" eb="2">
      <t>コガタ</t>
    </rPh>
    <phoneticPr fontId="2"/>
  </si>
  <si>
    <t>計</t>
    <rPh sb="0" eb="1">
      <t>ケイ</t>
    </rPh>
    <phoneticPr fontId="2"/>
  </si>
  <si>
    <t>大中型</t>
    <rPh sb="0" eb="3">
      <t>ダイチュウガタ</t>
    </rPh>
    <phoneticPr fontId="2"/>
  </si>
  <si>
    <t>鳥取旋網月計データ</t>
    <rPh sb="0" eb="2">
      <t>トットリ</t>
    </rPh>
    <rPh sb="2" eb="4">
      <t>マキアミ</t>
    </rPh>
    <rPh sb="4" eb="6">
      <t>ゲッケイ</t>
    </rPh>
    <phoneticPr fontId="2"/>
  </si>
  <si>
    <t>2014年</t>
    <rPh sb="4" eb="5">
      <t>ネン</t>
    </rPh>
    <phoneticPr fontId="2"/>
  </si>
  <si>
    <t>2014年</t>
  </si>
  <si>
    <t>熊本県(牛深)　まき網</t>
    <rPh sb="10" eb="11">
      <t>アミ</t>
    </rPh>
    <phoneticPr fontId="2"/>
  </si>
  <si>
    <t>11～3月, 5年平均</t>
    <rPh sb="4" eb="5">
      <t>ガツ</t>
    </rPh>
    <rPh sb="8" eb="9">
      <t>ネン</t>
    </rPh>
    <rPh sb="9" eb="11">
      <t>ヘイキン</t>
    </rPh>
    <phoneticPr fontId="2"/>
  </si>
  <si>
    <t>2015年</t>
    <rPh sb="4" eb="5">
      <t>ネン</t>
    </rPh>
    <phoneticPr fontId="2"/>
  </si>
  <si>
    <t>2015年</t>
  </si>
  <si>
    <t>殆ど漁獲されない</t>
    <rPh sb="0" eb="1">
      <t>ホトン</t>
    </rPh>
    <rPh sb="2" eb="4">
      <t>ギョカク</t>
    </rPh>
    <phoneticPr fontId="2"/>
  </si>
  <si>
    <t>2016年</t>
    <rPh sb="4" eb="5">
      <t>ネン</t>
    </rPh>
    <phoneticPr fontId="2"/>
  </si>
  <si>
    <t>2016年</t>
  </si>
  <si>
    <t>漁獲される見込み少ない</t>
    <rPh sb="0" eb="2">
      <t>ギョカク</t>
    </rPh>
    <rPh sb="5" eb="7">
      <t>ミコ</t>
    </rPh>
    <rPh sb="8" eb="9">
      <t>スク</t>
    </rPh>
    <phoneticPr fontId="2"/>
  </si>
  <si>
    <t>平年は前年を含まない</t>
    <rPh sb="0" eb="2">
      <t>ヘイネン</t>
    </rPh>
    <rPh sb="3" eb="5">
      <t>ゼンネン</t>
    </rPh>
    <rPh sb="6" eb="7">
      <t>フク</t>
    </rPh>
    <phoneticPr fontId="2"/>
  </si>
  <si>
    <t>平年は前年を含む</t>
    <rPh sb="0" eb="2">
      <t>ヘイネン</t>
    </rPh>
    <rPh sb="3" eb="5">
      <t>ゼンネン</t>
    </rPh>
    <rPh sb="6" eb="7">
      <t>フク</t>
    </rPh>
    <phoneticPr fontId="2"/>
  </si>
  <si>
    <t>ok</t>
    <phoneticPr fontId="2"/>
  </si>
  <si>
    <t>2017年</t>
    <rPh sb="4" eb="5">
      <t>ネン</t>
    </rPh>
    <phoneticPr fontId="2"/>
  </si>
  <si>
    <t>2017年</t>
  </si>
  <si>
    <t>2016年</t>
    <rPh sb="4" eb="5">
      <t>ネン</t>
    </rPh>
    <phoneticPr fontId="5"/>
  </si>
  <si>
    <t>下回り</t>
    <rPh sb="0" eb="2">
      <t>シタマワ</t>
    </rPh>
    <phoneticPr fontId="2"/>
  </si>
  <si>
    <t>散発的なら前年・平年下回る？</t>
    <rPh sb="0" eb="3">
      <t>サンパツテキ</t>
    </rPh>
    <rPh sb="5" eb="7">
      <t>ゼンネン</t>
    </rPh>
    <rPh sb="8" eb="10">
      <t>ヘイネン</t>
    </rPh>
    <rPh sb="10" eb="12">
      <t>シタマワ</t>
    </rPh>
    <phoneticPr fontId="2"/>
  </si>
  <si>
    <t>合わない</t>
    <rPh sb="0" eb="1">
      <t>ア</t>
    </rPh>
    <phoneticPr fontId="2"/>
  </si>
  <si>
    <t>ほとんど漁獲されない</t>
    <rPh sb="4" eb="6">
      <t>ギョカク</t>
    </rPh>
    <phoneticPr fontId="2"/>
  </si>
  <si>
    <t>ok</t>
    <phoneticPr fontId="2"/>
  </si>
  <si>
    <t>強気。平年並みでなくてよいか？</t>
    <rPh sb="0" eb="2">
      <t>ツヨキ</t>
    </rPh>
    <rPh sb="3" eb="5">
      <t>ヘイネン</t>
    </rPh>
    <rPh sb="5" eb="6">
      <t>ナ</t>
    </rPh>
    <phoneticPr fontId="2"/>
  </si>
  <si>
    <t>2018年</t>
    <rPh sb="4" eb="5">
      <t>ネン</t>
    </rPh>
    <phoneticPr fontId="2"/>
  </si>
  <si>
    <t>並み</t>
    <rPh sb="0" eb="2">
      <t>シタマワ</t>
    </rPh>
    <phoneticPr fontId="2"/>
  </si>
  <si>
    <t>下回る</t>
    <rPh sb="0" eb="3">
      <t>ウワマワ</t>
    </rPh>
    <phoneticPr fontId="2"/>
  </si>
  <si>
    <t>参照セルの移動に注意</t>
  </si>
  <si>
    <t>参照セルの移動に注意</t>
    <rPh sb="0" eb="2">
      <t>サンショウ</t>
    </rPh>
    <rPh sb="5" eb="7">
      <t>イドウ</t>
    </rPh>
    <rPh sb="8" eb="10">
      <t>チュウイ</t>
    </rPh>
    <phoneticPr fontId="2"/>
  </si>
  <si>
    <t>4～9月, 5年平均</t>
    <rPh sb="3" eb="4">
      <t>ガツ</t>
    </rPh>
    <rPh sb="7" eb="8">
      <t>ネン</t>
    </rPh>
    <rPh sb="8" eb="10">
      <t>ヘイキン</t>
    </rPh>
    <phoneticPr fontId="2"/>
  </si>
  <si>
    <t>3月漁海況参照セルの移動に注意</t>
    <rPh sb="1" eb="2">
      <t>ガツ</t>
    </rPh>
    <rPh sb="2" eb="3">
      <t>ギョ</t>
    </rPh>
    <rPh sb="3" eb="4">
      <t>ウミ</t>
    </rPh>
    <rPh sb="4" eb="5">
      <t>kaikyou</t>
    </rPh>
    <rPh sb="5" eb="7">
      <t>サンショウ</t>
    </rPh>
    <rPh sb="10" eb="12">
      <t>イドウ</t>
    </rPh>
    <rPh sb="13" eb="15">
      <t>チュウイ</t>
    </rPh>
    <phoneticPr fontId="2"/>
  </si>
  <si>
    <t>並み</t>
    <rPh sb="0" eb="1">
      <t>ナ</t>
    </rPh>
    <phoneticPr fontId="2"/>
  </si>
  <si>
    <t>下回る</t>
  </si>
  <si>
    <t>下回る</t>
    <rPh sb="0" eb="2">
      <t>シタマワ</t>
    </rPh>
    <phoneticPr fontId="2"/>
  </si>
  <si>
    <t>（前年=0）</t>
    <rPh sb="1" eb="3">
      <t>ゼンネン</t>
    </rPh>
    <phoneticPr fontId="4"/>
  </si>
  <si>
    <t>(前年比)</t>
  </si>
  <si>
    <t>13</t>
  </si>
  <si>
    <t>平年比</t>
    <rPh sb="0" eb="2">
      <t>ヘイネン</t>
    </rPh>
    <rPh sb="2" eb="3">
      <t>ヒ</t>
    </rPh>
    <phoneticPr fontId="4"/>
  </si>
  <si>
    <t>備考</t>
  </si>
  <si>
    <t>14</t>
  </si>
  <si>
    <t>有効漁獲量</t>
  </si>
  <si>
    <t>15</t>
  </si>
  <si>
    <t>一隻当漁獲量</t>
  </si>
  <si>
    <t>16</t>
    <phoneticPr fontId="4"/>
  </si>
  <si>
    <t>前年比</t>
    <rPh sb="0" eb="2">
      <t>ゼンネン</t>
    </rPh>
    <rPh sb="2" eb="3">
      <t>ヒ</t>
    </rPh>
    <phoneticPr fontId="4"/>
  </si>
  <si>
    <t>有効隻数</t>
  </si>
  <si>
    <t>17</t>
    <phoneticPr fontId="4"/>
  </si>
  <si>
    <t>総漁獲量</t>
  </si>
  <si>
    <t>出漁隻数</t>
  </si>
  <si>
    <t>（平年）</t>
    <rPh sb="1" eb="3">
      <t>ヘイネン</t>
    </rPh>
    <phoneticPr fontId="4"/>
  </si>
  <si>
    <t>漁獲量</t>
  </si>
  <si>
    <t>前年同期の漁獲量</t>
    <rPh sb="0" eb="2">
      <t>ゼンネン</t>
    </rPh>
    <rPh sb="2" eb="4">
      <t>ドウキ</t>
    </rPh>
    <rPh sb="5" eb="7">
      <t>ギョカク</t>
    </rPh>
    <rPh sb="7" eb="8">
      <t>リョウ</t>
    </rPh>
    <phoneticPr fontId="4"/>
  </si>
  <si>
    <t>体長範囲</t>
  </si>
  <si>
    <t>カエリ</t>
    <phoneticPr fontId="4"/>
  </si>
  <si>
    <t>小羽</t>
    <rPh sb="0" eb="2">
      <t>コバ</t>
    </rPh>
    <phoneticPr fontId="4"/>
  </si>
  <si>
    <t>中羽</t>
    <rPh sb="0" eb="2">
      <t>チュウバ</t>
    </rPh>
    <phoneticPr fontId="4"/>
  </si>
  <si>
    <t>大羽</t>
    <rPh sb="0" eb="2">
      <t>オオバ</t>
    </rPh>
    <phoneticPr fontId="4"/>
  </si>
  <si>
    <t>銘柄</t>
  </si>
  <si>
    <t>４～８月の計</t>
  </si>
  <si>
    <t>前(平)年との比較（４～８月）</t>
  </si>
  <si>
    <t>９　　月</t>
  </si>
  <si>
    <t>８　　月</t>
  </si>
  <si>
    <t>カタクチイワシ</t>
    <phoneticPr fontId="4"/>
  </si>
  <si>
    <t>７　　月</t>
  </si>
  <si>
    <t>６　　月</t>
  </si>
  <si>
    <t>５　　月</t>
  </si>
  <si>
    <t>４　　月</t>
  </si>
  <si>
    <t>３　　月</t>
  </si>
  <si>
    <t>２　　月</t>
  </si>
  <si>
    <t>単位：トン</t>
  </si>
  <si>
    <t>kuatch_ton</t>
  </si>
  <si>
    <t>month</t>
  </si>
  <si>
    <t>長 崎 県</t>
    <phoneticPr fontId="4"/>
  </si>
  <si>
    <t>地名 ： （Ｈ.30）奈留漁協      漁業種 ：   中小型まき網　　</t>
  </si>
  <si>
    <t>奈留</t>
  </si>
  <si>
    <t>漁況情報のとりまとめ</t>
  </si>
  <si>
    <t>平年比</t>
    <rPh sb="0" eb="2">
      <t>ヘイネン</t>
    </rPh>
    <rPh sb="2" eb="3">
      <t>ヒ</t>
    </rPh>
    <phoneticPr fontId="3"/>
  </si>
  <si>
    <t>16</t>
    <phoneticPr fontId="3"/>
  </si>
  <si>
    <t>前年比</t>
    <rPh sb="0" eb="3">
      <t>ゼンネンヒ</t>
    </rPh>
    <phoneticPr fontId="3"/>
  </si>
  <si>
    <t>17</t>
    <phoneticPr fontId="3"/>
  </si>
  <si>
    <t>（平年）</t>
    <rPh sb="1" eb="3">
      <t>ヘイネン</t>
    </rPh>
    <phoneticPr fontId="3"/>
  </si>
  <si>
    <t>前年同期の漁獲量</t>
    <rPh sb="0" eb="2">
      <t>ゼンネン</t>
    </rPh>
    <rPh sb="2" eb="4">
      <t>ドウキ</t>
    </rPh>
    <rPh sb="5" eb="7">
      <t>ギョカク</t>
    </rPh>
    <rPh sb="7" eb="8">
      <t>リョウ</t>
    </rPh>
    <phoneticPr fontId="3"/>
  </si>
  <si>
    <t>カエリ</t>
    <phoneticPr fontId="3"/>
  </si>
  <si>
    <t>小羽</t>
    <rPh sb="0" eb="2">
      <t>コバ</t>
    </rPh>
    <phoneticPr fontId="3"/>
  </si>
  <si>
    <t>中羽</t>
    <rPh sb="0" eb="1">
      <t>チュウ</t>
    </rPh>
    <rPh sb="1" eb="2">
      <t>バ</t>
    </rPh>
    <phoneticPr fontId="3"/>
  </si>
  <si>
    <t>大羽</t>
    <rPh sb="0" eb="2">
      <t>オオバ</t>
    </rPh>
    <phoneticPr fontId="3"/>
  </si>
  <si>
    <t>カ　タ　ク　チ</t>
    <phoneticPr fontId="3"/>
  </si>
  <si>
    <t>７　　月</t>
    <phoneticPr fontId="3"/>
  </si>
  <si>
    <t>sum</t>
  </si>
  <si>
    <r>
      <t>長 崎 県</t>
    </r>
    <r>
      <rPr>
        <u/>
        <sz val="14"/>
        <rFont val="明朝"/>
        <family val="1"/>
        <charset val="128"/>
      </rPr>
      <t>　　</t>
    </r>
  </si>
  <si>
    <t>地名 ： （Ｈ.30）小佐々漁協      漁業種 ：   中小型まき網　　</t>
  </si>
  <si>
    <t>catch_ton</t>
  </si>
  <si>
    <t>九十九島</t>
  </si>
  <si>
    <r>
      <t>長 崎 県　</t>
    </r>
    <r>
      <rPr>
        <sz val="14"/>
        <rFont val="明朝"/>
        <family val="1"/>
        <charset val="128"/>
      </rPr>
      <t>　</t>
    </r>
  </si>
  <si>
    <t>カ　タ　ク　チ</t>
    <phoneticPr fontId="1"/>
  </si>
  <si>
    <t>大羽</t>
    <rPh sb="0" eb="2">
      <t>オオバ</t>
    </rPh>
    <phoneticPr fontId="1"/>
  </si>
  <si>
    <t>中羽</t>
    <rPh sb="0" eb="1">
      <t>チュウ</t>
    </rPh>
    <rPh sb="1" eb="2">
      <t>バ</t>
    </rPh>
    <phoneticPr fontId="1"/>
  </si>
  <si>
    <t>小羽</t>
    <rPh sb="0" eb="2">
      <t>コバ</t>
    </rPh>
    <phoneticPr fontId="1"/>
  </si>
  <si>
    <t>カエリ</t>
    <phoneticPr fontId="1"/>
  </si>
  <si>
    <t>前年同期の漁獲量</t>
    <rPh sb="0" eb="2">
      <t>ゼンネン</t>
    </rPh>
    <rPh sb="2" eb="4">
      <t>ドウキ</t>
    </rPh>
    <rPh sb="5" eb="7">
      <t>ギョカク</t>
    </rPh>
    <rPh sb="7" eb="8">
      <t>リョウ</t>
    </rPh>
    <phoneticPr fontId="1"/>
  </si>
  <si>
    <t>（平年）</t>
    <rPh sb="1" eb="3">
      <t>ヘイネン</t>
    </rPh>
    <phoneticPr fontId="1"/>
  </si>
  <si>
    <t>17</t>
    <phoneticPr fontId="1"/>
  </si>
  <si>
    <t>前年比</t>
    <rPh sb="0" eb="3">
      <t>ゼンネンヒ</t>
    </rPh>
    <phoneticPr fontId="1"/>
  </si>
  <si>
    <t>16</t>
  </si>
  <si>
    <t>平年比</t>
    <rPh sb="0" eb="2">
      <t>ヘイネン</t>
    </rPh>
    <rPh sb="2" eb="3">
      <t>ヒ</t>
    </rPh>
    <phoneticPr fontId="1"/>
  </si>
  <si>
    <t>地名 ： （Ｈ．30）橘湾中央漁協      漁業種 ：   中小型まき網　　</t>
  </si>
  <si>
    <t>橘湾</t>
  </si>
  <si>
    <t>sum4_8</t>
  </si>
  <si>
    <t>　　長 崎 県　　</t>
  </si>
  <si>
    <t>カ タ ク チ</t>
    <phoneticPr fontId="4"/>
  </si>
  <si>
    <t>前年同期の漁獲量</t>
  </si>
  <si>
    <t>(平年)</t>
    <phoneticPr fontId="4"/>
  </si>
  <si>
    <t>前年比</t>
  </si>
  <si>
    <t>平年比</t>
  </si>
  <si>
    <t>地名 ： （Ｈ.30）長崎魚市      漁業種 ：   中小型まき網　　</t>
  </si>
  <si>
    <t>長崎魚市</t>
  </si>
  <si>
    <t>長崎合計</t>
  </si>
  <si>
    <t>so</t>
  </si>
  <si>
    <t>銘柄別水揚量市場調査表（湊） 2018年　年計</t>
    <rPh sb="21" eb="23">
      <t>ネンケイ</t>
    </rPh>
    <phoneticPr fontId="3"/>
  </si>
  <si>
    <t>（㎏）</t>
  </si>
  <si>
    <t>　</t>
  </si>
  <si>
    <t>漁業種類</t>
  </si>
  <si>
    <t>隻数</t>
  </si>
  <si>
    <t>マアジ</t>
  </si>
  <si>
    <t>サバ</t>
  </si>
  <si>
    <t>カタクチ</t>
    <phoneticPr fontId="3"/>
  </si>
  <si>
    <t>ウルメ</t>
  </si>
  <si>
    <t>イカ</t>
  </si>
  <si>
    <t>その他</t>
  </si>
  <si>
    <t>マメアジ</t>
  </si>
  <si>
    <t>ゼンゴ</t>
  </si>
  <si>
    <t>トウマゴ</t>
  </si>
  <si>
    <t>中小</t>
  </si>
  <si>
    <t>ギリ</t>
  </si>
  <si>
    <t>大羽</t>
  </si>
  <si>
    <t>中羽</t>
  </si>
  <si>
    <t>ヒラゴ</t>
  </si>
  <si>
    <t>大</t>
  </si>
  <si>
    <t>カエリ</t>
  </si>
  <si>
    <t>シラス</t>
  </si>
  <si>
    <t>ｳﾙﾒ仔</t>
    <rPh sb="3" eb="4">
      <t>コ</t>
    </rPh>
    <phoneticPr fontId="4"/>
  </si>
  <si>
    <t>１　月　計</t>
  </si>
  <si>
    <t>月　計</t>
    <rPh sb="0" eb="1">
      <t>ゲッケイ</t>
    </rPh>
    <rPh sb="2" eb="3">
      <t>ケイ</t>
    </rPh>
    <phoneticPr fontId="3"/>
  </si>
  <si>
    <t>抄　網</t>
  </si>
  <si>
    <t>棒受網</t>
  </si>
  <si>
    <t>２　月　計</t>
  </si>
  <si>
    <t>３　月　計</t>
  </si>
  <si>
    <t>４　月　計</t>
  </si>
  <si>
    <t>５　月　計</t>
  </si>
  <si>
    <t>６　月　計</t>
  </si>
  <si>
    <t>７　月　計</t>
  </si>
  <si>
    <t>抄　網</t>
    <phoneticPr fontId="4"/>
  </si>
  <si>
    <t>８　月　計</t>
  </si>
  <si>
    <t>抄　網</t>
    <rPh sb="0" eb="1">
      <t>ショウ</t>
    </rPh>
    <rPh sb="2" eb="3">
      <t>アミ</t>
    </rPh>
    <phoneticPr fontId="4"/>
  </si>
  <si>
    <t>棒受網</t>
    <rPh sb="0" eb="2">
      <t>ボウウ</t>
    </rPh>
    <rPh sb="2" eb="3">
      <t>アミ</t>
    </rPh>
    <phoneticPr fontId="4"/>
  </si>
  <si>
    <t>９　月　計</t>
  </si>
  <si>
    <t>１０　月　計</t>
  </si>
  <si>
    <t>１１　月　計</t>
  </si>
  <si>
    <t>１２　月　計</t>
  </si>
  <si>
    <t>年　計</t>
  </si>
  <si>
    <t>合　計</t>
    <rPh sb="0" eb="1">
      <t>ゴウ</t>
    </rPh>
    <rPh sb="2" eb="3">
      <t>ケイ</t>
    </rPh>
    <phoneticPr fontId="4"/>
  </si>
  <si>
    <t>catch_kg</t>
  </si>
  <si>
    <t>福岡</t>
  </si>
  <si>
    <t>まき網漁獲なし</t>
  </si>
  <si>
    <t>棒受け</t>
  </si>
  <si>
    <t>K</t>
  </si>
  <si>
    <t>KEI</t>
  </si>
  <si>
    <t>A</t>
  </si>
  <si>
    <t>B</t>
  </si>
  <si>
    <t>カタクチ</t>
  </si>
  <si>
    <t>カタクチイワシ（唐津港県内船、中型まき網、主要定置網を含む）</t>
    <rPh sb="8" eb="11">
      <t>カラツコウ</t>
    </rPh>
    <rPh sb="11" eb="13">
      <t>ケンナイ</t>
    </rPh>
    <rPh sb="13" eb="14">
      <t>フネ</t>
    </rPh>
    <rPh sb="15" eb="17">
      <t>チュウガタ</t>
    </rPh>
    <rPh sb="19" eb="20">
      <t>アミ</t>
    </rPh>
    <rPh sb="21" eb="23">
      <t>シュヨウ</t>
    </rPh>
    <rPh sb="23" eb="26">
      <t>テイチアミ</t>
    </rPh>
    <rPh sb="27" eb="28">
      <t>フク</t>
    </rPh>
    <phoneticPr fontId="1"/>
  </si>
  <si>
    <t>（単位：ｋｇ）</t>
    <rPh sb="1" eb="3">
      <t>タンイ</t>
    </rPh>
    <phoneticPr fontId="1"/>
  </si>
  <si>
    <t>年度</t>
    <rPh sb="0" eb="2">
      <t>ネンド</t>
    </rPh>
    <phoneticPr fontId="1"/>
  </si>
  <si>
    <t>４月</t>
    <rPh sb="1" eb="2">
      <t>ガツ</t>
    </rPh>
    <phoneticPr fontId="1"/>
  </si>
  <si>
    <t>５月</t>
  </si>
  <si>
    <t>６月</t>
  </si>
  <si>
    <t>７月</t>
  </si>
  <si>
    <t>８月</t>
  </si>
  <si>
    <t>９月</t>
  </si>
  <si>
    <t>１０月</t>
  </si>
  <si>
    <t>１１月</t>
  </si>
  <si>
    <t>１２月</t>
  </si>
  <si>
    <t>１月</t>
  </si>
  <si>
    <t>２月</t>
  </si>
  <si>
    <t>３月</t>
  </si>
  <si>
    <t>年度合計</t>
    <rPh sb="0" eb="2">
      <t>ネンド</t>
    </rPh>
    <rPh sb="2" eb="4">
      <t>ゴウケイ</t>
    </rPh>
    <phoneticPr fontId="1"/>
  </si>
  <si>
    <t>4～8合計</t>
  </si>
  <si>
    <t>9～1合計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</si>
  <si>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</si>
  <si>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</si>
  <si>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</si>
  <si>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</si>
  <si>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</si>
  <si>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</si>
  <si>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</si>
  <si>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</si>
  <si>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</si>
  <si>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</si>
  <si>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</si>
  <si>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</si>
  <si>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</si>
  <si>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</si>
  <si>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H1</t>
    <phoneticPr fontId="1"/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</si>
  <si>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</si>
  <si>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</si>
  <si>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</si>
  <si>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</si>
  <si>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</si>
  <si>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</si>
  <si>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</si>
  <si>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</si>
  <si>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</si>
  <si>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</si>
  <si>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</si>
  <si>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</si>
  <si>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</si>
  <si>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</si>
  <si>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  <phoneticPr fontId="1"/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</si>
  <si>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</si>
  <si>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</si>
  <si>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</si>
  <si>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</si>
  <si>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</si>
  <si>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</si>
  <si>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</si>
  <si>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</si>
  <si>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</si>
  <si>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</si>
  <si>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</si>
  <si>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</si>
  <si>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</si>
  <si>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</si>
  <si>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表２－１　まき網魚種別の年度別・月別漁獲量</t>
    <phoneticPr fontId="1"/>
  </si>
  <si>
    <t>（単位：トン）</t>
  </si>
  <si>
    <t>前期計</t>
  </si>
  <si>
    <t>後期計</t>
  </si>
  <si>
    <t>4～9月</t>
    <phoneticPr fontId="1"/>
  </si>
  <si>
    <t>10～3月</t>
    <phoneticPr fontId="1"/>
  </si>
  <si>
    <t>年度計</t>
  </si>
  <si>
    <t>カタクチイワシ</t>
    <phoneticPr fontId="1"/>
  </si>
  <si>
    <t>1996</t>
  </si>
  <si>
    <t>H16</t>
  </si>
  <si>
    <t>H30</t>
    <phoneticPr fontId="1"/>
  </si>
  <si>
    <t>平年</t>
    <rPh sb="0" eb="2">
      <t>ヘイネン</t>
    </rPh>
    <phoneticPr fontId="1"/>
  </si>
  <si>
    <t>平年比</t>
    <rPh sb="0" eb="3">
      <t>ヘイネンヒ</t>
    </rPh>
    <phoneticPr fontId="1"/>
  </si>
  <si>
    <t>西海BK情報貼付用</t>
    <rPh sb="0" eb="2">
      <t>セイカイ</t>
    </rPh>
    <rPh sb="4" eb="6">
      <t>ジョウホウ</t>
    </rPh>
    <rPh sb="6" eb="8">
      <t>ハリツケ</t>
    </rPh>
    <rPh sb="8" eb="9">
      <t>ヨウ</t>
    </rPh>
    <phoneticPr fontId="1"/>
  </si>
  <si>
    <t>（ＡＫ：阿久根、ＭＺ：枕崎、ＹＧ：山川、ＵＵ：内之浦）</t>
  </si>
  <si>
    <t>　　　　カ　タ　ク　チ　イ　ワ　シ</t>
  </si>
  <si>
    <t>(AK)</t>
  </si>
  <si>
    <t>(MZ)</t>
  </si>
  <si>
    <t>(YG)</t>
  </si>
  <si>
    <t>(UU)</t>
  </si>
  <si>
    <t>４港計</t>
  </si>
  <si>
    <t>年月</t>
  </si>
  <si>
    <t>並み</t>
  </si>
  <si>
    <t>散発的に漁獲される</t>
  </si>
  <si>
    <t>上回る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</si>
</sst>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(* #,##0_);_(* \(#,##0\);_(* &quot;-&quot;_);_(@_)"/>
    <numFmt numFmtId="164" formatCode="#,##0.0"/>
    <numFmt numFmtId="165" formatCode="0.0"/>
    <numFmt numFmtId="166" formatCode="0.0_);[Red]\(0.0\)"/>
    <numFmt numFmtId="167" formatCode="0.0_ "/>
    <numFmt numFmtId="168" formatCode="#,##0;[Red]#,##0"/>
    <numFmt numFmtId="169" formatCode="#,##0.0;[Red]\-#,##0.0"/>
    <numFmt numFmtId="170" formatCode="0.00_);[Red]\(0.00\)"/>
    <numFmt numFmtId="171" formatCode="0.000_);[Red]\(0.000\)"/>
    <numFmt numFmtId="172" formatCode="0_);[Red]\(0\)"/>
    <numFmt numFmtId="173" formatCode="0_ "/>
    <numFmt numFmtId="174" formatCode="#,##0_ "/>
    <numFmt numFmtId="175" formatCode="0.00_ "/>
    <numFmt numFmtId="176" formatCode="0.000_ "/>
    <numFmt numFmtId="177" formatCode="0.0%"/>
  </numFmts>
  <fonts count="54" x14ac:knownFonts="1">
    <font>
      <sz val="12"/>
      <name val="Osaka"/>
      <charset val="128"/>
    </font>
    <font>
      <sz val="12"/>
      <name val="Osaka"/>
      <family val="2"/>
      <charset val="128"/>
    </font>
    <font>
      <sz val="6"/>
      <name val="Osaka"/>
      <family val="2"/>
      <charset val="128"/>
    </font>
    <font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明朝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8"/>
      <color indexed="56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indexed="10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1"/>
      <name val="Yu Gothic"/>
      <family val="2"/>
      <charset val="128"/>
    </font>
    <font>
      <sz val="11"/>
      <color rgb="FFFF0000"/>
      <name val="明朝"/>
      <family val="1"/>
      <charset val="128"/>
    </font>
    <font>
      <u/>
      <sz val="14"/>
      <color rgb="FFFF0000"/>
      <name val="明朝"/>
      <family val="1"/>
      <charset val="128"/>
    </font>
    <font>
      <u/>
      <sz val="14"/>
      <name val="明朝"/>
      <family val="1"/>
      <charset val="128"/>
    </font>
    <font>
      <sz val="18"/>
      <name val="明朝"/>
      <family val="1"/>
      <charset val="128"/>
    </font>
    <font>
      <sz val="14"/>
      <name val="明朝"/>
      <family val="1"/>
      <charset val="128"/>
    </font>
    <font>
      <sz val="11"/>
      <color theme="1"/>
      <name val="明朝"/>
      <family val="1"/>
      <charset val="128"/>
    </font>
    <font>
      <sz val="16"/>
      <name val="明朝"/>
      <family val="1"/>
      <charset val="128"/>
    </font>
    <font>
      <sz val="10"/>
      <color rgb="FFFF0000"/>
      <name val="明朝"/>
      <family val="1"/>
      <charset val="128"/>
    </font>
    <font>
      <u/>
      <sz val="12"/>
      <name val="明朝"/>
      <family val="1"/>
      <charset val="128"/>
    </font>
    <font>
      <sz val="11"/>
      <color indexed="10"/>
      <name val="明朝"/>
      <family val="1"/>
      <charset val="128"/>
    </font>
    <font>
      <sz val="12"/>
      <name val="明朝"/>
      <family val="1"/>
      <charset val="128"/>
    </font>
    <font>
      <sz val="12"/>
      <name val="ＭＳ ゴシック"/>
      <family val="3"/>
      <charset val="128"/>
    </font>
    <font>
      <sz val="12"/>
      <color rgb="FF000000"/>
      <name val="ＭＳ 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明朝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89">
    <xf numFmtId="0" fontId="0" fillId="0" borderId="0"/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2" borderId="1" applyNumberFormat="0" applyAlignment="0" applyProtection="0">
      <alignment vertical="center"/>
    </xf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5" fillId="8" borderId="4" applyNumberFormat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38" fontId="3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/>
    <xf numFmtId="0" fontId="6" fillId="0" borderId="0"/>
    <xf numFmtId="0" fontId="3" fillId="0" borderId="0" applyBorder="0">
      <alignment vertical="center"/>
    </xf>
    <xf numFmtId="0" fontId="3" fillId="0" borderId="0"/>
    <xf numFmtId="0" fontId="26" fillId="0" borderId="0">
      <alignment vertical="center"/>
    </xf>
    <xf numFmtId="0" fontId="3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" fillId="0" borderId="0"/>
    <xf numFmtId="0" fontId="6" fillId="0" borderId="0"/>
    <xf numFmtId="0" fontId="3" fillId="0" borderId="0" applyProtection="0"/>
    <xf numFmtId="0" fontId="3" fillId="0" borderId="0"/>
    <xf numFmtId="0" fontId="25" fillId="0" borderId="0">
      <alignment vertical="center"/>
    </xf>
    <xf numFmtId="0" fontId="26" fillId="0" borderId="0">
      <alignment vertical="center"/>
    </xf>
    <xf numFmtId="0" fontId="3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558">
    <xf numFmtId="0" fontId="0" fillId="0" borderId="0" xfId="0"/>
    <xf numFmtId="165" fontId="3" fillId="0" borderId="0" xfId="0" applyNumberFormat="1" applyFont="1"/>
    <xf numFmtId="165" fontId="3" fillId="0" borderId="10" xfId="0" applyNumberFormat="1" applyFont="1" applyBorder="1"/>
    <xf numFmtId="170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 applyBorder="1"/>
    <xf numFmtId="165" fontId="3" fillId="0" borderId="10" xfId="0" applyNumberFormat="1" applyFont="1" applyFill="1" applyBorder="1"/>
    <xf numFmtId="164" fontId="3" fillId="0" borderId="10" xfId="0" applyNumberFormat="1" applyFont="1" applyFill="1" applyBorder="1" applyAlignment="1">
      <alignment vertical="center"/>
    </xf>
    <xf numFmtId="164" fontId="3" fillId="0" borderId="10" xfId="0" applyNumberFormat="1" applyFont="1" applyFill="1" applyBorder="1"/>
    <xf numFmtId="171" fontId="3" fillId="0" borderId="0" xfId="0" applyNumberFormat="1" applyFont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vertical="center"/>
    </xf>
    <xf numFmtId="165" fontId="3" fillId="0" borderId="0" xfId="0" applyNumberFormat="1" applyFont="1" applyFill="1"/>
    <xf numFmtId="164" fontId="3" fillId="0" borderId="10" xfId="0" applyNumberFormat="1" applyFont="1" applyBorder="1"/>
    <xf numFmtId="164" fontId="3" fillId="0" borderId="0" xfId="0" applyNumberFormat="1" applyFont="1" applyBorder="1"/>
    <xf numFmtId="0" fontId="3" fillId="0" borderId="10" xfId="0" applyFont="1" applyBorder="1"/>
    <xf numFmtId="0" fontId="3" fillId="0" borderId="0" xfId="0" applyFont="1" applyBorder="1"/>
    <xf numFmtId="164" fontId="28" fillId="0" borderId="10" xfId="0" applyNumberFormat="1" applyFont="1" applyBorder="1"/>
    <xf numFmtId="165" fontId="29" fillId="0" borderId="10" xfId="0" applyNumberFormat="1" applyFont="1" applyBorder="1"/>
    <xf numFmtId="165" fontId="29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64" fontId="29" fillId="0" borderId="10" xfId="0" applyNumberFormat="1" applyFont="1" applyBorder="1"/>
    <xf numFmtId="164" fontId="29" fillId="0" borderId="0" xfId="0" applyNumberFormat="1" applyFont="1"/>
    <xf numFmtId="0" fontId="28" fillId="0" borderId="0" xfId="43" applyFont="1" applyAlignment="1">
      <alignment vertical="center"/>
    </xf>
    <xf numFmtId="0" fontId="28" fillId="0" borderId="0" xfId="43" applyFont="1" applyAlignment="1"/>
    <xf numFmtId="172" fontId="28" fillId="0" borderId="11" xfId="43" applyNumberFormat="1" applyFont="1" applyBorder="1" applyAlignment="1">
      <alignment vertical="center"/>
    </xf>
    <xf numFmtId="0" fontId="28" fillId="0" borderId="11" xfId="43" applyFont="1" applyBorder="1" applyAlignment="1">
      <alignment vertical="center"/>
    </xf>
    <xf numFmtId="173" fontId="28" fillId="0" borderId="0" xfId="43" applyNumberFormat="1" applyFont="1" applyFill="1" applyBorder="1" applyAlignment="1">
      <alignment vertical="center"/>
    </xf>
    <xf numFmtId="172" fontId="28" fillId="0" borderId="0" xfId="43" applyNumberFormat="1" applyFont="1" applyAlignment="1">
      <alignment vertical="center"/>
    </xf>
    <xf numFmtId="166" fontId="28" fillId="0" borderId="0" xfId="43" applyNumberFormat="1" applyFont="1" applyAlignment="1">
      <alignment vertical="center"/>
    </xf>
    <xf numFmtId="172" fontId="28" fillId="0" borderId="0" xfId="43" applyNumberFormat="1" applyFont="1" applyAlignment="1"/>
    <xf numFmtId="173" fontId="28" fillId="0" borderId="0" xfId="43" applyNumberFormat="1" applyFont="1" applyAlignment="1">
      <alignment vertical="center"/>
    </xf>
    <xf numFmtId="172" fontId="28" fillId="24" borderId="11" xfId="43" applyNumberFormat="1" applyFont="1" applyFill="1" applyBorder="1" applyAlignment="1">
      <alignment vertical="center"/>
    </xf>
    <xf numFmtId="173" fontId="28" fillId="0" borderId="11" xfId="43" applyNumberFormat="1" applyFont="1" applyBorder="1" applyAlignment="1">
      <alignment vertical="center"/>
    </xf>
    <xf numFmtId="167" fontId="3" fillId="0" borderId="0" xfId="0" applyNumberFormat="1" applyFont="1"/>
    <xf numFmtId="167" fontId="3" fillId="0" borderId="10" xfId="0" applyNumberFormat="1" applyFont="1" applyBorder="1"/>
    <xf numFmtId="165" fontId="28" fillId="0" borderId="0" xfId="0" applyNumberFormat="1" applyFont="1"/>
    <xf numFmtId="170" fontId="28" fillId="0" borderId="0" xfId="0" applyNumberFormat="1" applyFont="1"/>
    <xf numFmtId="164" fontId="28" fillId="0" borderId="0" xfId="0" applyNumberFormat="1" applyFont="1"/>
    <xf numFmtId="171" fontId="28" fillId="0" borderId="0" xfId="0" applyNumberFormat="1" applyFont="1"/>
    <xf numFmtId="165" fontId="28" fillId="0" borderId="10" xfId="0" applyNumberFormat="1" applyFont="1" applyBorder="1"/>
    <xf numFmtId="0" fontId="28" fillId="0" borderId="0" xfId="43" applyFont="1"/>
    <xf numFmtId="0" fontId="28" fillId="0" borderId="11" xfId="43" applyFont="1" applyBorder="1"/>
    <xf numFmtId="167" fontId="28" fillId="0" borderId="11" xfId="43" applyNumberFormat="1" applyFont="1" applyBorder="1"/>
    <xf numFmtId="166" fontId="28" fillId="0" borderId="11" xfId="43" applyNumberFormat="1" applyFont="1" applyBorder="1" applyAlignment="1"/>
    <xf numFmtId="167" fontId="28" fillId="0" borderId="0" xfId="43" applyNumberFormat="1" applyFont="1"/>
    <xf numFmtId="166" fontId="28" fillId="0" borderId="0" xfId="43" applyNumberFormat="1" applyFont="1"/>
    <xf numFmtId="166" fontId="28" fillId="0" borderId="0" xfId="43" applyNumberFormat="1" applyFont="1" applyAlignment="1"/>
    <xf numFmtId="173" fontId="28" fillId="0" borderId="11" xfId="43" applyNumberFormat="1" applyFont="1" applyFill="1" applyBorder="1" applyAlignment="1">
      <alignment vertic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28" fillId="0" borderId="12" xfId="0" applyNumberFormat="1" applyFont="1" applyBorder="1"/>
    <xf numFmtId="164" fontId="28" fillId="0" borderId="0" xfId="0" applyNumberFormat="1" applyFont="1" applyBorder="1"/>
    <xf numFmtId="0" fontId="28" fillId="0" borderId="10" xfId="0" applyFont="1" applyBorder="1"/>
    <xf numFmtId="164" fontId="28" fillId="0" borderId="10" xfId="0" applyNumberFormat="1" applyFont="1" applyFill="1" applyBorder="1"/>
    <xf numFmtId="164" fontId="28" fillId="0" borderId="10" xfId="0" applyNumberFormat="1" applyFont="1" applyFill="1" applyBorder="1" applyAlignment="1">
      <alignment vertical="center"/>
    </xf>
    <xf numFmtId="164" fontId="28" fillId="0" borderId="0" xfId="0" applyNumberFormat="1" applyFont="1" applyFill="1" applyBorder="1"/>
    <xf numFmtId="164" fontId="28" fillId="0" borderId="0" xfId="0" applyNumberFormat="1" applyFont="1" applyFill="1" applyBorder="1" applyAlignment="1">
      <alignment vertical="center"/>
    </xf>
    <xf numFmtId="164" fontId="30" fillId="0" borderId="0" xfId="0" applyNumberFormat="1" applyFont="1" applyFill="1" applyBorder="1"/>
    <xf numFmtId="164" fontId="27" fillId="0" borderId="0" xfId="0" applyNumberFormat="1" applyFont="1"/>
    <xf numFmtId="168" fontId="28" fillId="0" borderId="10" xfId="0" applyNumberFormat="1" applyFont="1" applyFill="1" applyBorder="1"/>
    <xf numFmtId="164" fontId="27" fillId="0" borderId="10" xfId="0" applyNumberFormat="1" applyFont="1" applyBorder="1"/>
    <xf numFmtId="174" fontId="28" fillId="0" borderId="0" xfId="0" applyNumberFormat="1" applyFont="1"/>
    <xf numFmtId="166" fontId="28" fillId="0" borderId="10" xfId="0" applyNumberFormat="1" applyFont="1" applyBorder="1"/>
    <xf numFmtId="166" fontId="28" fillId="0" borderId="10" xfId="0" applyNumberFormat="1" applyFont="1" applyFill="1" applyBorder="1"/>
    <xf numFmtId="168" fontId="28" fillId="0" borderId="0" xfId="0" applyNumberFormat="1" applyFont="1" applyFill="1" applyBorder="1"/>
    <xf numFmtId="164" fontId="28" fillId="0" borderId="0" xfId="0" applyNumberFormat="1" applyFont="1" applyAlignment="1">
      <alignment horizontal="center"/>
    </xf>
    <xf numFmtId="164" fontId="29" fillId="0" borderId="10" xfId="0" applyNumberFormat="1" applyFont="1" applyFill="1" applyBorder="1"/>
    <xf numFmtId="172" fontId="28" fillId="0" borderId="0" xfId="43" applyNumberFormat="1" applyFont="1"/>
    <xf numFmtId="165" fontId="27" fillId="0" borderId="0" xfId="0" applyNumberFormat="1" applyFont="1"/>
    <xf numFmtId="166" fontId="3" fillId="0" borderId="0" xfId="0" applyNumberFormat="1" applyFont="1"/>
    <xf numFmtId="166" fontId="3" fillId="0" borderId="10" xfId="0" applyNumberFormat="1" applyFont="1" applyBorder="1"/>
    <xf numFmtId="164" fontId="3" fillId="0" borderId="10" xfId="52" applyNumberFormat="1" applyFont="1" applyFill="1" applyBorder="1" applyAlignment="1">
      <alignment vertical="center"/>
    </xf>
    <xf numFmtId="169" fontId="3" fillId="0" borderId="0" xfId="35" applyNumberFormat="1" applyFont="1" applyBorder="1"/>
    <xf numFmtId="169" fontId="17" fillId="0" borderId="0" xfId="35" applyNumberFormat="1" applyFont="1" applyBorder="1"/>
    <xf numFmtId="0" fontId="26" fillId="0" borderId="0" xfId="56">
      <alignment vertical="center"/>
    </xf>
    <xf numFmtId="0" fontId="26" fillId="0" borderId="0" xfId="56">
      <alignment vertical="center"/>
    </xf>
    <xf numFmtId="166" fontId="26" fillId="0" borderId="0" xfId="58" applyNumberFormat="1">
      <alignment vertical="center"/>
    </xf>
    <xf numFmtId="166" fontId="26" fillId="0" borderId="0" xfId="58" applyNumberFormat="1">
      <alignment vertical="center"/>
    </xf>
    <xf numFmtId="166" fontId="28" fillId="0" borderId="0" xfId="58" applyNumberFormat="1" applyFont="1">
      <alignment vertical="center"/>
    </xf>
    <xf numFmtId="166" fontId="26" fillId="0" borderId="0" xfId="58" applyNumberFormat="1">
      <alignment vertical="center"/>
    </xf>
    <xf numFmtId="166" fontId="28" fillId="0" borderId="0" xfId="58" applyNumberFormat="1" applyFont="1">
      <alignment vertical="center"/>
    </xf>
    <xf numFmtId="0" fontId="3" fillId="0" borderId="0" xfId="0" applyNumberFormat="1" applyFont="1"/>
    <xf numFmtId="166" fontId="26" fillId="0" borderId="0" xfId="59" applyNumberFormat="1">
      <alignment vertical="center"/>
    </xf>
    <xf numFmtId="166" fontId="28" fillId="0" borderId="0" xfId="59" applyNumberFormat="1" applyFont="1">
      <alignment vertical="center"/>
    </xf>
    <xf numFmtId="166" fontId="28" fillId="0" borderId="0" xfId="0" applyNumberFormat="1" applyFont="1"/>
    <xf numFmtId="170" fontId="3" fillId="24" borderId="0" xfId="0" applyNumberFormat="1" applyFont="1" applyFill="1"/>
    <xf numFmtId="164" fontId="3" fillId="0" borderId="10" xfId="44" applyNumberFormat="1" applyFont="1" applyFill="1" applyBorder="1" applyAlignment="1">
      <alignment vertical="center"/>
    </xf>
    <xf numFmtId="164" fontId="3" fillId="0" borderId="0" xfId="0" applyNumberFormat="1" applyFont="1" applyFill="1"/>
    <xf numFmtId="0" fontId="26" fillId="0" borderId="0" xfId="60">
      <alignment vertical="center"/>
    </xf>
    <xf numFmtId="0" fontId="31" fillId="0" borderId="0" xfId="47" applyFont="1" applyBorder="1">
      <alignment vertical="center"/>
    </xf>
    <xf numFmtId="173" fontId="26" fillId="0" borderId="0" xfId="47" applyNumberFormat="1" applyBorder="1">
      <alignment vertical="center"/>
    </xf>
    <xf numFmtId="0" fontId="3" fillId="0" borderId="0" xfId="46" applyBorder="1"/>
    <xf numFmtId="0" fontId="26" fillId="0" borderId="0" xfId="47" applyBorder="1">
      <alignment vertical="center"/>
    </xf>
    <xf numFmtId="38" fontId="3" fillId="0" borderId="0" xfId="46" applyNumberFormat="1" applyBorder="1"/>
    <xf numFmtId="38" fontId="3" fillId="0" borderId="0" xfId="46" applyNumberFormat="1" applyBorder="1" applyAlignment="1">
      <alignment horizontal="right"/>
    </xf>
    <xf numFmtId="0" fontId="28" fillId="0" borderId="0" xfId="56" applyFont="1">
      <alignment vertical="center"/>
    </xf>
    <xf numFmtId="0" fontId="26" fillId="0" borderId="0" xfId="47" applyNumberFormat="1" applyBorder="1">
      <alignment vertical="center"/>
    </xf>
    <xf numFmtId="0" fontId="31" fillId="0" borderId="0" xfId="47" applyNumberFormat="1" applyFont="1" applyBorder="1">
      <alignment vertical="center"/>
    </xf>
    <xf numFmtId="0" fontId="28" fillId="0" borderId="11" xfId="43" applyFont="1" applyBorder="1" applyAlignment="1"/>
    <xf numFmtId="167" fontId="28" fillId="0" borderId="0" xfId="0" applyNumberFormat="1" applyFont="1" applyFill="1"/>
    <xf numFmtId="0" fontId="28" fillId="0" borderId="0" xfId="0" applyFont="1" applyFill="1"/>
    <xf numFmtId="173" fontId="28" fillId="24" borderId="11" xfId="43" applyNumberFormat="1" applyFont="1" applyFill="1" applyBorder="1" applyAlignment="1">
      <alignment vertical="center"/>
    </xf>
    <xf numFmtId="0" fontId="27" fillId="0" borderId="0" xfId="0" applyFont="1"/>
    <xf numFmtId="173" fontId="27" fillId="0" borderId="0" xfId="0" applyNumberFormat="1" applyFont="1"/>
    <xf numFmtId="0" fontId="28" fillId="0" borderId="0" xfId="43" applyFont="1" applyFill="1"/>
    <xf numFmtId="164" fontId="3" fillId="0" borderId="0" xfId="44" applyNumberFormat="1" applyFont="1" applyFill="1" applyBorder="1" applyAlignment="1">
      <alignment vertical="center"/>
    </xf>
    <xf numFmtId="0" fontId="27" fillId="0" borderId="0" xfId="43" applyFont="1"/>
    <xf numFmtId="0" fontId="26" fillId="0" borderId="0" xfId="41">
      <alignment vertical="center"/>
    </xf>
    <xf numFmtId="0" fontId="26" fillId="0" borderId="0" xfId="41">
      <alignment vertical="center"/>
    </xf>
    <xf numFmtId="0" fontId="26" fillId="0" borderId="0" xfId="41">
      <alignment vertical="center"/>
    </xf>
    <xf numFmtId="0" fontId="26" fillId="0" borderId="0" xfId="41">
      <alignment vertical="center"/>
    </xf>
    <xf numFmtId="0" fontId="26" fillId="0" borderId="0" xfId="41" applyNumberFormat="1" applyFont="1">
      <alignment vertical="center"/>
    </xf>
    <xf numFmtId="0" fontId="26" fillId="0" borderId="0" xfId="41" applyNumberFormat="1" applyFont="1">
      <alignment vertical="center"/>
    </xf>
    <xf numFmtId="0" fontId="26" fillId="0" borderId="0" xfId="41" applyNumberFormat="1" applyFont="1">
      <alignment vertical="center"/>
    </xf>
    <xf numFmtId="0" fontId="26" fillId="0" borderId="0" xfId="41" applyNumberFormat="1" applyFont="1">
      <alignment vertical="center"/>
    </xf>
    <xf numFmtId="0" fontId="26" fillId="0" borderId="0" xfId="41" applyNumberFormat="1" applyFont="1">
      <alignment vertical="center"/>
    </xf>
    <xf numFmtId="0" fontId="26" fillId="0" borderId="0" xfId="41" applyNumberFormat="1" applyFont="1">
      <alignment vertical="center"/>
    </xf>
    <xf numFmtId="0" fontId="26" fillId="0" borderId="0" xfId="41" applyNumberFormat="1" applyFont="1">
      <alignment vertical="center"/>
    </xf>
    <xf numFmtId="38" fontId="29" fillId="0" borderId="0" xfId="46" applyNumberFormat="1" applyFont="1" applyBorder="1" applyAlignment="1">
      <alignment horizontal="right"/>
    </xf>
    <xf numFmtId="38" fontId="29" fillId="0" borderId="0" xfId="46" applyNumberFormat="1" applyFont="1" applyBorder="1"/>
    <xf numFmtId="166" fontId="28" fillId="0" borderId="0" xfId="42" applyNumberFormat="1" applyFont="1">
      <alignment vertical="center"/>
    </xf>
    <xf numFmtId="166" fontId="28" fillId="0" borderId="0" xfId="42" applyNumberFormat="1" applyFont="1">
      <alignment vertical="center"/>
    </xf>
    <xf numFmtId="166" fontId="28" fillId="0" borderId="0" xfId="42" applyNumberFormat="1" applyFont="1">
      <alignment vertical="center"/>
    </xf>
    <xf numFmtId="0" fontId="31" fillId="0" borderId="0" xfId="0" applyFont="1" applyFill="1" applyAlignment="1">
      <alignment vertical="center"/>
    </xf>
    <xf numFmtId="167" fontId="27" fillId="0" borderId="0" xfId="0" applyNumberFormat="1" applyFont="1"/>
    <xf numFmtId="166" fontId="28" fillId="0" borderId="11" xfId="43" applyNumberFormat="1" applyFont="1" applyFill="1" applyBorder="1" applyAlignment="1">
      <alignment vertical="center"/>
    </xf>
    <xf numFmtId="166" fontId="28" fillId="0" borderId="11" xfId="43" applyNumberFormat="1" applyFont="1" applyBorder="1"/>
    <xf numFmtId="170" fontId="3" fillId="0" borderId="0" xfId="0" applyNumberFormat="1" applyFont="1" applyBorder="1"/>
    <xf numFmtId="167" fontId="28" fillId="0" borderId="0" xfId="43" applyNumberFormat="1" applyFont="1" applyFill="1"/>
    <xf numFmtId="0" fontId="26" fillId="25" borderId="0" xfId="47" applyFill="1" applyBorder="1">
      <alignment vertical="center"/>
    </xf>
    <xf numFmtId="164" fontId="32" fillId="0" borderId="10" xfId="0" applyNumberFormat="1" applyFont="1" applyFill="1" applyBorder="1"/>
    <xf numFmtId="164" fontId="26" fillId="0" borderId="10" xfId="0" applyNumberFormat="1" applyFont="1" applyBorder="1"/>
    <xf numFmtId="0" fontId="28" fillId="0" borderId="13" xfId="0" applyFont="1" applyBorder="1"/>
    <xf numFmtId="0" fontId="28" fillId="0" borderId="14" xfId="0" applyFont="1" applyBorder="1"/>
    <xf numFmtId="0" fontId="28" fillId="0" borderId="15" xfId="0" applyFont="1" applyBorder="1"/>
    <xf numFmtId="0" fontId="28" fillId="0" borderId="0" xfId="0" applyFont="1" applyBorder="1"/>
    <xf numFmtId="0" fontId="26" fillId="0" borderId="13" xfId="47" applyBorder="1">
      <alignment vertical="center"/>
    </xf>
    <xf numFmtId="0" fontId="26" fillId="0" borderId="14" xfId="47" applyBorder="1">
      <alignment vertical="center"/>
    </xf>
    <xf numFmtId="0" fontId="26" fillId="0" borderId="15" xfId="47" applyBorder="1">
      <alignment vertical="center"/>
    </xf>
    <xf numFmtId="0" fontId="26" fillId="0" borderId="15" xfId="47" applyNumberFormat="1" applyBorder="1">
      <alignment vertical="center"/>
    </xf>
    <xf numFmtId="0" fontId="26" fillId="26" borderId="0" xfId="47" applyFill="1" applyBorder="1">
      <alignment vertical="center"/>
    </xf>
    <xf numFmtId="0" fontId="26" fillId="25" borderId="15" xfId="47" applyFill="1" applyBorder="1">
      <alignment vertical="center"/>
    </xf>
    <xf numFmtId="0" fontId="27" fillId="0" borderId="0" xfId="43" applyFont="1" applyFill="1"/>
    <xf numFmtId="3" fontId="26" fillId="0" borderId="0" xfId="47" applyNumberFormat="1" applyBorder="1">
      <alignment vertical="center"/>
    </xf>
    <xf numFmtId="0" fontId="28" fillId="0" borderId="0" xfId="47" applyFont="1" applyBorder="1">
      <alignment vertical="center"/>
    </xf>
    <xf numFmtId="3" fontId="28" fillId="0" borderId="0" xfId="47" applyNumberFormat="1" applyFont="1" applyBorder="1">
      <alignment vertical="center"/>
    </xf>
    <xf numFmtId="172" fontId="27" fillId="0" borderId="0" xfId="43" applyNumberFormat="1" applyFont="1" applyAlignment="1">
      <alignment vertical="center"/>
    </xf>
    <xf numFmtId="0" fontId="26" fillId="0" borderId="0" xfId="47" applyFill="1" applyBorder="1">
      <alignment vertical="center"/>
    </xf>
    <xf numFmtId="165" fontId="29" fillId="0" borderId="12" xfId="0" applyNumberFormat="1" applyFont="1" applyBorder="1"/>
    <xf numFmtId="165" fontId="29" fillId="0" borderId="16" xfId="0" applyNumberFormat="1" applyFont="1" applyBorder="1"/>
    <xf numFmtId="165" fontId="3" fillId="0" borderId="16" xfId="0" applyNumberFormat="1" applyFont="1" applyBorder="1"/>
    <xf numFmtId="170" fontId="29" fillId="0" borderId="0" xfId="0" applyNumberFormat="1" applyFont="1"/>
    <xf numFmtId="170" fontId="32" fillId="0" borderId="0" xfId="0" applyNumberFormat="1" applyFont="1"/>
    <xf numFmtId="165" fontId="32" fillId="0" borderId="0" xfId="0" applyNumberFormat="1" applyFont="1"/>
    <xf numFmtId="165" fontId="32" fillId="0" borderId="10" xfId="0" applyNumberFormat="1" applyFont="1" applyBorder="1"/>
    <xf numFmtId="166" fontId="32" fillId="0" borderId="0" xfId="0" applyNumberFormat="1" applyFont="1"/>
    <xf numFmtId="166" fontId="26" fillId="0" borderId="0" xfId="42" applyNumberFormat="1" applyFont="1">
      <alignment vertical="center"/>
    </xf>
    <xf numFmtId="166" fontId="29" fillId="0" borderId="0" xfId="0" applyNumberFormat="1" applyFont="1"/>
    <xf numFmtId="164" fontId="32" fillId="0" borderId="10" xfId="0" applyNumberFormat="1" applyFont="1" applyFill="1" applyBorder="1" applyAlignment="1">
      <alignment vertical="center"/>
    </xf>
    <xf numFmtId="164" fontId="32" fillId="0" borderId="10" xfId="52" applyNumberFormat="1" applyFont="1" applyFill="1" applyBorder="1" applyAlignment="1">
      <alignment vertical="center"/>
    </xf>
    <xf numFmtId="164" fontId="32" fillId="0" borderId="10" xfId="44" applyNumberFormat="1" applyFont="1" applyFill="1" applyBorder="1" applyAlignment="1">
      <alignment vertical="center"/>
    </xf>
    <xf numFmtId="164" fontId="32" fillId="0" borderId="0" xfId="0" applyNumberFormat="1" applyFont="1"/>
    <xf numFmtId="170" fontId="27" fillId="0" borderId="0" xfId="0" applyNumberFormat="1" applyFont="1"/>
    <xf numFmtId="165" fontId="32" fillId="0" borderId="0" xfId="0" applyNumberFormat="1" applyFont="1" applyFill="1"/>
    <xf numFmtId="164" fontId="27" fillId="0" borderId="10" xfId="0" applyNumberFormat="1" applyFont="1" applyFill="1" applyBorder="1"/>
    <xf numFmtId="166" fontId="27" fillId="0" borderId="0" xfId="0" applyNumberFormat="1" applyFont="1"/>
    <xf numFmtId="0" fontId="27" fillId="0" borderId="0" xfId="47" applyFont="1" applyBorder="1">
      <alignment vertical="center"/>
    </xf>
    <xf numFmtId="166" fontId="29" fillId="0" borderId="10" xfId="0" applyNumberFormat="1" applyFont="1" applyBorder="1"/>
    <xf numFmtId="170" fontId="29" fillId="24" borderId="0" xfId="0" applyNumberFormat="1" applyFont="1" applyFill="1"/>
    <xf numFmtId="170" fontId="29" fillId="0" borderId="0" xfId="0" applyNumberFormat="1" applyFont="1" applyBorder="1"/>
    <xf numFmtId="165" fontId="27" fillId="0" borderId="10" xfId="0" applyNumberFormat="1" applyFont="1" applyBorder="1"/>
    <xf numFmtId="173" fontId="27" fillId="0" borderId="0" xfId="47" applyNumberFormat="1" applyFont="1" applyBorder="1">
      <alignment vertical="center"/>
    </xf>
    <xf numFmtId="3" fontId="27" fillId="0" borderId="0" xfId="47" applyNumberFormat="1" applyFont="1" applyBorder="1">
      <alignment vertical="center"/>
    </xf>
    <xf numFmtId="165" fontId="3" fillId="0" borderId="12" xfId="0" applyNumberFormat="1" applyFont="1" applyBorder="1"/>
    <xf numFmtId="1" fontId="3" fillId="0" borderId="12" xfId="0" applyNumberFormat="1" applyFont="1" applyBorder="1"/>
    <xf numFmtId="164" fontId="27" fillId="0" borderId="0" xfId="0" applyNumberFormat="1" applyFont="1" applyFill="1"/>
    <xf numFmtId="165" fontId="27" fillId="0" borderId="0" xfId="0" applyNumberFormat="1" applyFont="1" applyFill="1"/>
    <xf numFmtId="165" fontId="26" fillId="0" borderId="0" xfId="0" applyNumberFormat="1" applyFont="1"/>
    <xf numFmtId="164" fontId="26" fillId="0" borderId="0" xfId="0" applyNumberFormat="1" applyFont="1"/>
    <xf numFmtId="164" fontId="29" fillId="0" borderId="10" xfId="52" applyNumberFormat="1" applyFont="1" applyFill="1" applyBorder="1" applyAlignment="1">
      <alignment vertical="center"/>
    </xf>
    <xf numFmtId="166" fontId="27" fillId="0" borderId="10" xfId="0" applyNumberFormat="1" applyFont="1" applyBorder="1"/>
    <xf numFmtId="167" fontId="29" fillId="0" borderId="10" xfId="0" applyNumberFormat="1" applyFont="1" applyBorder="1"/>
    <xf numFmtId="0" fontId="35" fillId="0" borderId="0" xfId="0" applyFont="1"/>
    <xf numFmtId="0" fontId="35" fillId="0" borderId="0" xfId="43" applyFont="1"/>
    <xf numFmtId="0" fontId="28" fillId="27" borderId="0" xfId="43" applyFont="1" applyFill="1" applyAlignment="1">
      <alignment vertical="center"/>
    </xf>
    <xf numFmtId="164" fontId="29" fillId="0" borderId="0" xfId="0" applyNumberFormat="1" applyFont="1" applyFill="1"/>
    <xf numFmtId="173" fontId="35" fillId="0" borderId="0" xfId="43" applyNumberFormat="1" applyFont="1" applyAlignment="1">
      <alignment vertical="center"/>
    </xf>
    <xf numFmtId="166" fontId="35" fillId="0" borderId="0" xfId="43" applyNumberFormat="1" applyFont="1" applyAlignment="1">
      <alignment vertical="center"/>
    </xf>
    <xf numFmtId="172" fontId="35" fillId="0" borderId="0" xfId="43" applyNumberFormat="1" applyFont="1" applyAlignment="1">
      <alignment vertical="center"/>
    </xf>
    <xf numFmtId="0" fontId="35" fillId="0" borderId="0" xfId="43" applyFont="1" applyAlignment="1"/>
    <xf numFmtId="166" fontId="35" fillId="0" borderId="0" xfId="43" applyNumberFormat="1" applyFont="1" applyAlignment="1"/>
    <xf numFmtId="166" fontId="35" fillId="0" borderId="0" xfId="43" applyNumberFormat="1" applyFont="1"/>
    <xf numFmtId="167" fontId="35" fillId="0" borderId="0" xfId="43" applyNumberFormat="1" applyFont="1"/>
    <xf numFmtId="173" fontId="35" fillId="24" borderId="11" xfId="43" applyNumberFormat="1" applyFont="1" applyFill="1" applyBorder="1" applyAlignment="1">
      <alignment vertical="center"/>
    </xf>
    <xf numFmtId="173" fontId="35" fillId="0" borderId="11" xfId="43" applyNumberFormat="1" applyFont="1" applyBorder="1" applyAlignment="1">
      <alignment vertical="center"/>
    </xf>
    <xf numFmtId="172" fontId="35" fillId="0" borderId="11" xfId="43" applyNumberFormat="1" applyFont="1" applyBorder="1" applyAlignment="1">
      <alignment vertical="center"/>
    </xf>
    <xf numFmtId="0" fontId="35" fillId="0" borderId="11" xfId="43" applyFont="1" applyBorder="1" applyAlignment="1"/>
    <xf numFmtId="166" fontId="35" fillId="0" borderId="11" xfId="43" applyNumberFormat="1" applyFont="1" applyBorder="1" applyAlignment="1"/>
    <xf numFmtId="167" fontId="35" fillId="0" borderId="11" xfId="43" applyNumberFormat="1" applyFont="1" applyBorder="1"/>
    <xf numFmtId="0" fontId="35" fillId="0" borderId="11" xfId="43" applyFont="1" applyBorder="1"/>
    <xf numFmtId="172" fontId="35" fillId="0" borderId="0" xfId="43" applyNumberFormat="1" applyFont="1" applyAlignment="1"/>
    <xf numFmtId="0" fontId="35" fillId="0" borderId="11" xfId="43" applyFont="1" applyBorder="1" applyAlignment="1">
      <alignment vertical="center"/>
    </xf>
    <xf numFmtId="166" fontId="35" fillId="0" borderId="11" xfId="43" applyNumberFormat="1" applyFont="1" applyFill="1" applyBorder="1" applyAlignment="1">
      <alignment vertical="center"/>
    </xf>
    <xf numFmtId="166" fontId="35" fillId="0" borderId="11" xfId="43" applyNumberFormat="1" applyFont="1" applyBorder="1"/>
    <xf numFmtId="0" fontId="35" fillId="0" borderId="0" xfId="43" applyFont="1" applyFill="1"/>
    <xf numFmtId="172" fontId="35" fillId="24" borderId="11" xfId="43" applyNumberFormat="1" applyFont="1" applyFill="1" applyBorder="1" applyAlignment="1">
      <alignment vertical="center"/>
    </xf>
    <xf numFmtId="0" fontId="35" fillId="0" borderId="0" xfId="43" applyFont="1" applyAlignment="1">
      <alignment vertical="center"/>
    </xf>
    <xf numFmtId="173" fontId="35" fillId="28" borderId="0" xfId="43" applyNumberFormat="1" applyFont="1" applyFill="1" applyAlignment="1">
      <alignment vertical="center"/>
    </xf>
    <xf numFmtId="172" fontId="35" fillId="28" borderId="0" xfId="43" applyNumberFormat="1" applyFont="1" applyFill="1" applyAlignment="1"/>
    <xf numFmtId="172" fontId="35" fillId="28" borderId="0" xfId="43" applyNumberFormat="1" applyFont="1" applyFill="1" applyAlignment="1">
      <alignment vertical="center"/>
    </xf>
    <xf numFmtId="166" fontId="35" fillId="28" borderId="0" xfId="43" applyNumberFormat="1" applyFont="1" applyFill="1" applyAlignment="1"/>
    <xf numFmtId="166" fontId="35" fillId="28" borderId="0" xfId="43" applyNumberFormat="1" applyFont="1" applyFill="1"/>
    <xf numFmtId="167" fontId="35" fillId="28" borderId="0" xfId="43" applyNumberFormat="1" applyFont="1" applyFill="1"/>
    <xf numFmtId="167" fontId="35" fillId="0" borderId="0" xfId="43" applyNumberFormat="1" applyFont="1" applyFill="1"/>
    <xf numFmtId="170" fontId="6" fillId="0" borderId="16" xfId="0" applyNumberFormat="1" applyFont="1" applyFill="1" applyBorder="1"/>
    <xf numFmtId="170" fontId="36" fillId="0" borderId="0" xfId="0" applyNumberFormat="1" applyFont="1" applyFill="1"/>
    <xf numFmtId="170" fontId="6" fillId="29" borderId="14" xfId="0" applyNumberFormat="1" applyFont="1" applyFill="1" applyBorder="1"/>
    <xf numFmtId="170" fontId="6" fillId="29" borderId="13" xfId="0" applyNumberFormat="1" applyFont="1" applyFill="1" applyBorder="1"/>
    <xf numFmtId="170" fontId="6" fillId="29" borderId="17" xfId="0" applyNumberFormat="1" applyFont="1" applyFill="1" applyBorder="1"/>
    <xf numFmtId="170" fontId="6" fillId="0" borderId="13" xfId="0" applyNumberFormat="1" applyFont="1" applyFill="1" applyBorder="1"/>
    <xf numFmtId="170" fontId="6" fillId="0" borderId="14" xfId="0" applyNumberFormat="1" applyFont="1" applyFill="1" applyBorder="1"/>
    <xf numFmtId="170" fontId="6" fillId="0" borderId="17" xfId="0" applyNumberFormat="1" applyFont="1" applyFill="1" applyBorder="1"/>
    <xf numFmtId="170" fontId="6" fillId="0" borderId="13" xfId="0" applyNumberFormat="1" applyFont="1" applyFill="1" applyBorder="1" applyAlignment="1">
      <alignment horizontal="centerContinuous"/>
    </xf>
    <xf numFmtId="170" fontId="6" fillId="0" borderId="13" xfId="0" applyNumberFormat="1" applyFont="1" applyFill="1" applyBorder="1" applyAlignment="1">
      <alignment horizontal="centerContinuous" vertical="center"/>
    </xf>
    <xf numFmtId="170" fontId="6" fillId="0" borderId="13" xfId="0" applyNumberFormat="1" applyFont="1" applyFill="1" applyBorder="1" applyAlignment="1">
      <alignment horizontal="distributed" vertical="center"/>
    </xf>
    <xf numFmtId="170" fontId="6" fillId="0" borderId="0" xfId="0" applyNumberFormat="1" applyFont="1" applyFill="1"/>
    <xf numFmtId="49" fontId="6" fillId="0" borderId="0" xfId="0" applyNumberFormat="1" applyFont="1" applyFill="1"/>
    <xf numFmtId="170" fontId="6" fillId="29" borderId="15" xfId="0" applyNumberFormat="1" applyFont="1" applyFill="1" applyBorder="1"/>
    <xf numFmtId="170" fontId="6" fillId="29" borderId="0" xfId="0" applyNumberFormat="1" applyFont="1" applyFill="1" applyBorder="1"/>
    <xf numFmtId="170" fontId="6" fillId="29" borderId="19" xfId="0" applyNumberFormat="1" applyFont="1" applyFill="1" applyBorder="1"/>
    <xf numFmtId="170" fontId="6" fillId="0" borderId="0" xfId="0" applyNumberFormat="1" applyFont="1" applyFill="1" applyBorder="1"/>
    <xf numFmtId="170" fontId="6" fillId="0" borderId="19" xfId="0" applyNumberFormat="1" applyFont="1" applyFill="1" applyBorder="1"/>
    <xf numFmtId="170" fontId="36" fillId="0" borderId="19" xfId="0" applyNumberFormat="1" applyFont="1" applyFill="1" applyBorder="1"/>
    <xf numFmtId="170" fontId="6" fillId="0" borderId="0" xfId="0" applyNumberFormat="1" applyFont="1" applyFill="1" applyBorder="1" applyAlignment="1">
      <alignment horizontal="distributed" vertical="center"/>
    </xf>
    <xf numFmtId="170" fontId="6" fillId="0" borderId="15" xfId="0" applyNumberFormat="1" applyFont="1" applyFill="1" applyBorder="1" applyAlignment="1">
      <alignment vertical="center"/>
    </xf>
    <xf numFmtId="170" fontId="6" fillId="0" borderId="19" xfId="0" applyNumberFormat="1" applyFont="1" applyFill="1" applyBorder="1" applyAlignment="1">
      <alignment vertical="center"/>
    </xf>
    <xf numFmtId="170" fontId="6" fillId="29" borderId="21" xfId="0" applyNumberFormat="1" applyFont="1" applyFill="1" applyBorder="1"/>
    <xf numFmtId="170" fontId="6" fillId="0" borderId="14" xfId="0" applyNumberFormat="1" applyFont="1" applyFill="1" applyBorder="1" applyAlignment="1">
      <alignment vertical="center"/>
    </xf>
    <xf numFmtId="170" fontId="6" fillId="0" borderId="17" xfId="0" applyNumberFormat="1" applyFont="1" applyFill="1" applyBorder="1" applyAlignment="1">
      <alignment vertical="center"/>
    </xf>
    <xf numFmtId="170" fontId="6" fillId="0" borderId="21" xfId="0" applyNumberFormat="1" applyFont="1" applyFill="1" applyBorder="1"/>
    <xf numFmtId="172" fontId="6" fillId="29" borderId="17" xfId="0" applyNumberFormat="1" applyFont="1" applyFill="1" applyBorder="1"/>
    <xf numFmtId="172" fontId="6" fillId="0" borderId="17" xfId="0" applyNumberFormat="1" applyFont="1" applyFill="1" applyBorder="1"/>
    <xf numFmtId="170" fontId="6" fillId="29" borderId="19" xfId="0" applyNumberFormat="1" applyFont="1" applyFill="1" applyBorder="1" applyAlignment="1">
      <alignment horizontal="right" vertical="center"/>
    </xf>
    <xf numFmtId="172" fontId="6" fillId="29" borderId="21" xfId="0" applyNumberFormat="1" applyFont="1" applyFill="1" applyBorder="1"/>
    <xf numFmtId="172" fontId="6" fillId="0" borderId="21" xfId="0" applyNumberFormat="1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vertical="center"/>
    </xf>
    <xf numFmtId="172" fontId="6" fillId="0" borderId="21" xfId="0" applyNumberFormat="1" applyFont="1" applyFill="1" applyBorder="1"/>
    <xf numFmtId="170" fontId="6" fillId="29" borderId="18" xfId="0" applyNumberFormat="1" applyFont="1" applyFill="1" applyBorder="1"/>
    <xf numFmtId="170" fontId="6" fillId="0" borderId="17" xfId="0" applyNumberFormat="1" applyFont="1" applyFill="1" applyBorder="1" applyProtection="1">
      <protection locked="0"/>
    </xf>
    <xf numFmtId="170" fontId="6" fillId="29" borderId="18" xfId="0" applyNumberFormat="1" applyFont="1" applyFill="1" applyBorder="1" applyAlignment="1">
      <alignment horizontal="center"/>
    </xf>
    <xf numFmtId="170" fontId="6" fillId="29" borderId="17" xfId="0" applyNumberFormat="1" applyFont="1" applyFill="1" applyBorder="1" applyAlignment="1">
      <alignment horizontal="center" vertical="center"/>
    </xf>
    <xf numFmtId="170" fontId="6" fillId="0" borderId="0" xfId="0" applyNumberFormat="1" applyFont="1" applyFill="1" applyBorder="1" applyAlignment="1">
      <alignment horizontal="center"/>
    </xf>
    <xf numFmtId="170" fontId="6" fillId="0" borderId="22" xfId="0" applyNumberFormat="1" applyFont="1" applyFill="1" applyBorder="1" applyAlignment="1">
      <alignment horizontal="center"/>
    </xf>
    <xf numFmtId="170" fontId="6" fillId="0" borderId="19" xfId="0" applyNumberFormat="1" applyFont="1" applyFill="1" applyBorder="1" applyAlignment="1">
      <alignment horizontal="center"/>
    </xf>
    <xf numFmtId="170" fontId="6" fillId="0" borderId="17" xfId="0" applyNumberFormat="1" applyFont="1" applyFill="1" applyBorder="1" applyAlignment="1">
      <alignment horizontal="center"/>
    </xf>
    <xf numFmtId="170" fontId="6" fillId="0" borderId="17" xfId="0" applyNumberFormat="1" applyFont="1" applyFill="1" applyBorder="1" applyAlignment="1">
      <alignment horizontal="center" vertical="center"/>
    </xf>
    <xf numFmtId="170" fontId="6" fillId="29" borderId="23" xfId="0" applyNumberFormat="1" applyFont="1" applyFill="1" applyBorder="1" applyAlignment="1">
      <alignment horizontal="centerContinuous"/>
    </xf>
    <xf numFmtId="170" fontId="6" fillId="29" borderId="11" xfId="0" applyNumberFormat="1" applyFont="1" applyFill="1" applyBorder="1" applyAlignment="1">
      <alignment horizontal="centerContinuous" vertical="center"/>
    </xf>
    <xf numFmtId="170" fontId="6" fillId="29" borderId="24" xfId="0" applyNumberFormat="1" applyFont="1" applyFill="1" applyBorder="1" applyAlignment="1">
      <alignment horizontal="centerContinuous" vertical="center"/>
    </xf>
    <xf numFmtId="170" fontId="6" fillId="0" borderId="11" xfId="0" applyNumberFormat="1" applyFont="1" applyFill="1" applyBorder="1" applyAlignment="1">
      <alignment horizontal="centerContinuous" vertical="center"/>
    </xf>
    <xf numFmtId="170" fontId="6" fillId="0" borderId="24" xfId="0" applyNumberFormat="1" applyFont="1" applyFill="1" applyBorder="1" applyAlignment="1">
      <alignment horizontal="centerContinuous" vertical="center"/>
    </xf>
    <xf numFmtId="170" fontId="6" fillId="0" borderId="11" xfId="0" applyNumberFormat="1" applyFont="1" applyFill="1" applyBorder="1" applyAlignment="1"/>
    <xf numFmtId="170" fontId="36" fillId="0" borderId="13" xfId="0" applyNumberFormat="1" applyFont="1" applyFill="1" applyBorder="1"/>
    <xf numFmtId="170" fontId="36" fillId="0" borderId="13" xfId="0" applyNumberFormat="1" applyFont="1" applyFill="1" applyBorder="1" applyAlignment="1"/>
    <xf numFmtId="170" fontId="6" fillId="0" borderId="15" xfId="0" applyNumberFormat="1" applyFont="1" applyFill="1" applyBorder="1"/>
    <xf numFmtId="170" fontId="6" fillId="0" borderId="18" xfId="0" applyNumberFormat="1" applyFont="1" applyFill="1" applyBorder="1"/>
    <xf numFmtId="170" fontId="6" fillId="0" borderId="18" xfId="0" applyNumberFormat="1" applyFont="1" applyFill="1" applyBorder="1" applyAlignment="1">
      <alignment horizontal="center"/>
    </xf>
    <xf numFmtId="170" fontId="6" fillId="0" borderId="23" xfId="0" applyNumberFormat="1" applyFont="1" applyFill="1" applyBorder="1" applyAlignment="1">
      <alignment horizontal="centerContinuous" vertical="center"/>
    </xf>
    <xf numFmtId="170" fontId="37" fillId="0" borderId="0" xfId="0" applyNumberFormat="1" applyFont="1" applyFill="1" applyAlignment="1">
      <alignment horizontal="right"/>
    </xf>
    <xf numFmtId="170" fontId="36" fillId="0" borderId="0" xfId="0" applyNumberFormat="1" applyFont="1" applyFill="1" applyAlignment="1"/>
    <xf numFmtId="0" fontId="29" fillId="0" borderId="0" xfId="0" applyFont="1" applyFill="1"/>
    <xf numFmtId="170" fontId="0" fillId="0" borderId="0" xfId="0" applyNumberFormat="1"/>
    <xf numFmtId="170" fontId="6" fillId="0" borderId="19" xfId="0" applyNumberFormat="1" applyFont="1" applyFill="1" applyBorder="1" applyAlignment="1">
      <alignment horizontal="right"/>
    </xf>
    <xf numFmtId="170" fontId="6" fillId="0" borderId="23" xfId="0" applyNumberFormat="1" applyFont="1" applyFill="1" applyBorder="1" applyAlignment="1"/>
    <xf numFmtId="170" fontId="6" fillId="0" borderId="24" xfId="0" applyNumberFormat="1" applyFont="1" applyFill="1" applyBorder="1" applyAlignment="1"/>
    <xf numFmtId="170" fontId="6" fillId="0" borderId="13" xfId="0" applyNumberFormat="1" applyFont="1" applyFill="1" applyBorder="1" applyAlignment="1">
      <alignment horizontal="right"/>
    </xf>
    <xf numFmtId="170" fontId="6" fillId="0" borderId="0" xfId="0" applyNumberFormat="1" applyFont="1" applyFill="1" applyAlignment="1"/>
    <xf numFmtId="0" fontId="0" fillId="0" borderId="0" xfId="0" applyFont="1" applyFill="1"/>
    <xf numFmtId="170" fontId="38" fillId="0" borderId="0" xfId="0" applyNumberFormat="1" applyFont="1" applyFill="1"/>
    <xf numFmtId="170" fontId="38" fillId="0" borderId="0" xfId="0" applyNumberFormat="1" applyFont="1" applyFill="1" applyAlignment="1">
      <alignment horizontal="right" vertical="center"/>
    </xf>
    <xf numFmtId="170" fontId="38" fillId="0" borderId="0" xfId="0" quotePrefix="1" applyNumberFormat="1" applyFont="1" applyFill="1" applyAlignment="1">
      <alignment horizontal="left" vertical="center"/>
    </xf>
    <xf numFmtId="170" fontId="6" fillId="0" borderId="0" xfId="0" applyNumberFormat="1" applyFont="1" applyFill="1" applyAlignment="1">
      <alignment horizontal="centerContinuous"/>
    </xf>
    <xf numFmtId="170" fontId="39" fillId="0" borderId="0" xfId="0" applyNumberFormat="1" applyFont="1" applyFill="1" applyBorder="1" applyAlignment="1">
      <alignment horizontal="centerContinuous" vertical="center"/>
    </xf>
    <xf numFmtId="170" fontId="36" fillId="0" borderId="16" xfId="0" applyNumberFormat="1" applyFont="1" applyFill="1" applyBorder="1"/>
    <xf numFmtId="170" fontId="36" fillId="0" borderId="0" xfId="0" applyNumberFormat="1" applyFont="1" applyFill="1" applyBorder="1"/>
    <xf numFmtId="170" fontId="36" fillId="0" borderId="16" xfId="0" applyNumberFormat="1" applyFont="1" applyFill="1" applyBorder="1" applyAlignment="1"/>
    <xf numFmtId="170" fontId="36" fillId="0" borderId="25" xfId="0" applyNumberFormat="1" applyFont="1" applyFill="1" applyBorder="1" applyAlignment="1"/>
    <xf numFmtId="170" fontId="36" fillId="0" borderId="0" xfId="0" applyNumberFormat="1" applyFont="1" applyFill="1" applyBorder="1" applyAlignment="1">
      <alignment horizontal="center"/>
    </xf>
    <xf numFmtId="170" fontId="6" fillId="0" borderId="14" xfId="0" applyNumberFormat="1" applyFont="1" applyFill="1" applyBorder="1" applyAlignment="1"/>
    <xf numFmtId="170" fontId="6" fillId="0" borderId="13" xfId="0" applyNumberFormat="1" applyFont="1" applyFill="1" applyBorder="1" applyAlignment="1"/>
    <xf numFmtId="172" fontId="6" fillId="0" borderId="26" xfId="0" applyNumberFormat="1" applyFont="1" applyFill="1" applyBorder="1"/>
    <xf numFmtId="170" fontId="6" fillId="0" borderId="14" xfId="0" applyNumberFormat="1" applyFont="1" applyFill="1" applyBorder="1" applyAlignment="1">
      <alignment horizontal="center"/>
    </xf>
    <xf numFmtId="170" fontId="6" fillId="0" borderId="13" xfId="0" applyNumberFormat="1" applyFont="1" applyFill="1" applyBorder="1" applyAlignment="1">
      <alignment horizontal="center"/>
    </xf>
    <xf numFmtId="170" fontId="6" fillId="0" borderId="19" xfId="0" applyNumberFormat="1" applyFont="1" applyFill="1" applyBorder="1" applyAlignment="1">
      <alignment horizontal="center" vertical="center"/>
    </xf>
    <xf numFmtId="172" fontId="6" fillId="0" borderId="27" xfId="0" applyNumberFormat="1" applyFont="1" applyFill="1" applyBorder="1"/>
    <xf numFmtId="170" fontId="36" fillId="0" borderId="0" xfId="0" applyNumberFormat="1" applyFont="1" applyFill="1" applyBorder="1" applyAlignment="1">
      <alignment horizontal="center" vertical="center"/>
    </xf>
    <xf numFmtId="170" fontId="6" fillId="0" borderId="10" xfId="0" applyNumberFormat="1" applyFont="1" applyFill="1" applyBorder="1" applyAlignment="1">
      <alignment horizontal="center" vertical="center"/>
    </xf>
    <xf numFmtId="170" fontId="36" fillId="0" borderId="0" xfId="0" applyNumberFormat="1" applyFont="1" applyFill="1" applyBorder="1" applyAlignment="1">
      <alignment horizontal="centerContinuous"/>
    </xf>
    <xf numFmtId="170" fontId="6" fillId="0" borderId="23" xfId="0" applyNumberFormat="1" applyFont="1" applyFill="1" applyBorder="1" applyAlignment="1">
      <alignment horizontal="centerContinuous"/>
    </xf>
    <xf numFmtId="170" fontId="36" fillId="0" borderId="0" xfId="0" applyNumberFormat="1" applyFont="1" applyFill="1" applyBorder="1" applyAlignment="1">
      <alignment horizontal="centerContinuous" vertical="center"/>
    </xf>
    <xf numFmtId="170" fontId="36" fillId="0" borderId="0" xfId="0" applyNumberFormat="1" applyFont="1" applyFill="1" applyBorder="1" applyAlignment="1"/>
    <xf numFmtId="170" fontId="6" fillId="0" borderId="0" xfId="0" applyNumberFormat="1" applyFont="1" applyFill="1" applyBorder="1" applyAlignment="1">
      <alignment horizontal="right" vertical="center"/>
    </xf>
    <xf numFmtId="170" fontId="40" fillId="0" borderId="0" xfId="0" applyNumberFormat="1" applyFont="1" applyFill="1" applyAlignment="1">
      <alignment horizontal="right" vertical="center"/>
    </xf>
    <xf numFmtId="170" fontId="36" fillId="0" borderId="24" xfId="0" applyNumberFormat="1" applyFont="1" applyFill="1" applyBorder="1" applyAlignment="1"/>
    <xf numFmtId="170" fontId="36" fillId="0" borderId="11" xfId="0" applyNumberFormat="1" applyFont="1" applyFill="1" applyBorder="1" applyAlignment="1"/>
    <xf numFmtId="170" fontId="36" fillId="0" borderId="23" xfId="0" applyNumberFormat="1" applyFont="1" applyFill="1" applyBorder="1" applyAlignment="1"/>
    <xf numFmtId="170" fontId="36" fillId="0" borderId="17" xfId="0" applyNumberFormat="1" applyFont="1" applyFill="1" applyBorder="1" applyAlignment="1">
      <alignment horizontal="center"/>
    </xf>
    <xf numFmtId="170" fontId="36" fillId="0" borderId="18" xfId="0" applyNumberFormat="1" applyFont="1" applyFill="1" applyBorder="1" applyAlignment="1">
      <alignment horizontal="center"/>
    </xf>
    <xf numFmtId="170" fontId="36" fillId="0" borderId="17" xfId="0" applyNumberFormat="1" applyFont="1" applyFill="1" applyBorder="1"/>
    <xf numFmtId="170" fontId="36" fillId="0" borderId="18" xfId="0" applyNumberFormat="1" applyFont="1" applyFill="1" applyBorder="1"/>
    <xf numFmtId="170" fontId="6" fillId="0" borderId="19" xfId="0" applyNumberFormat="1" applyFont="1" applyFill="1" applyBorder="1" applyAlignment="1">
      <alignment horizontal="right" vertical="center"/>
    </xf>
    <xf numFmtId="172" fontId="36" fillId="0" borderId="21" xfId="0" applyNumberFormat="1" applyFont="1" applyFill="1" applyBorder="1"/>
    <xf numFmtId="170" fontId="36" fillId="0" borderId="19" xfId="0" applyNumberFormat="1" applyFont="1" applyFill="1" applyBorder="1" applyAlignment="1">
      <alignment horizontal="right"/>
    </xf>
    <xf numFmtId="170" fontId="36" fillId="0" borderId="15" xfId="0" applyNumberFormat="1" applyFont="1" applyFill="1" applyBorder="1"/>
    <xf numFmtId="170" fontId="6" fillId="0" borderId="26" xfId="0" applyNumberFormat="1" applyFont="1" applyFill="1" applyBorder="1" applyAlignment="1">
      <alignment horizontal="distributed" vertical="center"/>
    </xf>
    <xf numFmtId="172" fontId="36" fillId="0" borderId="17" xfId="0" applyNumberFormat="1" applyFont="1" applyFill="1" applyBorder="1"/>
    <xf numFmtId="170" fontId="36" fillId="0" borderId="14" xfId="0" applyNumberFormat="1" applyFont="1" applyFill="1" applyBorder="1"/>
    <xf numFmtId="170" fontId="36" fillId="0" borderId="21" xfId="0" applyNumberFormat="1" applyFont="1" applyFill="1" applyBorder="1"/>
    <xf numFmtId="170" fontId="36" fillId="0" borderId="13" xfId="0" applyNumberFormat="1" applyFont="1" applyFill="1" applyBorder="1" applyAlignment="1">
      <alignment horizontal="centerContinuous" vertical="center"/>
    </xf>
    <xf numFmtId="170" fontId="36" fillId="0" borderId="13" xfId="0" applyNumberFormat="1" applyFont="1" applyFill="1" applyBorder="1" applyAlignment="1">
      <alignment horizontal="centerContinuous"/>
    </xf>
    <xf numFmtId="170" fontId="41" fillId="0" borderId="24" xfId="0" applyNumberFormat="1" applyFont="1" applyFill="1" applyBorder="1" applyAlignment="1">
      <alignment horizontal="centerContinuous" vertical="center"/>
    </xf>
    <xf numFmtId="170" fontId="41" fillId="0" borderId="11" xfId="0" applyNumberFormat="1" applyFont="1" applyFill="1" applyBorder="1" applyAlignment="1">
      <alignment horizontal="centerContinuous" vertical="center"/>
    </xf>
    <xf numFmtId="170" fontId="41" fillId="0" borderId="23" xfId="0" applyNumberFormat="1" applyFont="1" applyFill="1" applyBorder="1" applyAlignment="1">
      <alignment horizontal="centerContinuous" vertical="center"/>
    </xf>
    <xf numFmtId="170" fontId="41" fillId="0" borderId="17" xfId="0" applyNumberFormat="1" applyFont="1" applyFill="1" applyBorder="1" applyAlignment="1">
      <alignment horizontal="center" vertical="center"/>
    </xf>
    <xf numFmtId="170" fontId="41" fillId="0" borderId="18" xfId="0" applyNumberFormat="1" applyFont="1" applyFill="1" applyBorder="1" applyAlignment="1">
      <alignment horizontal="center" vertical="center"/>
    </xf>
    <xf numFmtId="170" fontId="41" fillId="0" borderId="17" xfId="0" applyNumberFormat="1" applyFont="1" applyFill="1" applyBorder="1"/>
    <xf numFmtId="170" fontId="41" fillId="0" borderId="18" xfId="0" applyNumberFormat="1" applyFont="1" applyFill="1" applyBorder="1"/>
    <xf numFmtId="172" fontId="41" fillId="0" borderId="21" xfId="0" applyNumberFormat="1" applyFont="1" applyFill="1" applyBorder="1"/>
    <xf numFmtId="170" fontId="41" fillId="0" borderId="19" xfId="0" applyNumberFormat="1" applyFont="1" applyFill="1" applyBorder="1" applyAlignment="1">
      <alignment horizontal="center" vertical="center"/>
    </xf>
    <xf numFmtId="170" fontId="41" fillId="0" borderId="0" xfId="0" applyNumberFormat="1" applyFont="1" applyFill="1" applyBorder="1"/>
    <xf numFmtId="170" fontId="41" fillId="0" borderId="15" xfId="0" applyNumberFormat="1" applyFont="1" applyFill="1" applyBorder="1"/>
    <xf numFmtId="172" fontId="41" fillId="0" borderId="17" xfId="0" applyNumberFormat="1" applyFont="1" applyFill="1" applyBorder="1"/>
    <xf numFmtId="170" fontId="41" fillId="0" borderId="13" xfId="0" applyNumberFormat="1" applyFont="1" applyFill="1" applyBorder="1"/>
    <xf numFmtId="170" fontId="41" fillId="0" borderId="14" xfId="0" applyNumberFormat="1" applyFont="1" applyFill="1" applyBorder="1"/>
    <xf numFmtId="170" fontId="41" fillId="0" borderId="21" xfId="0" applyNumberFormat="1" applyFont="1" applyFill="1" applyBorder="1"/>
    <xf numFmtId="170" fontId="41" fillId="0" borderId="19" xfId="0" applyNumberFormat="1" applyFont="1" applyFill="1" applyBorder="1"/>
    <xf numFmtId="170" fontId="41" fillId="0" borderId="11" xfId="0" applyNumberFormat="1" applyFont="1" applyFill="1" applyBorder="1" applyAlignment="1"/>
    <xf numFmtId="170" fontId="41" fillId="0" borderId="13" xfId="0" applyNumberFormat="1" applyFont="1" applyFill="1" applyBorder="1" applyAlignment="1">
      <alignment horizontal="distributed" vertical="center"/>
    </xf>
    <xf numFmtId="170" fontId="41" fillId="0" borderId="19" xfId="0" applyNumberFormat="1" applyFont="1" applyFill="1" applyBorder="1" applyAlignment="1">
      <alignment horizontal="center"/>
    </xf>
    <xf numFmtId="170" fontId="41" fillId="0" borderId="22" xfId="0" applyNumberFormat="1" applyFont="1" applyFill="1" applyBorder="1" applyAlignment="1">
      <alignment horizontal="center"/>
    </xf>
    <xf numFmtId="170" fontId="41" fillId="0" borderId="0" xfId="0" applyNumberFormat="1" applyFont="1" applyFill="1" applyBorder="1" applyAlignment="1">
      <alignment horizontal="center"/>
    </xf>
    <xf numFmtId="170" fontId="41" fillId="0" borderId="24" xfId="0" applyNumberFormat="1" applyFont="1" applyFill="1" applyBorder="1" applyAlignment="1">
      <alignment horizontal="center" vertical="center"/>
    </xf>
    <xf numFmtId="170" fontId="41" fillId="0" borderId="10" xfId="0" applyNumberFormat="1" applyFont="1" applyFill="1" applyBorder="1" applyAlignment="1">
      <alignment horizontal="center" vertical="center"/>
    </xf>
    <xf numFmtId="170" fontId="41" fillId="0" borderId="17" xfId="0" applyNumberFormat="1" applyFont="1" applyFill="1" applyBorder="1" applyProtection="1">
      <protection locked="0"/>
    </xf>
    <xf numFmtId="49" fontId="36" fillId="0" borderId="0" xfId="0" applyNumberFormat="1" applyFont="1" applyFill="1"/>
    <xf numFmtId="170" fontId="41" fillId="0" borderId="0" xfId="0" applyNumberFormat="1" applyFont="1" applyFill="1" applyBorder="1" applyAlignment="1">
      <alignment horizontal="distributed" vertical="center"/>
    </xf>
    <xf numFmtId="170" fontId="41" fillId="0" borderId="19" xfId="0" applyNumberFormat="1" applyFont="1" applyFill="1" applyBorder="1" applyAlignment="1">
      <alignment horizontal="right" vertical="center"/>
    </xf>
    <xf numFmtId="170" fontId="41" fillId="0" borderId="26" xfId="0" applyNumberFormat="1" applyFont="1" applyFill="1" applyBorder="1" applyAlignment="1">
      <alignment horizontal="distributed" vertical="center"/>
    </xf>
    <xf numFmtId="170" fontId="41" fillId="0" borderId="14" xfId="0" applyNumberFormat="1" applyFont="1" applyFill="1" applyBorder="1" applyAlignment="1"/>
    <xf numFmtId="170" fontId="41" fillId="0" borderId="13" xfId="0" applyNumberFormat="1" applyFont="1" applyFill="1" applyBorder="1" applyAlignment="1">
      <alignment horizontal="centerContinuous"/>
    </xf>
    <xf numFmtId="175" fontId="42" fillId="0" borderId="0" xfId="386" applyNumberFormat="1" applyFont="1" applyFill="1" applyBorder="1" applyAlignment="1">
      <alignment horizontal="centerContinuous" vertical="center"/>
    </xf>
    <xf numFmtId="175" fontId="6" fillId="0" borderId="0" xfId="386" applyNumberFormat="1" applyFont="1" applyFill="1" applyAlignment="1">
      <alignment horizontal="centerContinuous"/>
    </xf>
    <xf numFmtId="175" fontId="36" fillId="0" borderId="0" xfId="386" applyNumberFormat="1" applyFont="1" applyFill="1" applyAlignment="1">
      <alignment horizontal="centerContinuous"/>
    </xf>
    <xf numFmtId="175" fontId="43" fillId="0" borderId="0" xfId="386" applyNumberFormat="1" applyFont="1" applyFill="1" applyAlignment="1">
      <alignment horizontal="centerContinuous"/>
    </xf>
    <xf numFmtId="175" fontId="6" fillId="0" borderId="0" xfId="386" applyNumberFormat="1" applyFont="1" applyFill="1"/>
    <xf numFmtId="175" fontId="6" fillId="0" borderId="0" xfId="386" applyNumberFormat="1" applyFont="1" applyFill="1" applyBorder="1"/>
    <xf numFmtId="175" fontId="44" fillId="0" borderId="0" xfId="386" quotePrefix="1" applyNumberFormat="1" applyFont="1" applyFill="1" applyAlignment="1">
      <alignment horizontal="left" vertical="center"/>
    </xf>
    <xf numFmtId="175" fontId="6" fillId="0" borderId="0" xfId="386" applyNumberFormat="1" applyFont="1" applyFill="1" applyAlignment="1"/>
    <xf numFmtId="175" fontId="6" fillId="0" borderId="0" xfId="386" applyNumberFormat="1" applyFont="1" applyFill="1" applyAlignment="1">
      <alignment vertical="center"/>
    </xf>
    <xf numFmtId="175" fontId="3" fillId="0" borderId="0" xfId="386" applyNumberFormat="1" applyFont="1" applyFill="1"/>
    <xf numFmtId="175" fontId="38" fillId="0" borderId="0" xfId="386" applyNumberFormat="1" applyFont="1" applyFill="1" applyAlignment="1">
      <alignment horizontal="right" vertical="center"/>
    </xf>
    <xf numFmtId="175" fontId="38" fillId="0" borderId="0" xfId="386" applyNumberFormat="1" applyFont="1" applyFill="1"/>
    <xf numFmtId="175" fontId="6" fillId="0" borderId="13" xfId="386" applyNumberFormat="1" applyFont="1" applyFill="1" applyBorder="1" applyAlignment="1">
      <alignment horizontal="right"/>
    </xf>
    <xf numFmtId="175" fontId="6" fillId="0" borderId="11" xfId="386" applyNumberFormat="1" applyFont="1" applyFill="1" applyBorder="1" applyAlignment="1"/>
    <xf numFmtId="175" fontId="6" fillId="0" borderId="24" xfId="386" applyNumberFormat="1" applyFont="1" applyFill="1" applyBorder="1" applyAlignment="1">
      <alignment horizontal="centerContinuous" vertical="center"/>
    </xf>
    <xf numFmtId="175" fontId="6" fillId="0" borderId="11" xfId="386" applyNumberFormat="1" applyFont="1" applyFill="1" applyBorder="1" applyAlignment="1">
      <alignment horizontal="centerContinuous" vertical="center"/>
    </xf>
    <xf numFmtId="175" fontId="6" fillId="0" borderId="24" xfId="386" applyNumberFormat="1" applyFont="1" applyFill="1" applyBorder="1" applyAlignment="1"/>
    <xf numFmtId="175" fontId="6" fillId="0" borderId="23" xfId="386" applyNumberFormat="1" applyFont="1" applyFill="1" applyBorder="1" applyAlignment="1"/>
    <xf numFmtId="175" fontId="6" fillId="0" borderId="19" xfId="386" applyNumberFormat="1" applyFont="1" applyFill="1" applyBorder="1"/>
    <xf numFmtId="175" fontId="6" fillId="0" borderId="13" xfId="386" applyNumberFormat="1" applyFont="1" applyFill="1" applyBorder="1" applyAlignment="1">
      <alignment horizontal="distributed" vertical="center"/>
    </xf>
    <xf numFmtId="175" fontId="6" fillId="0" borderId="17" xfId="386" applyNumberFormat="1" applyFont="1" applyFill="1" applyBorder="1" applyAlignment="1">
      <alignment horizontal="center"/>
    </xf>
    <xf numFmtId="175" fontId="6" fillId="0" borderId="18" xfId="386" applyNumberFormat="1" applyFont="1" applyFill="1" applyBorder="1" applyAlignment="1">
      <alignment horizontal="center"/>
    </xf>
    <xf numFmtId="175" fontId="45" fillId="0" borderId="19" xfId="386" applyNumberFormat="1" applyFont="1" applyFill="1" applyBorder="1"/>
    <xf numFmtId="175" fontId="45" fillId="0" borderId="0" xfId="386" applyNumberFormat="1" applyFont="1" applyFill="1" applyBorder="1"/>
    <xf numFmtId="175" fontId="45" fillId="0" borderId="0" xfId="386" applyNumberFormat="1" applyFont="1" applyFill="1"/>
    <xf numFmtId="175" fontId="6" fillId="0" borderId="17" xfId="386" applyNumberFormat="1" applyFont="1" applyFill="1" applyBorder="1"/>
    <xf numFmtId="175" fontId="6" fillId="0" borderId="18" xfId="386" applyNumberFormat="1" applyFont="1" applyFill="1" applyBorder="1"/>
    <xf numFmtId="175" fontId="6" fillId="0" borderId="17" xfId="386" applyNumberFormat="1" applyFont="1" applyFill="1" applyBorder="1" applyProtection="1">
      <protection locked="0"/>
    </xf>
    <xf numFmtId="175" fontId="36" fillId="0" borderId="17" xfId="386" applyNumberFormat="1" applyFont="1" applyFill="1" applyBorder="1"/>
    <xf numFmtId="175" fontId="6" fillId="0" borderId="0" xfId="386" applyNumberFormat="1" applyFont="1" applyFill="1" applyBorder="1" applyAlignment="1">
      <alignment horizontal="distributed" vertical="center"/>
    </xf>
    <xf numFmtId="172" fontId="36" fillId="0" borderId="21" xfId="386" applyNumberFormat="1" applyFont="1" applyFill="1" applyBorder="1"/>
    <xf numFmtId="175" fontId="6" fillId="0" borderId="19" xfId="386" applyNumberFormat="1" applyFont="1" applyFill="1" applyBorder="1" applyAlignment="1">
      <alignment horizontal="center" vertical="center"/>
    </xf>
    <xf numFmtId="175" fontId="6" fillId="0" borderId="0" xfId="386" applyNumberFormat="1" applyFont="1" applyFill="1" applyBorder="1" applyAlignment="1">
      <alignment vertical="center"/>
    </xf>
    <xf numFmtId="175" fontId="6" fillId="0" borderId="21" xfId="386" applyNumberFormat="1" applyFont="1" applyFill="1" applyBorder="1"/>
    <xf numFmtId="175" fontId="6" fillId="0" borderId="19" xfId="386" applyNumberFormat="1" applyFont="1" applyFill="1" applyBorder="1" applyAlignment="1">
      <alignment horizontal="right"/>
    </xf>
    <xf numFmtId="175" fontId="6" fillId="0" borderId="15" xfId="386" applyNumberFormat="1" applyFont="1" applyFill="1" applyBorder="1"/>
    <xf numFmtId="173" fontId="36" fillId="0" borderId="17" xfId="386" applyNumberFormat="1" applyFont="1" applyFill="1" applyBorder="1"/>
    <xf numFmtId="175" fontId="6" fillId="0" borderId="13" xfId="386" applyNumberFormat="1" applyFont="1" applyFill="1" applyBorder="1"/>
    <xf numFmtId="175" fontId="6" fillId="0" borderId="14" xfId="386" applyNumberFormat="1" applyFont="1" applyFill="1" applyBorder="1"/>
    <xf numFmtId="175" fontId="38" fillId="0" borderId="0" xfId="386" applyNumberFormat="1" applyFont="1" applyFill="1" applyAlignment="1">
      <alignment horizontal="right"/>
    </xf>
    <xf numFmtId="175" fontId="6" fillId="0" borderId="23" xfId="386" applyNumberFormat="1" applyFont="1" applyFill="1" applyBorder="1" applyAlignment="1">
      <alignment horizontal="centerContinuous" vertical="center"/>
    </xf>
    <xf numFmtId="175" fontId="36" fillId="0" borderId="17" xfId="386" applyNumberFormat="1" applyFont="1" applyFill="1" applyBorder="1" applyAlignment="1">
      <alignment shrinkToFit="1"/>
    </xf>
    <xf numFmtId="175" fontId="6" fillId="0" borderId="13" xfId="386" applyNumberFormat="1" applyFont="1" applyFill="1" applyBorder="1" applyAlignment="1">
      <alignment shrinkToFit="1"/>
    </xf>
    <xf numFmtId="176" fontId="6" fillId="0" borderId="21" xfId="386" applyNumberFormat="1" applyFont="1" applyFill="1" applyBorder="1"/>
    <xf numFmtId="176" fontId="6" fillId="0" borderId="0" xfId="386" applyNumberFormat="1" applyFont="1" applyFill="1" applyBorder="1"/>
    <xf numFmtId="175" fontId="6" fillId="0" borderId="13" xfId="386" applyNumberFormat="1" applyFont="1" applyFill="1" applyBorder="1" applyAlignment="1"/>
    <xf numFmtId="170" fontId="6" fillId="0" borderId="25" xfId="0" applyNumberFormat="1" applyFont="1" applyFill="1" applyBorder="1" applyAlignment="1">
      <alignment horizontal="center"/>
    </xf>
    <xf numFmtId="175" fontId="6" fillId="0" borderId="0" xfId="386" applyNumberFormat="1" applyFont="1" applyFill="1" applyBorder="1" applyAlignment="1">
      <alignment horizontal="center"/>
    </xf>
    <xf numFmtId="49" fontId="45" fillId="0" borderId="0" xfId="386" applyNumberFormat="1" applyFont="1" applyFill="1" applyBorder="1"/>
    <xf numFmtId="170" fontId="6" fillId="0" borderId="19" xfId="0" applyNumberFormat="1" applyFont="1" applyFill="1" applyBorder="1" applyAlignment="1">
      <alignment horizontal="centerContinuous" vertical="center"/>
    </xf>
    <xf numFmtId="170" fontId="6" fillId="0" borderId="15" xfId="0" applyNumberFormat="1" applyFont="1" applyFill="1" applyBorder="1" applyAlignment="1">
      <alignment horizontal="centerContinuous" vertical="center"/>
    </xf>
    <xf numFmtId="173" fontId="6" fillId="0" borderId="21" xfId="386" applyNumberFormat="1" applyFont="1" applyFill="1" applyBorder="1"/>
    <xf numFmtId="173" fontId="6" fillId="0" borderId="17" xfId="386" applyNumberFormat="1" applyFont="1" applyFill="1" applyBorder="1"/>
    <xf numFmtId="175" fontId="6" fillId="0" borderId="13" xfId="386" applyNumberFormat="1" applyFont="1" applyFill="1" applyBorder="1" applyAlignment="1">
      <alignment horizontal="centerContinuous"/>
    </xf>
    <xf numFmtId="175" fontId="45" fillId="0" borderId="16" xfId="386" applyNumberFormat="1" applyFont="1" applyFill="1" applyBorder="1"/>
    <xf numFmtId="175" fontId="0" fillId="0" borderId="0" xfId="0" applyNumberFormat="1"/>
    <xf numFmtId="0" fontId="46" fillId="0" borderId="0" xfId="0" quotePrefix="1" applyFont="1" applyFill="1" applyAlignment="1" applyProtection="1">
      <protection locked="0"/>
    </xf>
    <xf numFmtId="0" fontId="46" fillId="0" borderId="0" xfId="0" applyFont="1" applyFill="1"/>
    <xf numFmtId="0" fontId="46" fillId="0" borderId="0" xfId="0" quotePrefix="1" applyFont="1" applyFill="1" applyAlignment="1"/>
    <xf numFmtId="0" fontId="0" fillId="0" borderId="0" xfId="0" quotePrefix="1" applyFont="1" applyFill="1" applyAlignment="1">
      <alignment horizontal="right"/>
    </xf>
    <xf numFmtId="0" fontId="0" fillId="0" borderId="0" xfId="0" applyFont="1" applyFill="1" applyAlignment="1"/>
    <xf numFmtId="0" fontId="0" fillId="0" borderId="2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/>
    <xf numFmtId="0" fontId="0" fillId="0" borderId="15" xfId="0" applyFont="1" applyFill="1" applyBorder="1"/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/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16" xfId="0" applyFont="1" applyFill="1" applyBorder="1"/>
    <xf numFmtId="0" fontId="0" fillId="0" borderId="22" xfId="0" applyFont="1" applyFill="1" applyBorder="1"/>
    <xf numFmtId="0" fontId="0" fillId="0" borderId="25" xfId="0" applyFont="1" applyFill="1" applyBorder="1"/>
    <xf numFmtId="0" fontId="0" fillId="0" borderId="19" xfId="0" applyFont="1" applyFill="1" applyBorder="1"/>
    <xf numFmtId="0" fontId="0" fillId="0" borderId="20" xfId="0" applyFont="1" applyFill="1" applyBorder="1" applyProtection="1">
      <protection locked="0"/>
    </xf>
    <xf numFmtId="0" fontId="0" fillId="0" borderId="0" xfId="0" applyFont="1" applyFill="1" applyBorder="1"/>
    <xf numFmtId="0" fontId="0" fillId="0" borderId="0" xfId="0" applyFont="1" applyFill="1" applyBorder="1" applyProtection="1">
      <protection locked="0"/>
    </xf>
    <xf numFmtId="0" fontId="0" fillId="0" borderId="15" xfId="0" applyFont="1" applyFill="1" applyBorder="1" applyProtection="1">
      <protection locked="0"/>
    </xf>
    <xf numFmtId="0" fontId="0" fillId="0" borderId="19" xfId="0" applyFont="1" applyFill="1" applyBorder="1" applyProtection="1">
      <protection locked="0"/>
    </xf>
    <xf numFmtId="0" fontId="0" fillId="0" borderId="18" xfId="0" applyFont="1" applyFill="1" applyBorder="1" applyProtection="1">
      <protection locked="0"/>
    </xf>
    <xf numFmtId="0" fontId="0" fillId="0" borderId="0" xfId="0" applyFont="1" applyFill="1" applyProtection="1">
      <protection locked="0"/>
    </xf>
    <xf numFmtId="0" fontId="0" fillId="0" borderId="17" xfId="0" applyFont="1" applyFill="1" applyBorder="1"/>
    <xf numFmtId="0" fontId="0" fillId="0" borderId="14" xfId="0" applyFont="1" applyFill="1" applyBorder="1" applyProtection="1">
      <protection locked="0"/>
    </xf>
    <xf numFmtId="0" fontId="0" fillId="0" borderId="25" xfId="0" applyFont="1" applyFill="1" applyBorder="1" applyAlignment="1"/>
    <xf numFmtId="0" fontId="0" fillId="0" borderId="22" xfId="0" applyFont="1" applyFill="1" applyBorder="1" applyAlignment="1"/>
    <xf numFmtId="0" fontId="0" fillId="0" borderId="12" xfId="0" applyFont="1" applyFill="1" applyBorder="1" applyAlignment="1"/>
    <xf numFmtId="0" fontId="0" fillId="0" borderId="28" xfId="0" applyFont="1" applyFill="1" applyBorder="1" applyProtection="1">
      <protection locked="0"/>
    </xf>
    <xf numFmtId="0" fontId="0" fillId="0" borderId="29" xfId="0" applyFont="1" applyFill="1" applyBorder="1"/>
    <xf numFmtId="0" fontId="0" fillId="0" borderId="30" xfId="0" applyFont="1" applyFill="1" applyBorder="1" applyProtection="1">
      <protection locked="0"/>
    </xf>
    <xf numFmtId="0" fontId="0" fillId="0" borderId="31" xfId="0" applyFont="1" applyFill="1" applyBorder="1" applyProtection="1">
      <protection locked="0"/>
    </xf>
    <xf numFmtId="0" fontId="0" fillId="0" borderId="29" xfId="0" applyFont="1" applyFill="1" applyBorder="1" applyProtection="1">
      <protection locked="0"/>
    </xf>
    <xf numFmtId="0" fontId="0" fillId="0" borderId="32" xfId="0" applyFont="1" applyFill="1" applyBorder="1" applyAlignment="1"/>
    <xf numFmtId="0" fontId="0" fillId="0" borderId="33" xfId="0" applyFont="1" applyFill="1" applyBorder="1" applyAlignment="1">
      <alignment horizontal="center"/>
    </xf>
    <xf numFmtId="0" fontId="0" fillId="0" borderId="33" xfId="0" applyFont="1" applyFill="1" applyBorder="1"/>
    <xf numFmtId="0" fontId="0" fillId="0" borderId="34" xfId="0" applyFont="1" applyFill="1" applyBorder="1"/>
    <xf numFmtId="41" fontId="26" fillId="0" borderId="0" xfId="386" applyFont="1" applyAlignment="1">
      <alignment vertical="center"/>
    </xf>
    <xf numFmtId="41" fontId="47" fillId="30" borderId="0" xfId="386" applyFont="1" applyFill="1" applyAlignment="1">
      <alignment vertical="center"/>
    </xf>
    <xf numFmtId="41" fontId="47" fillId="30" borderId="0" xfId="386" applyFont="1" applyFill="1" applyAlignment="1" applyProtection="1">
      <alignment horizontal="center" vertical="center"/>
    </xf>
    <xf numFmtId="41" fontId="47" fillId="30" borderId="0" xfId="386" applyFont="1" applyFill="1" applyAlignment="1">
      <alignment horizontal="center" vertical="center"/>
    </xf>
    <xf numFmtId="41" fontId="47" fillId="0" borderId="0" xfId="386" applyFont="1" applyAlignment="1" applyProtection="1">
      <alignment horizontal="center" vertical="center"/>
    </xf>
    <xf numFmtId="41" fontId="47" fillId="0" borderId="0" xfId="386" applyFont="1" applyAlignment="1">
      <alignment horizontal="center" vertical="center"/>
    </xf>
    <xf numFmtId="41" fontId="47" fillId="0" borderId="0" xfId="386" applyFont="1" applyAlignment="1" applyProtection="1">
      <alignment vertical="center"/>
    </xf>
    <xf numFmtId="41" fontId="47" fillId="0" borderId="0" xfId="386" applyFont="1" applyAlignment="1">
      <alignment vertical="center"/>
    </xf>
    <xf numFmtId="41" fontId="48" fillId="0" borderId="0" xfId="386" applyFont="1" applyFill="1" applyBorder="1" applyAlignment="1">
      <alignment vertical="center"/>
    </xf>
    <xf numFmtId="41" fontId="47" fillId="0" borderId="0" xfId="386" applyFont="1" applyFill="1" applyAlignment="1" applyProtection="1">
      <alignment vertical="center"/>
    </xf>
    <xf numFmtId="41" fontId="49" fillId="0" borderId="0" xfId="386" applyFont="1" applyAlignment="1">
      <alignment vertical="center"/>
    </xf>
    <xf numFmtId="41" fontId="49" fillId="0" borderId="0" xfId="386" applyFont="1" applyAlignment="1" applyProtection="1">
      <alignment horizontal="center" vertical="center"/>
    </xf>
    <xf numFmtId="41" fontId="47" fillId="0" borderId="0" xfId="386" applyFont="1" applyFill="1" applyAlignment="1" applyProtection="1">
      <alignment horizontal="center" vertical="center"/>
    </xf>
    <xf numFmtId="41" fontId="47" fillId="0" borderId="0" xfId="386" applyFont="1" applyFill="1" applyAlignment="1">
      <alignment horizontal="center" vertical="center"/>
    </xf>
    <xf numFmtId="41" fontId="47" fillId="0" borderId="0" xfId="386" applyFont="1" applyFill="1" applyAlignment="1" applyProtection="1">
      <alignment horizontal="right" vertical="center"/>
    </xf>
    <xf numFmtId="41" fontId="47" fillId="0" borderId="0" xfId="386" applyFont="1" applyFill="1" applyAlignment="1">
      <alignment vertical="center"/>
    </xf>
    <xf numFmtId="1" fontId="26" fillId="0" borderId="0" xfId="386" applyNumberFormat="1" applyFont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11" xfId="0" applyFill="1" applyBorder="1" applyAlignment="1">
      <alignment horizontal="center" vertical="center"/>
    </xf>
    <xf numFmtId="41" fontId="0" fillId="0" borderId="11" xfId="386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1" fontId="0" fillId="0" borderId="0" xfId="386" applyFont="1" applyFill="1" applyAlignment="1">
      <alignment vertical="center"/>
    </xf>
    <xf numFmtId="174" fontId="0" fillId="0" borderId="0" xfId="0" applyNumberFormat="1" applyFill="1" applyAlignment="1">
      <alignment vertical="center"/>
    </xf>
    <xf numFmtId="38" fontId="0" fillId="0" borderId="0" xfId="0" applyNumberFormat="1" applyFill="1" applyAlignment="1">
      <alignment vertical="center"/>
    </xf>
    <xf numFmtId="41" fontId="25" fillId="0" borderId="0" xfId="386" applyFont="1" applyFill="1" applyAlignment="1">
      <alignment vertical="center"/>
    </xf>
    <xf numFmtId="41" fontId="0" fillId="0" borderId="0" xfId="386" applyFont="1" applyFill="1" applyBorder="1" applyAlignment="1">
      <alignment vertical="center"/>
    </xf>
    <xf numFmtId="41" fontId="25" fillId="0" borderId="0" xfId="386" applyFont="1" applyFill="1" applyBorder="1" applyAlignment="1">
      <alignment vertical="center"/>
    </xf>
    <xf numFmtId="41" fontId="25" fillId="0" borderId="0" xfId="386" applyFont="1" applyFill="1" applyBorder="1" applyAlignment="1"/>
    <xf numFmtId="177" fontId="0" fillId="0" borderId="0" xfId="0" applyNumberFormat="1" applyFill="1" applyAlignment="1">
      <alignment vertical="center"/>
    </xf>
    <xf numFmtId="38" fontId="0" fillId="0" borderId="0" xfId="0" applyNumberFormat="1" applyFill="1" applyBorder="1" applyAlignment="1">
      <alignment vertical="center"/>
    </xf>
    <xf numFmtId="38" fontId="25" fillId="0" borderId="0" xfId="0" applyNumberFormat="1" applyFont="1" applyFill="1" applyBorder="1" applyAlignment="1">
      <alignment vertical="center"/>
    </xf>
    <xf numFmtId="174" fontId="0" fillId="0" borderId="0" xfId="0" applyNumberFormat="1" applyFill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49" fillId="0" borderId="0" xfId="0" applyFont="1" applyBorder="1" applyAlignment="1" applyProtection="1">
      <alignment vertical="center"/>
    </xf>
    <xf numFmtId="0" fontId="51" fillId="0" borderId="0" xfId="0" applyFont="1" applyFill="1" applyBorder="1" applyAlignment="1" applyProtection="1">
      <alignment vertical="center"/>
    </xf>
    <xf numFmtId="0" fontId="51" fillId="0" borderId="0" xfId="0" applyFont="1" applyFill="1" applyBorder="1" applyAlignment="1">
      <alignment vertical="center"/>
    </xf>
    <xf numFmtId="0" fontId="51" fillId="31" borderId="0" xfId="0" applyFont="1" applyFill="1" applyBorder="1" applyAlignment="1" applyProtection="1">
      <alignment vertical="center"/>
    </xf>
    <xf numFmtId="164" fontId="51" fillId="30" borderId="0" xfId="0" applyNumberFormat="1" applyFont="1" applyFill="1" applyBorder="1" applyAlignment="1" applyProtection="1">
      <alignment vertical="center"/>
    </xf>
    <xf numFmtId="164" fontId="51" fillId="0" borderId="0" xfId="0" applyNumberFormat="1" applyFont="1" applyFill="1" applyBorder="1" applyAlignment="1" applyProtection="1">
      <alignment vertical="center"/>
    </xf>
    <xf numFmtId="164" fontId="51" fillId="30" borderId="0" xfId="0" applyNumberFormat="1" applyFont="1" applyFill="1" applyBorder="1" applyAlignment="1">
      <alignment vertical="center"/>
    </xf>
    <xf numFmtId="0" fontId="51" fillId="31" borderId="0" xfId="0" quotePrefix="1" applyFont="1" applyFill="1" applyBorder="1" applyAlignment="1" applyProtection="1">
      <alignment vertical="center"/>
    </xf>
    <xf numFmtId="0" fontId="0" fillId="0" borderId="0" xfId="0" applyBorder="1" applyAlignment="1">
      <alignment vertical="center" textRotation="255"/>
    </xf>
    <xf numFmtId="0" fontId="51" fillId="32" borderId="0" xfId="0" applyFont="1" applyFill="1" applyBorder="1" applyAlignment="1" applyProtection="1">
      <alignment vertical="center"/>
    </xf>
    <xf numFmtId="177" fontId="51" fillId="32" borderId="0" xfId="0" applyNumberFormat="1" applyFont="1" applyFill="1" applyBorder="1" applyAlignment="1"/>
    <xf numFmtId="0" fontId="51" fillId="33" borderId="0" xfId="0" applyFont="1" applyFill="1" applyBorder="1" applyAlignment="1" applyProtection="1">
      <alignment vertical="center"/>
    </xf>
    <xf numFmtId="164" fontId="51" fillId="33" borderId="0" xfId="0" applyNumberFormat="1" applyFont="1" applyFill="1" applyBorder="1" applyAlignment="1" applyProtection="1">
      <alignment vertical="center"/>
    </xf>
    <xf numFmtId="0" fontId="49" fillId="0" borderId="0" xfId="0" applyFont="1" applyBorder="1" applyAlignment="1"/>
    <xf numFmtId="0" fontId="51" fillId="34" borderId="0" xfId="0" applyFont="1" applyFill="1" applyBorder="1" applyAlignment="1"/>
    <xf numFmtId="177" fontId="51" fillId="34" borderId="0" xfId="0" applyNumberFormat="1" applyFont="1" applyFill="1" applyBorder="1" applyAlignment="1"/>
    <xf numFmtId="0" fontId="51" fillId="0" borderId="0" xfId="0" applyFont="1" applyBorder="1" applyAlignment="1"/>
    <xf numFmtId="0" fontId="3" fillId="0" borderId="0" xfId="0" applyFont="1" applyBorder="1" applyAlignment="1"/>
    <xf numFmtId="0" fontId="49" fillId="0" borderId="0" xfId="0" applyFont="1" applyBorder="1" applyAlignment="1">
      <alignment horizontal="right"/>
    </xf>
    <xf numFmtId="164" fontId="49" fillId="0" borderId="0" xfId="0" applyNumberFormat="1" applyFont="1" applyBorder="1" applyAlignment="1"/>
    <xf numFmtId="0" fontId="0" fillId="0" borderId="35" xfId="0" applyBorder="1"/>
    <xf numFmtId="0" fontId="0" fillId="0" borderId="35" xfId="0" applyBorder="1" applyAlignment="1" applyProtection="1">
      <alignment horizontal="center"/>
    </xf>
    <xf numFmtId="0" fontId="0" fillId="0" borderId="36" xfId="0" applyBorder="1" applyAlignment="1" applyProtection="1"/>
    <xf numFmtId="0" fontId="0" fillId="0" borderId="37" xfId="0" applyBorder="1" applyAlignment="1"/>
    <xf numFmtId="0" fontId="0" fillId="0" borderId="38" xfId="0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169" fontId="0" fillId="0" borderId="0" xfId="386" applyNumberFormat="1" applyFont="1" applyBorder="1"/>
    <xf numFmtId="169" fontId="0" fillId="0" borderId="35" xfId="386" applyNumberFormat="1" applyFont="1" applyBorder="1"/>
    <xf numFmtId="0" fontId="0" fillId="0" borderId="40" xfId="0" applyBorder="1" applyAlignment="1"/>
    <xf numFmtId="0" fontId="0" fillId="0" borderId="41" xfId="0" applyBorder="1" applyAlignment="1" applyProtection="1">
      <alignment horizontal="center"/>
    </xf>
    <xf numFmtId="0" fontId="0" fillId="0" borderId="41" xfId="0" applyBorder="1"/>
    <xf numFmtId="2" fontId="0" fillId="0" borderId="41" xfId="0" applyNumberFormat="1" applyBorder="1"/>
    <xf numFmtId="0" fontId="0" fillId="0" borderId="42" xfId="0" applyBorder="1"/>
    <xf numFmtId="0" fontId="50" fillId="0" borderId="0" xfId="0" applyFont="1" applyBorder="1" applyAlignment="1" applyProtection="1">
      <alignment vertical="center"/>
    </xf>
    <xf numFmtId="0" fontId="52" fillId="0" borderId="0" xfId="0" applyFont="1" applyFill="1" applyBorder="1" applyAlignment="1" applyProtection="1">
      <alignment vertical="center" textRotation="255"/>
    </xf>
    <xf numFmtId="0" fontId="53" fillId="0" borderId="0" xfId="0" applyFont="1" applyFill="1" applyBorder="1" applyAlignment="1">
      <alignment vertical="center" textRotation="255"/>
    </xf>
    <xf numFmtId="175" fontId="36" fillId="0" borderId="13" xfId="386" applyNumberFormat="1" applyFont="1" applyFill="1" applyBorder="1" applyAlignment="1">
      <alignment horizontal="center"/>
    </xf>
    <xf numFmtId="170" fontId="6" fillId="0" borderId="12" xfId="0" applyNumberFormat="1" applyFont="1" applyFill="1" applyBorder="1" applyAlignment="1">
      <alignment horizontal="center" vertical="center" textRotation="255"/>
    </xf>
    <xf numFmtId="170" fontId="6" fillId="0" borderId="20" xfId="0" applyNumberFormat="1" applyFont="1" applyFill="1" applyBorder="1" applyAlignment="1">
      <alignment horizontal="center" vertical="center" textRotation="255"/>
    </xf>
    <xf numFmtId="170" fontId="6" fillId="0" borderId="18" xfId="0" applyNumberFormat="1" applyFont="1" applyFill="1" applyBorder="1" applyAlignment="1">
      <alignment horizontal="center" vertical="center" textRotation="255"/>
    </xf>
    <xf numFmtId="175" fontId="36" fillId="0" borderId="19" xfId="386" applyNumberFormat="1" applyFont="1" applyFill="1" applyBorder="1" applyAlignment="1">
      <alignment horizontal="center"/>
    </xf>
    <xf numFmtId="175" fontId="36" fillId="0" borderId="15" xfId="386" applyNumberFormat="1" applyFont="1" applyFill="1" applyBorder="1" applyAlignment="1">
      <alignment horizontal="center"/>
    </xf>
    <xf numFmtId="170" fontId="6" fillId="0" borderId="17" xfId="0" applyNumberFormat="1" applyFont="1" applyFill="1" applyBorder="1" applyAlignment="1">
      <alignment horizontal="center" vertical="center"/>
    </xf>
    <xf numFmtId="170" fontId="6" fillId="0" borderId="14" xfId="0" applyNumberFormat="1" applyFont="1" applyFill="1" applyBorder="1" applyAlignment="1">
      <alignment horizontal="center" vertical="center"/>
    </xf>
    <xf numFmtId="175" fontId="36" fillId="0" borderId="17" xfId="386" applyNumberFormat="1" applyFont="1" applyFill="1" applyBorder="1" applyAlignment="1">
      <alignment horizontal="center"/>
    </xf>
    <xf numFmtId="175" fontId="36" fillId="0" borderId="14" xfId="386" applyNumberFormat="1" applyFont="1" applyFill="1" applyBorder="1" applyAlignment="1">
      <alignment horizontal="center"/>
    </xf>
    <xf numFmtId="2" fontId="36" fillId="0" borderId="13" xfId="386" applyNumberFormat="1" applyFont="1" applyFill="1" applyBorder="1" applyAlignment="1">
      <alignment horizontal="center"/>
    </xf>
    <xf numFmtId="170" fontId="41" fillId="0" borderId="12" xfId="0" applyNumberFormat="1" applyFont="1" applyFill="1" applyBorder="1" applyAlignment="1">
      <alignment horizontal="center" vertical="center" textRotation="255"/>
    </xf>
    <xf numFmtId="170" fontId="41" fillId="0" borderId="20" xfId="0" applyNumberFormat="1" applyFont="1" applyFill="1" applyBorder="1" applyAlignment="1">
      <alignment horizontal="center" vertical="center" textRotation="255"/>
    </xf>
    <xf numFmtId="170" fontId="41" fillId="0" borderId="18" xfId="0" applyNumberFormat="1" applyFont="1" applyFill="1" applyBorder="1" applyAlignment="1">
      <alignment horizontal="center" vertical="center" textRotation="255"/>
    </xf>
    <xf numFmtId="170" fontId="41" fillId="0" borderId="19" xfId="0" applyNumberFormat="1" applyFont="1" applyFill="1" applyBorder="1" applyAlignment="1">
      <alignment horizontal="center" vertical="center"/>
    </xf>
    <xf numFmtId="170" fontId="41" fillId="0" borderId="15" xfId="0" applyNumberFormat="1" applyFont="1" applyFill="1" applyBorder="1" applyAlignment="1">
      <alignment horizontal="center" vertical="center"/>
    </xf>
    <xf numFmtId="170" fontId="36" fillId="0" borderId="19" xfId="0" applyNumberFormat="1" applyFont="1" applyFill="1" applyBorder="1" applyAlignment="1">
      <alignment horizontal="center"/>
    </xf>
    <xf numFmtId="0" fontId="29" fillId="0" borderId="15" xfId="0" applyFont="1" applyFill="1" applyBorder="1" applyAlignment="1">
      <alignment horizontal="center"/>
    </xf>
    <xf numFmtId="170" fontId="41" fillId="0" borderId="17" xfId="0" applyNumberFormat="1" applyFont="1" applyFill="1" applyBorder="1" applyAlignment="1">
      <alignment horizontal="center" vertical="center"/>
    </xf>
    <xf numFmtId="170" fontId="41" fillId="0" borderId="14" xfId="0" applyNumberFormat="1" applyFont="1" applyFill="1" applyBorder="1" applyAlignment="1">
      <alignment horizontal="center" vertical="center"/>
    </xf>
    <xf numFmtId="166" fontId="36" fillId="0" borderId="17" xfId="0" applyNumberFormat="1" applyFont="1" applyFill="1" applyBorder="1" applyAlignment="1">
      <alignment horizontal="center"/>
    </xf>
    <xf numFmtId="166" fontId="36" fillId="0" borderId="14" xfId="0" applyNumberFormat="1" applyFont="1" applyFill="1" applyBorder="1" applyAlignment="1">
      <alignment horizontal="center"/>
    </xf>
    <xf numFmtId="170" fontId="36" fillId="0" borderId="15" xfId="0" applyNumberFormat="1" applyFont="1" applyFill="1" applyBorder="1" applyAlignment="1">
      <alignment horizontal="center"/>
    </xf>
    <xf numFmtId="170" fontId="36" fillId="0" borderId="13" xfId="0" applyNumberFormat="1" applyFont="1" applyFill="1" applyBorder="1" applyAlignment="1">
      <alignment horizontal="center"/>
    </xf>
    <xf numFmtId="170" fontId="6" fillId="0" borderId="19" xfId="0" applyNumberFormat="1" applyFont="1" applyFill="1" applyBorder="1" applyAlignment="1">
      <alignment horizontal="center" vertical="center"/>
    </xf>
    <xf numFmtId="170" fontId="6" fillId="0" borderId="15" xfId="0" applyNumberFormat="1" applyFont="1" applyFill="1" applyBorder="1" applyAlignment="1">
      <alignment horizontal="center" vertical="center"/>
    </xf>
    <xf numFmtId="170" fontId="6" fillId="0" borderId="19" xfId="0" applyNumberFormat="1" applyFont="1" applyFill="1" applyBorder="1" applyAlignment="1">
      <alignment horizontal="center"/>
    </xf>
    <xf numFmtId="170" fontId="6" fillId="0" borderId="15" xfId="0" applyNumberFormat="1" applyFont="1" applyFill="1" applyBorder="1" applyAlignment="1">
      <alignment horizontal="center"/>
    </xf>
    <xf numFmtId="170" fontId="6" fillId="0" borderId="17" xfId="0" applyNumberFormat="1" applyFont="1" applyFill="1" applyBorder="1" applyAlignment="1">
      <alignment horizontal="center"/>
    </xf>
    <xf numFmtId="170" fontId="6" fillId="0" borderId="14" xfId="0" applyNumberFormat="1" applyFont="1" applyFill="1" applyBorder="1" applyAlignment="1">
      <alignment horizontal="center"/>
    </xf>
    <xf numFmtId="170" fontId="6" fillId="0" borderId="13" xfId="0" applyNumberFormat="1" applyFont="1" applyFill="1" applyBorder="1" applyAlignment="1">
      <alignment horizontal="center"/>
    </xf>
    <xf numFmtId="170" fontId="6" fillId="0" borderId="13" xfId="0" applyNumberFormat="1" applyFont="1" applyFill="1" applyBorder="1" applyAlignment="1">
      <alignment horizontal="center" vertical="center"/>
    </xf>
    <xf numFmtId="170" fontId="6" fillId="0" borderId="24" xfId="0" applyNumberFormat="1" applyFont="1" applyFill="1" applyBorder="1" applyAlignment="1">
      <alignment horizontal="center" vertical="center"/>
    </xf>
    <xf numFmtId="170" fontId="6" fillId="0" borderId="11" xfId="0" applyNumberFormat="1" applyFont="1" applyFill="1" applyBorder="1" applyAlignment="1">
      <alignment horizontal="center" vertical="center"/>
    </xf>
    <xf numFmtId="170" fontId="6" fillId="0" borderId="23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</cellXfs>
  <cellStyles count="389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Comma [0]" xfId="386" builtinId="6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8" builtinId="9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7" builtinId="8" hidden="1"/>
    <cellStyle name="Normal" xfId="0" builtinId="0"/>
    <cellStyle name="アクセント 1 2" xfId="20"/>
    <cellStyle name="アクセント 2 2" xfId="21"/>
    <cellStyle name="アクセント 3 2" xfId="22"/>
    <cellStyle name="アクセント 4 2" xfId="23"/>
    <cellStyle name="アクセント 5 2" xfId="24"/>
    <cellStyle name="アクセント 6 2" xfId="25"/>
    <cellStyle name="タイトル 2" xfId="26"/>
    <cellStyle name="チェック セル 2" xfId="27"/>
    <cellStyle name="どちらでもない 2" xfId="19"/>
    <cellStyle name="パーセント 2" xfId="28"/>
    <cellStyle name="パーセント 3" xfId="29"/>
    <cellStyle name="メモ 2" xfId="30"/>
    <cellStyle name="リンク セル 2" xfId="31"/>
    <cellStyle name="入力 2" xfId="32"/>
    <cellStyle name="出力 2" xfId="33"/>
    <cellStyle name="悪い 2" xfId="34"/>
    <cellStyle name="桁区切り 2" xfId="35"/>
    <cellStyle name="桁区切り 2 2" xfId="36"/>
    <cellStyle name="桁区切り 3" xfId="37"/>
    <cellStyle name="桁区切り 3 2" xfId="38"/>
    <cellStyle name="桁区切り 4" xfId="39"/>
    <cellStyle name="桁区切り 5" xfId="40"/>
    <cellStyle name="標準 10" xfId="41"/>
    <cellStyle name="標準 11" xfId="42"/>
    <cellStyle name="標準 2" xfId="43"/>
    <cellStyle name="標準 2 2" xfId="44"/>
    <cellStyle name="標準 2 2 2" xfId="45"/>
    <cellStyle name="標準 2 3" xfId="46"/>
    <cellStyle name="標準 3" xfId="47"/>
    <cellStyle name="標準 3 2" xfId="48"/>
    <cellStyle name="標準 3 2 2" xfId="49"/>
    <cellStyle name="標準 3 2 3" xfId="50"/>
    <cellStyle name="標準 3 3" xfId="51"/>
    <cellStyle name="標準 4" xfId="52"/>
    <cellStyle name="標準 4 2" xfId="53"/>
    <cellStyle name="標準 5" xfId="54"/>
    <cellStyle name="標準 5 2" xfId="55"/>
    <cellStyle name="標準 6" xfId="56"/>
    <cellStyle name="標準 6 2" xfId="57"/>
    <cellStyle name="標準 7" xfId="58"/>
    <cellStyle name="標準 8" xfId="59"/>
    <cellStyle name="標準 9" xfId="60"/>
    <cellStyle name="良い 2" xfId="61"/>
    <cellStyle name="見出し 1 2" xfId="62"/>
    <cellStyle name="見出し 2 2" xfId="63"/>
    <cellStyle name="見出し 3 2" xfId="64"/>
    <cellStyle name="見出し 4 2" xfId="65"/>
    <cellStyle name="計算 2" xfId="66"/>
    <cellStyle name="説明文 2" xfId="67"/>
    <cellStyle name="警告文 2" xfId="68"/>
    <cellStyle name="集計 2" xfId="69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4.xml"/><Relationship Id="rId21" Type="http://schemas.openxmlformats.org/officeDocument/2006/relationships/externalLink" Target="externalLinks/externalLink5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externalLink" Target="externalLinks/externalLink2.xml"/><Relationship Id="rId1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7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8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9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11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Relationship Id="rId2" Type="http://schemas.openxmlformats.org/officeDocument/2006/relationships/chartUserShapes" Target="../drawings/drawing12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Relationship Id="rId2" Type="http://schemas.openxmlformats.org/officeDocument/2006/relationships/chartUserShapes" Target="../drawings/drawing13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Relationship Id="rId2" Type="http://schemas.openxmlformats.org/officeDocument/2006/relationships/chartUserShapes" Target="../drawings/drawing16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Relationship Id="rId2" Type="http://schemas.openxmlformats.org/officeDocument/2006/relationships/chartUserShapes" Target="../drawings/drawing17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Relationship Id="rId2" Type="http://schemas.openxmlformats.org/officeDocument/2006/relationships/chartUserShapes" Target="../drawings/drawing1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ウルメイワシ!$A$209</c:f>
              <c:strCache>
                <c:ptCount val="1"/>
                <c:pt idx="0">
                  <c:v>2016年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ウルメイワシ!$B$184:$M$184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ウルメイワシ!$B$209:$M$209</c:f>
              <c:numCache>
                <c:formatCode>0.0</c:formatCode>
                <c:ptCount val="12"/>
                <c:pt idx="0">
                  <c:v>1254.888</c:v>
                </c:pt>
                <c:pt idx="1">
                  <c:v>1170.416</c:v>
                </c:pt>
                <c:pt idx="2">
                  <c:v>4320.908</c:v>
                </c:pt>
                <c:pt idx="3">
                  <c:v>3510.586</c:v>
                </c:pt>
                <c:pt idx="4">
                  <c:v>1561.34</c:v>
                </c:pt>
                <c:pt idx="5">
                  <c:v>1710.125</c:v>
                </c:pt>
                <c:pt idx="6">
                  <c:v>3154.866</c:v>
                </c:pt>
                <c:pt idx="7">
                  <c:v>1720.941</c:v>
                </c:pt>
                <c:pt idx="8">
                  <c:v>929.3819999999999</c:v>
                </c:pt>
                <c:pt idx="9">
                  <c:v>2512.187</c:v>
                </c:pt>
                <c:pt idx="10">
                  <c:v>3570.708</c:v>
                </c:pt>
                <c:pt idx="11">
                  <c:v>4162.418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64-423B-8959-83561FD8BE37}"/>
            </c:ext>
          </c:extLst>
        </c:ser>
        <c:ser>
          <c:idx val="1"/>
          <c:order val="1"/>
          <c:tx>
            <c:strRef>
              <c:f>ウルメイワシ!$A$208</c:f>
              <c:strCache>
                <c:ptCount val="1"/>
                <c:pt idx="0">
                  <c:v>2015年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6666"/>
                </a:solidFill>
                <a:prstDash val="solid"/>
              </a:ln>
            </c:spPr>
          </c:marker>
          <c:val>
            <c:numRef>
              <c:f>ウルメイワシ!$B$208:$M$208</c:f>
              <c:numCache>
                <c:formatCode>0.0</c:formatCode>
                <c:ptCount val="12"/>
                <c:pt idx="0">
                  <c:v>809.271</c:v>
                </c:pt>
                <c:pt idx="1">
                  <c:v>688.372</c:v>
                </c:pt>
                <c:pt idx="2">
                  <c:v>390.993</c:v>
                </c:pt>
                <c:pt idx="3">
                  <c:v>1449.989</c:v>
                </c:pt>
                <c:pt idx="4">
                  <c:v>873.568</c:v>
                </c:pt>
                <c:pt idx="5">
                  <c:v>599.3879999999999</c:v>
                </c:pt>
                <c:pt idx="6">
                  <c:v>287.9940000000001</c:v>
                </c:pt>
                <c:pt idx="7">
                  <c:v>279.84</c:v>
                </c:pt>
                <c:pt idx="8">
                  <c:v>681.005</c:v>
                </c:pt>
                <c:pt idx="9">
                  <c:v>4854.738</c:v>
                </c:pt>
                <c:pt idx="10">
                  <c:v>5840.543</c:v>
                </c:pt>
                <c:pt idx="11">
                  <c:v>3618.36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64-423B-8959-83561FD8BE37}"/>
            </c:ext>
          </c:extLst>
        </c:ser>
        <c:ser>
          <c:idx val="2"/>
          <c:order val="2"/>
          <c:tx>
            <c:v>2011-2015年の平均</c:v>
          </c:tx>
          <c:spPr>
            <a:ln w="25400">
              <a:solidFill>
                <a:srgbClr val="999933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val>
            <c:numRef>
              <c:f>ウルメイワシ!$B$212:$M$212</c:f>
              <c:numCache>
                <c:formatCode>#,##0.0</c:formatCode>
                <c:ptCount val="12"/>
                <c:pt idx="0">
                  <c:v>683.0217999999999</c:v>
                </c:pt>
                <c:pt idx="1">
                  <c:v>837.5604</c:v>
                </c:pt>
                <c:pt idx="2">
                  <c:v>1437.8044</c:v>
                </c:pt>
                <c:pt idx="3">
                  <c:v>1592.8244</c:v>
                </c:pt>
                <c:pt idx="4">
                  <c:v>1299.65659</c:v>
                </c:pt>
                <c:pt idx="5">
                  <c:v>1072.16289</c:v>
                </c:pt>
                <c:pt idx="6">
                  <c:v>1728.9223</c:v>
                </c:pt>
                <c:pt idx="7">
                  <c:v>1963.9841</c:v>
                </c:pt>
                <c:pt idx="8">
                  <c:v>2175.5466</c:v>
                </c:pt>
                <c:pt idx="9">
                  <c:v>2613.3124</c:v>
                </c:pt>
                <c:pt idx="10">
                  <c:v>3156.5504</c:v>
                </c:pt>
                <c:pt idx="11">
                  <c:v>2368.9662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64-423B-8959-83561FD8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09072"/>
        <c:axId val="312710704"/>
      </c:lineChart>
      <c:catAx>
        <c:axId val="3127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710704"/>
        <c:crosses val="autoZero"/>
        <c:auto val="1"/>
        <c:lblAlgn val="ctr"/>
        <c:lblOffset val="100"/>
        <c:noMultiLvlLbl val="0"/>
      </c:catAx>
      <c:valAx>
        <c:axId val="312710704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709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E3E3E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月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128656"/>
        <c:axId val="757132288"/>
      </c:lineChart>
      <c:catAx>
        <c:axId val="75712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2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マイワシ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57132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713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sz="2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[トン]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57128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23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1.0" l="0.75" r="0.75" t="1.0" header="0.512" footer="0.51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月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696128"/>
        <c:axId val="708699760"/>
      </c:lineChart>
      <c:catAx>
        <c:axId val="7086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2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カタｌクチイワシ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0869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869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sz="2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[トン]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08696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23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1.0" l="0.75" r="0.75" t="1.0" header="0.512" footer="0.51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マイワシ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'201810漁海況'!$B$4:$B$10</c:f>
              <c:numCache>
                <c:formatCode>0_ </c:formatCode>
                <c:ptCount val="7"/>
                <c:pt idx="0">
                  <c:v>7.825</c:v>
                </c:pt>
                <c:pt idx="1">
                  <c:v>15.4705</c:v>
                </c:pt>
                <c:pt idx="2">
                  <c:v>0.48</c:v>
                </c:pt>
                <c:pt idx="3">
                  <c:v>1629.456</c:v>
                </c:pt>
                <c:pt idx="4">
                  <c:v>172.008</c:v>
                </c:pt>
                <c:pt idx="5">
                  <c:v>693.8069999999999</c:v>
                </c:pt>
                <c:pt idx="6">
                  <c:v>2519.0465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56-4E3E-A03D-EA82456B38C7}"/>
            </c:ext>
          </c:extLst>
        </c:ser>
        <c:ser>
          <c:idx val="1"/>
          <c:order val="1"/>
          <c:tx>
            <c:strRef>
              <c:f>'201810漁海況'!$C$3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'201810漁海況'!$C$4:$C$10</c:f>
              <c:numCache>
                <c:formatCode>0_ </c:formatCode>
                <c:ptCount val="7"/>
                <c:pt idx="0">
                  <c:v>191.075</c:v>
                </c:pt>
                <c:pt idx="1">
                  <c:v>12.143</c:v>
                </c:pt>
                <c:pt idx="2">
                  <c:v>0.0</c:v>
                </c:pt>
                <c:pt idx="3">
                  <c:v>2440.687</c:v>
                </c:pt>
                <c:pt idx="4">
                  <c:v>88.902</c:v>
                </c:pt>
                <c:pt idx="5">
                  <c:v>2166.777</c:v>
                </c:pt>
                <c:pt idx="6">
                  <c:v>4899.584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56-4E3E-A03D-EA82456B38C7}"/>
            </c:ext>
          </c:extLst>
        </c:ser>
        <c:ser>
          <c:idx val="2"/>
          <c:order val="2"/>
          <c:tx>
            <c:strRef>
              <c:f>'201810漁海況'!$D$3</c:f>
              <c:strCache>
                <c:ptCount val="1"/>
                <c:pt idx="0">
                  <c:v>平年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'201810漁海況'!$A$4:$A$10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'201810漁海況'!$D$4:$D$10</c:f>
              <c:numCache>
                <c:formatCode>0_ </c:formatCode>
                <c:ptCount val="7"/>
                <c:pt idx="0">
                  <c:v>52.40579999999998</c:v>
                </c:pt>
                <c:pt idx="1">
                  <c:v>65.28479999999998</c:v>
                </c:pt>
                <c:pt idx="2">
                  <c:v>0.2976</c:v>
                </c:pt>
                <c:pt idx="3">
                  <c:v>881.53</c:v>
                </c:pt>
                <c:pt idx="4">
                  <c:v>412.8192</c:v>
                </c:pt>
                <c:pt idx="5">
                  <c:v>1897.2106</c:v>
                </c:pt>
                <c:pt idx="6">
                  <c:v>3309.548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56-4E3E-A03D-EA82456B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46016"/>
        <c:axId val="312748336"/>
      </c:barChart>
      <c:catAx>
        <c:axId val="3127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748336"/>
        <c:crosses val="autoZero"/>
        <c:auto val="1"/>
        <c:lblAlgn val="ctr"/>
        <c:lblOffset val="100"/>
        <c:noMultiLvlLbl val="0"/>
      </c:catAx>
      <c:valAx>
        <c:axId val="312748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7460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7478385054809"/>
          <c:y val="0.452770165540331"/>
          <c:w val="0.0906891693685347"/>
          <c:h val="0.212604935209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ウルメイワシ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'201810漁海況'!$B$14:$B$20</c:f>
              <c:numCache>
                <c:formatCode>0_);[Red]\(0\)</c:formatCode>
                <c:ptCount val="7"/>
                <c:pt idx="0">
                  <c:v>13.74</c:v>
                </c:pt>
                <c:pt idx="1">
                  <c:v>6.81</c:v>
                </c:pt>
                <c:pt idx="2">
                  <c:v>0.032</c:v>
                </c:pt>
                <c:pt idx="3">
                  <c:v>3313.623000000001</c:v>
                </c:pt>
                <c:pt idx="4">
                  <c:v>349.902</c:v>
                </c:pt>
                <c:pt idx="5">
                  <c:v>1741.109</c:v>
                </c:pt>
                <c:pt idx="6">
                  <c:v>5425.216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0-4FE8-88B6-910821F6A1BE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'201810漁海況'!$C$14:$C$20</c:f>
              <c:numCache>
                <c:formatCode>0_);[Red]\(0\)</c:formatCode>
                <c:ptCount val="7"/>
                <c:pt idx="0">
                  <c:v>33.98</c:v>
                </c:pt>
                <c:pt idx="1">
                  <c:v>64.86</c:v>
                </c:pt>
                <c:pt idx="2">
                  <c:v>0.337</c:v>
                </c:pt>
                <c:pt idx="3">
                  <c:v>7815.54</c:v>
                </c:pt>
                <c:pt idx="4">
                  <c:v>815.922</c:v>
                </c:pt>
                <c:pt idx="5">
                  <c:v>2927.219</c:v>
                </c:pt>
                <c:pt idx="6">
                  <c:v>11657.858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60-4FE8-88B6-910821F6A1BE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'201810漁海況'!$A$14:$A$20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'201810漁海況'!$D$14:$D$20</c:f>
              <c:numCache>
                <c:formatCode>0_);[Red]\(0\)</c:formatCode>
                <c:ptCount val="7"/>
                <c:pt idx="0">
                  <c:v>34.092</c:v>
                </c:pt>
                <c:pt idx="1">
                  <c:v>58.6284</c:v>
                </c:pt>
                <c:pt idx="2">
                  <c:v>0.2594</c:v>
                </c:pt>
                <c:pt idx="3">
                  <c:v>3337.5876</c:v>
                </c:pt>
                <c:pt idx="4">
                  <c:v>1056.2748</c:v>
                </c:pt>
                <c:pt idx="5">
                  <c:v>2711.8048</c:v>
                </c:pt>
                <c:pt idx="6">
                  <c:v>7198.647000000001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60-4FE8-88B6-910821F6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78576"/>
        <c:axId val="312780896"/>
      </c:barChart>
      <c:catAx>
        <c:axId val="31277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780896"/>
        <c:crosses val="autoZero"/>
        <c:auto val="1"/>
        <c:lblAlgn val="ctr"/>
        <c:lblOffset val="100"/>
        <c:noMultiLvlLbl val="0"/>
      </c:catAx>
      <c:valAx>
        <c:axId val="312780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);[Red]\(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778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5333346167915"/>
          <c:y val="0.472238157730284"/>
          <c:w val="0.0904674354580983"/>
          <c:h val="0.2142929008873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カタクチイワシ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'201810漁海況'!$B$24:$B$30</c:f>
              <c:numCache>
                <c:formatCode>0_);[Red]\(0\)</c:formatCode>
                <c:ptCount val="7"/>
                <c:pt idx="0">
                  <c:v>247.56</c:v>
                </c:pt>
                <c:pt idx="1">
                  <c:v>7.6025</c:v>
                </c:pt>
                <c:pt idx="2">
                  <c:v>7.728</c:v>
                </c:pt>
                <c:pt idx="3">
                  <c:v>5920.425000000001</c:v>
                </c:pt>
                <c:pt idx="4">
                  <c:v>3401.694</c:v>
                </c:pt>
                <c:pt idx="5">
                  <c:v>1177.39</c:v>
                </c:pt>
                <c:pt idx="6">
                  <c:v>10762.3995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75-4B2F-BFB6-35853EDE5D79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'201810漁海況'!$C$24:$C$30</c:f>
              <c:numCache>
                <c:formatCode>0_);[Red]\(0\)</c:formatCode>
                <c:ptCount val="7"/>
                <c:pt idx="0">
                  <c:v>613.98</c:v>
                </c:pt>
                <c:pt idx="1">
                  <c:v>14.04575</c:v>
                </c:pt>
                <c:pt idx="2">
                  <c:v>32.08</c:v>
                </c:pt>
                <c:pt idx="3">
                  <c:v>6857.081</c:v>
                </c:pt>
                <c:pt idx="4">
                  <c:v>2960.262</c:v>
                </c:pt>
                <c:pt idx="5">
                  <c:v>2549.039</c:v>
                </c:pt>
                <c:pt idx="6">
                  <c:v>13026.48775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75-4B2F-BFB6-35853EDE5D79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'201810漁海況'!$A$24:$A$30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'201810漁海況'!$D$24:$D$30</c:f>
              <c:numCache>
                <c:formatCode>0_);[Red]\(0\)</c:formatCode>
                <c:ptCount val="7"/>
                <c:pt idx="0">
                  <c:v>512.9804</c:v>
                </c:pt>
                <c:pt idx="1">
                  <c:v>18.07209</c:v>
                </c:pt>
                <c:pt idx="2">
                  <c:v>34.451</c:v>
                </c:pt>
                <c:pt idx="3">
                  <c:v>6199.5476</c:v>
                </c:pt>
                <c:pt idx="4">
                  <c:v>2514.2868</c:v>
                </c:pt>
                <c:pt idx="5">
                  <c:v>2483.3302</c:v>
                </c:pt>
                <c:pt idx="6">
                  <c:v>11762.66809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75-4B2F-BFB6-35853EDE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810944"/>
        <c:axId val="312813264"/>
      </c:barChart>
      <c:catAx>
        <c:axId val="3128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813264"/>
        <c:crosses val="autoZero"/>
        <c:auto val="1"/>
        <c:lblAlgn val="ctr"/>
        <c:lblOffset val="100"/>
        <c:noMultiLvlLbl val="0"/>
      </c:catAx>
      <c:valAx>
        <c:axId val="312813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);[Red]\(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810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6905618698115"/>
          <c:y val="0.452396262967129"/>
          <c:w val="0.083713079417109"/>
          <c:h val="0.2142929008873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マイワシ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'201810漁海況'!$N$4:$N$10</c:f>
              <c:numCache>
                <c:formatCode>0.0_);[Red]\(0.0\)</c:formatCode>
                <c:ptCount val="7"/>
                <c:pt idx="0">
                  <c:v>0.0</c:v>
                </c:pt>
                <c:pt idx="1">
                  <c:v>0.2965</c:v>
                </c:pt>
                <c:pt idx="2">
                  <c:v>1.072</c:v>
                </c:pt>
                <c:pt idx="3">
                  <c:v>2635.362</c:v>
                </c:pt>
                <c:pt idx="4">
                  <c:v>272.7359999999999</c:v>
                </c:pt>
                <c:pt idx="5">
                  <c:v>786.209</c:v>
                </c:pt>
                <c:pt idx="6">
                  <c:v>3695.6755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06-468C-9D9C-7D3EAA038D8A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'201810漁海況'!$O$4:$O$10</c:f>
              <c:numCache>
                <c:formatCode>0.0_);[Red]\(0.0\)</c:formatCode>
                <c:ptCount val="7"/>
                <c:pt idx="0">
                  <c:v>2.4674</c:v>
                </c:pt>
                <c:pt idx="1">
                  <c:v>0.0593</c:v>
                </c:pt>
                <c:pt idx="2">
                  <c:v>2.556480000000001</c:v>
                </c:pt>
                <c:pt idx="3">
                  <c:v>932.6532</c:v>
                </c:pt>
                <c:pt idx="4">
                  <c:v>343.9548</c:v>
                </c:pt>
                <c:pt idx="5">
                  <c:v>1507.1512</c:v>
                </c:pt>
                <c:pt idx="6">
                  <c:v>2788.84238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06-468C-9D9C-7D3EAA03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839424"/>
        <c:axId val="312841744"/>
      </c:barChart>
      <c:catAx>
        <c:axId val="3128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841744"/>
        <c:crosses val="autoZero"/>
        <c:auto val="1"/>
        <c:lblAlgn val="ctr"/>
        <c:lblOffset val="100"/>
        <c:noMultiLvlLbl val="0"/>
      </c:catAx>
      <c:valAx>
        <c:axId val="312841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839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5348190421151"/>
          <c:y val="0.488204166408333"/>
          <c:w val="0.0848649136747814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ウルメイワシ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'201810漁海況'!$N$14:$N$20</c:f>
              <c:numCache>
                <c:formatCode>0.0_);[Red]\(0.0\)</c:formatCode>
                <c:ptCount val="7"/>
                <c:pt idx="0">
                  <c:v>0.0</c:v>
                </c:pt>
                <c:pt idx="1">
                  <c:v>0.54</c:v>
                </c:pt>
                <c:pt idx="2">
                  <c:v>0.0064</c:v>
                </c:pt>
                <c:pt idx="3">
                  <c:v>9069.141</c:v>
                </c:pt>
                <c:pt idx="4">
                  <c:v>2069.82</c:v>
                </c:pt>
                <c:pt idx="5">
                  <c:v>2981.74</c:v>
                </c:pt>
                <c:pt idx="6">
                  <c:v>14121.2474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75-4EDF-98D1-7F0DFCF3CC6F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'201810漁海況'!$O$14:$O$20</c:f>
              <c:numCache>
                <c:formatCode>0.0_);[Red]\(0.0\)</c:formatCode>
                <c:ptCount val="7"/>
                <c:pt idx="0">
                  <c:v>8.108000000000001</c:v>
                </c:pt>
                <c:pt idx="1">
                  <c:v>0.126</c:v>
                </c:pt>
                <c:pt idx="2">
                  <c:v>0.95008</c:v>
                </c:pt>
                <c:pt idx="3">
                  <c:v>4466.8552</c:v>
                </c:pt>
                <c:pt idx="4">
                  <c:v>2002.446</c:v>
                </c:pt>
                <c:pt idx="5">
                  <c:v>3060.5464</c:v>
                </c:pt>
                <c:pt idx="6">
                  <c:v>9539.03168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75-4EDF-98D1-7F0DFCF3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866704"/>
        <c:axId val="312869024"/>
      </c:barChart>
      <c:catAx>
        <c:axId val="312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869024"/>
        <c:crosses val="autoZero"/>
        <c:auto val="1"/>
        <c:lblAlgn val="ctr"/>
        <c:lblOffset val="100"/>
        <c:noMultiLvlLbl val="0"/>
      </c:catAx>
      <c:valAx>
        <c:axId val="3128690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866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5872793298098"/>
          <c:y val="0.488204166408333"/>
          <c:w val="0.0844775824254845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カタクチイワシ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33862716313"/>
          <c:y val="0.151205806053393"/>
          <c:w val="0.740553405400596"/>
          <c:h val="0.735744427638798"/>
        </c:manualLayout>
      </c:layout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'201810漁海況'!$N$24:$N$30</c:f>
              <c:numCache>
                <c:formatCode>0.0_);[Red]\(0.0\)</c:formatCode>
                <c:ptCount val="7"/>
                <c:pt idx="0">
                  <c:v>851.9</c:v>
                </c:pt>
                <c:pt idx="1">
                  <c:v>27.6745</c:v>
                </c:pt>
                <c:pt idx="2">
                  <c:v>15.264</c:v>
                </c:pt>
                <c:pt idx="3">
                  <c:v>940.275</c:v>
                </c:pt>
                <c:pt idx="4">
                  <c:v>509.814</c:v>
                </c:pt>
                <c:pt idx="5">
                  <c:v>0.0</c:v>
                </c:pt>
                <c:pt idx="6">
                  <c:v>2344.9275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C6-4B37-91E9-9FD42D5B282C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'201810漁海況'!$O$24:$O$30</c:f>
              <c:numCache>
                <c:formatCode>0.0_);[Red]\(0.0\)</c:formatCode>
                <c:ptCount val="7"/>
                <c:pt idx="0">
                  <c:v>388.116</c:v>
                </c:pt>
                <c:pt idx="1">
                  <c:v>14.558344</c:v>
                </c:pt>
                <c:pt idx="2">
                  <c:v>62.87704</c:v>
                </c:pt>
                <c:pt idx="3">
                  <c:v>1918.9255</c:v>
                </c:pt>
                <c:pt idx="4">
                  <c:v>989.5644</c:v>
                </c:pt>
                <c:pt idx="5">
                  <c:v>1788.0914</c:v>
                </c:pt>
                <c:pt idx="6">
                  <c:v>5162.132684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C6-4B37-91E9-9FD42D5B2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913040"/>
        <c:axId val="312915360"/>
      </c:barChart>
      <c:catAx>
        <c:axId val="3129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915360"/>
        <c:crosses val="autoZero"/>
        <c:auto val="1"/>
        <c:lblAlgn val="ctr"/>
        <c:lblOffset val="100"/>
        <c:noMultiLvlLbl val="0"/>
      </c:catAx>
      <c:valAx>
        <c:axId val="312915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9130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0696446357093"/>
          <c:y val="0.496078492156984"/>
          <c:w val="0.0883083081201962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マイワシ</a:t>
            </a:r>
          </a:p>
        </c:rich>
      </c:tx>
      <c:layout>
        <c:manualLayout>
          <c:xMode val="edge"/>
          <c:yMode val="edge"/>
          <c:x val="0.42798912037037"/>
          <c:y val="0.022048611111111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94444444"/>
          <c:y val="0.18166712962963"/>
          <c:w val="0.762663623568793"/>
          <c:h val="0.6016598787220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'201810漁海況'!$W$4:$W$9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'201810漁海況'!$X$4:$X$9</c:f>
              <c:numCache>
                <c:formatCode>0.0_ </c:formatCode>
                <c:ptCount val="6"/>
                <c:pt idx="0">
                  <c:v>667.8934</c:v>
                </c:pt>
                <c:pt idx="1">
                  <c:v>2432.889</c:v>
                </c:pt>
                <c:pt idx="2">
                  <c:v>1311.042</c:v>
                </c:pt>
                <c:pt idx="3">
                  <c:v>5836.712</c:v>
                </c:pt>
                <c:pt idx="4">
                  <c:v>3695.6755</c:v>
                </c:pt>
                <c:pt idx="5">
                  <c:v>2788.84238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31-400A-BB13-D43E3FE9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183200"/>
        <c:axId val="312576688"/>
      </c:barChart>
      <c:catAx>
        <c:axId val="3131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576688"/>
        <c:crosses val="autoZero"/>
        <c:auto val="1"/>
        <c:lblAlgn val="ctr"/>
        <c:lblOffset val="100"/>
        <c:noMultiLvlLbl val="0"/>
      </c:catAx>
      <c:valAx>
        <c:axId val="312576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1832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ウルメイワシ</a:t>
            </a:r>
          </a:p>
        </c:rich>
      </c:tx>
      <c:layout>
        <c:manualLayout>
          <c:xMode val="edge"/>
          <c:yMode val="edge"/>
          <c:x val="0.405333333333333"/>
          <c:y val="0.007662684405828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7"/>
          <c:w val="0.762663623568794"/>
          <c:h val="0.601659878722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'201810漁海況'!$W$14:$W$19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'201810漁海況'!$X$14:$X$19</c:f>
              <c:numCache>
                <c:formatCode>0.0_ </c:formatCode>
                <c:ptCount val="6"/>
                <c:pt idx="0">
                  <c:v>4885.737999999999</c:v>
                </c:pt>
                <c:pt idx="1">
                  <c:v>7237.182000000001</c:v>
                </c:pt>
                <c:pt idx="2">
                  <c:v>5245.876</c:v>
                </c:pt>
                <c:pt idx="3">
                  <c:v>16205.115</c:v>
                </c:pt>
                <c:pt idx="4">
                  <c:v>14121.2474</c:v>
                </c:pt>
                <c:pt idx="5">
                  <c:v>9539.031680000001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F-4C44-8F30-A2B22F22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534864"/>
        <c:axId val="312537184"/>
      </c:barChart>
      <c:catAx>
        <c:axId val="3125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537184"/>
        <c:crosses val="autoZero"/>
        <c:auto val="1"/>
        <c:lblAlgn val="ctr"/>
        <c:lblOffset val="100"/>
        <c:noMultiLvlLbl val="0"/>
      </c:catAx>
      <c:valAx>
        <c:axId val="3125371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5348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94925634296"/>
          <c:y val="0.037037037037037"/>
          <c:w val="0.815238407699038"/>
          <c:h val="0.838364683581219"/>
        </c:manualLayout>
      </c:layout>
      <c:lineChart>
        <c:grouping val="standard"/>
        <c:varyColors val="0"/>
        <c:ser>
          <c:idx val="0"/>
          <c:order val="0"/>
          <c:tx>
            <c:strRef>
              <c:f>マイワシ!$A$210</c:f>
              <c:strCache>
                <c:ptCount val="1"/>
                <c:pt idx="0">
                  <c:v>2017年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マイワシ!$B$184:$M$184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マイワシ!$B$210:$M$210</c:f>
              <c:numCache>
                <c:formatCode>0.0_);[Red]\(0.0\)</c:formatCode>
                <c:ptCount val="12"/>
                <c:pt idx="0">
                  <c:v>64.6305</c:v>
                </c:pt>
                <c:pt idx="1">
                  <c:v>51.064</c:v>
                </c:pt>
                <c:pt idx="2">
                  <c:v>1387.397</c:v>
                </c:pt>
                <c:pt idx="3">
                  <c:v>1149.747</c:v>
                </c:pt>
                <c:pt idx="4">
                  <c:v>62.3355</c:v>
                </c:pt>
                <c:pt idx="5">
                  <c:v>525.793</c:v>
                </c:pt>
                <c:pt idx="6">
                  <c:v>158.235</c:v>
                </c:pt>
                <c:pt idx="7">
                  <c:v>622.9359999999999</c:v>
                </c:pt>
                <c:pt idx="8">
                  <c:v>408.89</c:v>
                </c:pt>
                <c:pt idx="9">
                  <c:v>133.774</c:v>
                </c:pt>
                <c:pt idx="10">
                  <c:v>106.177</c:v>
                </c:pt>
                <c:pt idx="11">
                  <c:v>7.094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6A-45A6-8963-087C47025AD4}"/>
            </c:ext>
          </c:extLst>
        </c:ser>
        <c:ser>
          <c:idx val="1"/>
          <c:order val="1"/>
          <c:tx>
            <c:strRef>
              <c:f>マイワシ!$A$209</c:f>
              <c:strCache>
                <c:ptCount val="1"/>
                <c:pt idx="0">
                  <c:v>2016年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0504D"/>
              </a:solidFill>
              <a:ln>
                <a:solidFill>
                  <a:srgbClr val="996666"/>
                </a:solidFill>
                <a:prstDash val="solid"/>
              </a:ln>
            </c:spPr>
          </c:marker>
          <c:val>
            <c:numRef>
              <c:f>マイワシ!$B$209:$M$209</c:f>
              <c:numCache>
                <c:formatCode>0.0_);[Red]\(0.0\)</c:formatCode>
                <c:ptCount val="12"/>
                <c:pt idx="0">
                  <c:v>514.6560000000001</c:v>
                </c:pt>
                <c:pt idx="1">
                  <c:v>203.705</c:v>
                </c:pt>
                <c:pt idx="2">
                  <c:v>174.561</c:v>
                </c:pt>
                <c:pt idx="3">
                  <c:v>177.067</c:v>
                </c:pt>
                <c:pt idx="4">
                  <c:v>393.968</c:v>
                </c:pt>
                <c:pt idx="5">
                  <c:v>650.351</c:v>
                </c:pt>
                <c:pt idx="6">
                  <c:v>808.672</c:v>
                </c:pt>
                <c:pt idx="7">
                  <c:v>2869.526</c:v>
                </c:pt>
                <c:pt idx="8">
                  <c:v>157.443</c:v>
                </c:pt>
                <c:pt idx="9">
                  <c:v>3877.681</c:v>
                </c:pt>
                <c:pt idx="10">
                  <c:v>1901.08</c:v>
                </c:pt>
                <c:pt idx="11">
                  <c:v>291.504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6A-45A6-8963-087C47025AD4}"/>
            </c:ext>
          </c:extLst>
        </c:ser>
        <c:ser>
          <c:idx val="2"/>
          <c:order val="2"/>
          <c:tx>
            <c:strRef>
              <c:f>マイワシ!$A$212</c:f>
              <c:strCache>
                <c:ptCount val="1"/>
                <c:pt idx="0">
                  <c:v>5年平均</c:v>
                </c:pt>
              </c:strCache>
            </c:strRef>
          </c:tx>
          <c:spPr>
            <a:ln w="25400">
              <a:solidFill>
                <a:srgbClr val="999933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BBB59"/>
              </a:solidFill>
              <a:ln>
                <a:solidFill>
                  <a:srgbClr val="999933"/>
                </a:solidFill>
                <a:prstDash val="solid"/>
              </a:ln>
            </c:spPr>
          </c:marker>
          <c:val>
            <c:numRef>
              <c:f>マイワシ!$B$212:$M$212</c:f>
              <c:numCache>
                <c:formatCode>0.0</c:formatCode>
                <c:ptCount val="12"/>
                <c:pt idx="0">
                  <c:v>595.9745</c:v>
                </c:pt>
                <c:pt idx="1">
                  <c:v>215.9655</c:v>
                </c:pt>
                <c:pt idx="2">
                  <c:v>202.034</c:v>
                </c:pt>
                <c:pt idx="3">
                  <c:v>104.4348</c:v>
                </c:pt>
                <c:pt idx="4">
                  <c:v>447.6486</c:v>
                </c:pt>
                <c:pt idx="5">
                  <c:v>784.1641</c:v>
                </c:pt>
                <c:pt idx="6">
                  <c:v>656.3552</c:v>
                </c:pt>
                <c:pt idx="7">
                  <c:v>1049.97024</c:v>
                </c:pt>
                <c:pt idx="8">
                  <c:v>595.40672</c:v>
                </c:pt>
                <c:pt idx="9">
                  <c:v>1336.2656</c:v>
                </c:pt>
                <c:pt idx="10">
                  <c:v>1128.47148</c:v>
                </c:pt>
                <c:pt idx="11">
                  <c:v>442.2116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6A-45A6-8963-087C4702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059520"/>
        <c:axId val="810144400"/>
      </c:lineChart>
      <c:catAx>
        <c:axId val="8100595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10144400"/>
        <c:crosses val="autoZero"/>
        <c:auto val="1"/>
        <c:lblAlgn val="ctr"/>
        <c:lblOffset val="100"/>
        <c:noMultiLvlLbl val="0"/>
      </c:catAx>
      <c:valAx>
        <c:axId val="810144400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10059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2173228346457"/>
          <c:y val="0.111611009561305"/>
          <c:w val="0.185548240204914"/>
          <c:h val="0.3214398200224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825" b="0" i="0" u="none" strike="noStrike" baseline="0">
              <a:solidFill>
                <a:srgbClr val="424242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E3E3E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カタクチイワシ</a:t>
            </a:r>
          </a:p>
        </c:rich>
      </c:tx>
      <c:layout>
        <c:manualLayout>
          <c:xMode val="edge"/>
          <c:yMode val="edge"/>
          <c:x val="0.405333333333333"/>
          <c:y val="0.007662684405828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8"/>
          <c:w val="0.762663623568794"/>
          <c:h val="0.601659878722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'201810漁海況'!$W$24:$W$29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'201810漁海況'!$X$24:$X$29</c:f>
              <c:numCache>
                <c:formatCode>0.0_ </c:formatCode>
                <c:ptCount val="6"/>
                <c:pt idx="0">
                  <c:v>4967.984919999999</c:v>
                </c:pt>
                <c:pt idx="1">
                  <c:v>7313.152</c:v>
                </c:pt>
                <c:pt idx="2">
                  <c:v>6944.574999999999</c:v>
                </c:pt>
                <c:pt idx="3">
                  <c:v>4240.024</c:v>
                </c:pt>
                <c:pt idx="4">
                  <c:v>2344.9275</c:v>
                </c:pt>
                <c:pt idx="5">
                  <c:v>5162.132683999998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57-4A05-90F3-B97A2547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940992"/>
        <c:axId val="312943312"/>
      </c:barChart>
      <c:catAx>
        <c:axId val="3129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943312"/>
        <c:crosses val="autoZero"/>
        <c:auto val="1"/>
        <c:lblAlgn val="ctr"/>
        <c:lblOffset val="100"/>
        <c:noMultiLvlLbl val="0"/>
      </c:catAx>
      <c:valAx>
        <c:axId val="312943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940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572A7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6AA-48CF-9BF4-70987C6D41FC}"/>
              </c:ext>
            </c:extLst>
          </c:dPt>
          <c:dPt>
            <c:idx val="1"/>
            <c:bubble3D val="0"/>
            <c:spPr>
              <a:solidFill>
                <a:srgbClr val="AA4643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6AA-48CF-9BF4-70987C6D41FC}"/>
              </c:ext>
            </c:extLst>
          </c:dPt>
          <c:dPt>
            <c:idx val="2"/>
            <c:bubble3D val="0"/>
            <c:spPr>
              <a:solidFill>
                <a:srgbClr val="89A54E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6AA-48CF-9BF4-70987C6D41FC}"/>
              </c:ext>
            </c:extLst>
          </c:dPt>
          <c:dPt>
            <c:idx val="3"/>
            <c:bubble3D val="0"/>
            <c:spPr>
              <a:solidFill>
                <a:srgbClr val="71588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6AA-48CF-9BF4-70987C6D41FC}"/>
              </c:ext>
            </c:extLst>
          </c:dPt>
          <c:dPt>
            <c:idx val="4"/>
            <c:bubble3D val="0"/>
            <c:spPr>
              <a:solidFill>
                <a:srgbClr val="4198A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6AA-48CF-9BF4-70987C6D41FC}"/>
              </c:ext>
            </c:extLst>
          </c:dPt>
          <c:dPt>
            <c:idx val="5"/>
            <c:bubble3D val="0"/>
            <c:spPr>
              <a:solidFill>
                <a:srgbClr val="DB843D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6AA-48CF-9BF4-70987C6D41FC}"/>
              </c:ext>
            </c:extLst>
          </c:dPt>
          <c:cat>
            <c:strRef>
              <c:f>'201810漁海況'!$A$4:$A$9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'201810漁海況'!$B$4:$B$9</c:f>
              <c:numCache>
                <c:formatCode>0_ </c:formatCode>
                <c:ptCount val="6"/>
                <c:pt idx="0">
                  <c:v>7.825</c:v>
                </c:pt>
                <c:pt idx="1">
                  <c:v>15.4705</c:v>
                </c:pt>
                <c:pt idx="2">
                  <c:v>0.48</c:v>
                </c:pt>
                <c:pt idx="3">
                  <c:v>1629.456</c:v>
                </c:pt>
                <c:pt idx="4">
                  <c:v>172.008</c:v>
                </c:pt>
                <c:pt idx="5">
                  <c:v>693.8069999999999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6AA-48CF-9BF4-70987C6D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00266132404563"/>
          <c:y val="0.477767648915018"/>
          <c:w val="0.138647713283627"/>
          <c:h val="0.5217571815380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7599884259259"/>
          <c:y val="0.136030902777778"/>
          <c:w val="0.762161111111111"/>
          <c:h val="0.755543402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'201810漁海況'!$B$3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'201810漁海況'!$A$4:$A$9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'201810漁海況'!$B$4:$B$9</c:f>
              <c:numCache>
                <c:formatCode>0_ </c:formatCode>
                <c:ptCount val="6"/>
                <c:pt idx="0">
                  <c:v>7.825</c:v>
                </c:pt>
                <c:pt idx="1">
                  <c:v>15.4705</c:v>
                </c:pt>
                <c:pt idx="2">
                  <c:v>0.48</c:v>
                </c:pt>
                <c:pt idx="3">
                  <c:v>1629.456</c:v>
                </c:pt>
                <c:pt idx="4">
                  <c:v>172.008</c:v>
                </c:pt>
                <c:pt idx="5">
                  <c:v>693.8069999999999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1E-467E-8329-22D956179B6E}"/>
            </c:ext>
          </c:extLst>
        </c:ser>
        <c:ser>
          <c:idx val="1"/>
          <c:order val="1"/>
          <c:tx>
            <c:strRef>
              <c:f>'201810漁海況'!$C$3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ysClr val="windowText" lastClr="000000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'201810漁海況'!$A$4:$A$9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'201810漁海況'!$C$4:$C$9</c:f>
              <c:numCache>
                <c:formatCode>0_ </c:formatCode>
                <c:ptCount val="6"/>
                <c:pt idx="0">
                  <c:v>191.075</c:v>
                </c:pt>
                <c:pt idx="1">
                  <c:v>12.143</c:v>
                </c:pt>
                <c:pt idx="2">
                  <c:v>0.0</c:v>
                </c:pt>
                <c:pt idx="3">
                  <c:v>2440.687</c:v>
                </c:pt>
                <c:pt idx="4">
                  <c:v>88.902</c:v>
                </c:pt>
                <c:pt idx="5">
                  <c:v>2166.777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1E-467E-8329-22D956179B6E}"/>
            </c:ext>
          </c:extLst>
        </c:ser>
        <c:ser>
          <c:idx val="2"/>
          <c:order val="2"/>
          <c:tx>
            <c:strRef>
              <c:f>'201810漁海況'!$D$3</c:f>
              <c:strCache>
                <c:ptCount val="1"/>
                <c:pt idx="0">
                  <c:v>平年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ysClr val="window" lastClr="FFFFFF"/>
              </a:bgClr>
            </a:patt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'201810漁海況'!$A$4:$A$9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'201810漁海況'!$D$4:$D$9</c:f>
              <c:numCache>
                <c:formatCode>0_ </c:formatCode>
                <c:ptCount val="6"/>
                <c:pt idx="0">
                  <c:v>52.40579999999998</c:v>
                </c:pt>
                <c:pt idx="1">
                  <c:v>65.28479999999998</c:v>
                </c:pt>
                <c:pt idx="2">
                  <c:v>0.2976</c:v>
                </c:pt>
                <c:pt idx="3">
                  <c:v>881.53</c:v>
                </c:pt>
                <c:pt idx="4">
                  <c:v>412.8192</c:v>
                </c:pt>
                <c:pt idx="5">
                  <c:v>1897.2106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1E-467E-8329-22D95617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2481488"/>
        <c:axId val="312483808"/>
      </c:barChart>
      <c:catAx>
        <c:axId val="31248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="1" baseline="0"/>
            </a:pPr>
            <a:endParaRPr lang="en-US"/>
          </a:p>
        </c:txPr>
        <c:crossAx val="312483808"/>
        <c:crosses val="autoZero"/>
        <c:auto val="1"/>
        <c:lblAlgn val="ctr"/>
        <c:lblOffset val="10"/>
        <c:noMultiLvlLbl val="0"/>
      </c:catAx>
      <c:valAx>
        <c:axId val="31248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 sz="2400" baseline="0"/>
                </a:pPr>
                <a:r>
                  <a:rPr lang="ja-JP" altLang="ja-JP" sz="2400" b="1" i="0" baseline="0">
                    <a:effectLst/>
                  </a:rPr>
                  <a:t>漁獲量（トン）</a:t>
                </a:r>
                <a:endParaRPr lang="ja-JP" altLang="ja-JP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0621875"/>
              <c:y val="0.300036631944445"/>
            </c:manualLayout>
          </c:layout>
          <c:overlay val="0"/>
        </c:title>
        <c:numFmt formatCode="#,##0_);[Red]\(#,##0\)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aseline="0"/>
            </a:pPr>
            <a:endParaRPr lang="en-US"/>
          </a:p>
        </c:txPr>
        <c:crossAx val="312481488"/>
        <c:crosses val="autoZero"/>
        <c:crossBetween val="between"/>
        <c:majorUnit val="1000.0"/>
        <c:minorUnit val="500.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ayout>
        <c:manualLayout>
          <c:xMode val="edge"/>
          <c:yMode val="edge"/>
          <c:x val="0.188633912037037"/>
          <c:y val="0.150534027777778"/>
          <c:w val="0.205764236111111"/>
          <c:h val="0.197083159722222"/>
        </c:manualLayout>
      </c:layout>
      <c:overlay val="0"/>
      <c:spPr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lang="ja-JP" sz="2200" b="1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7599884259259"/>
          <c:y val="0.136030902777778"/>
          <c:w val="0.762161111111111"/>
          <c:h val="0.755543402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'201810漁海況'!$B$13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'201810漁海況'!$A$14:$A$19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'201810漁海況'!$B$14:$B$19</c:f>
              <c:numCache>
                <c:formatCode>0_);[Red]\(0\)</c:formatCode>
                <c:ptCount val="6"/>
                <c:pt idx="0">
                  <c:v>13.74</c:v>
                </c:pt>
                <c:pt idx="1">
                  <c:v>6.81</c:v>
                </c:pt>
                <c:pt idx="2">
                  <c:v>0.032</c:v>
                </c:pt>
                <c:pt idx="3">
                  <c:v>3313.623000000001</c:v>
                </c:pt>
                <c:pt idx="4">
                  <c:v>349.902</c:v>
                </c:pt>
                <c:pt idx="5">
                  <c:v>1741.109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1E-467E-8329-22D956179B6E}"/>
            </c:ext>
          </c:extLst>
        </c:ser>
        <c:ser>
          <c:idx val="1"/>
          <c:order val="1"/>
          <c:tx>
            <c:strRef>
              <c:f>'201810漁海況'!$C$13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ysClr val="windowText" lastClr="000000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'201810漁海況'!$A$14:$A$19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'201810漁海況'!$C$14:$C$19</c:f>
              <c:numCache>
                <c:formatCode>0_);[Red]\(0\)</c:formatCode>
                <c:ptCount val="6"/>
                <c:pt idx="0">
                  <c:v>33.98</c:v>
                </c:pt>
                <c:pt idx="1">
                  <c:v>64.86</c:v>
                </c:pt>
                <c:pt idx="2">
                  <c:v>0.337</c:v>
                </c:pt>
                <c:pt idx="3">
                  <c:v>7815.54</c:v>
                </c:pt>
                <c:pt idx="4">
                  <c:v>815.922</c:v>
                </c:pt>
                <c:pt idx="5">
                  <c:v>2927.219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1E-467E-8329-22D956179B6E}"/>
            </c:ext>
          </c:extLst>
        </c:ser>
        <c:ser>
          <c:idx val="2"/>
          <c:order val="2"/>
          <c:tx>
            <c:strRef>
              <c:f>'201810漁海況'!$D$13</c:f>
              <c:strCache>
                <c:ptCount val="1"/>
                <c:pt idx="0">
                  <c:v>平年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ysClr val="window" lastClr="FFFFFF"/>
              </a:bgClr>
            </a:patt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'201810漁海況'!$A$14:$A$19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'201810漁海況'!$D$14:$D$19</c:f>
              <c:numCache>
                <c:formatCode>0_);[Red]\(0\)</c:formatCode>
                <c:ptCount val="6"/>
                <c:pt idx="0">
                  <c:v>34.092</c:v>
                </c:pt>
                <c:pt idx="1">
                  <c:v>58.6284</c:v>
                </c:pt>
                <c:pt idx="2">
                  <c:v>0.2594</c:v>
                </c:pt>
                <c:pt idx="3">
                  <c:v>3337.5876</c:v>
                </c:pt>
                <c:pt idx="4">
                  <c:v>1056.2748</c:v>
                </c:pt>
                <c:pt idx="5">
                  <c:v>2711.8048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1E-467E-8329-22D95617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2948480"/>
        <c:axId val="312950528"/>
      </c:barChart>
      <c:catAx>
        <c:axId val="31294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="1" baseline="0"/>
            </a:pPr>
            <a:endParaRPr lang="en-US"/>
          </a:p>
        </c:txPr>
        <c:crossAx val="312950528"/>
        <c:crosses val="autoZero"/>
        <c:auto val="1"/>
        <c:lblAlgn val="ctr"/>
        <c:lblOffset val="10"/>
        <c:noMultiLvlLbl val="0"/>
      </c:catAx>
      <c:valAx>
        <c:axId val="31295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 sz="2400" baseline="0"/>
                </a:pPr>
                <a:r>
                  <a:rPr lang="ja-JP" altLang="ja-JP" sz="2400" b="1" i="0" baseline="0">
                    <a:effectLst/>
                  </a:rPr>
                  <a:t>漁獲量（トン）</a:t>
                </a:r>
                <a:endParaRPr lang="ja-JP" altLang="ja-JP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0621875"/>
              <c:y val="0.300036631944445"/>
            </c:manualLayout>
          </c:layout>
          <c:overlay val="0"/>
        </c:title>
        <c:numFmt formatCode="#,##0_);[Red]\(#,##0\)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aseline="0"/>
            </a:pPr>
            <a:endParaRPr lang="en-US"/>
          </a:p>
        </c:txPr>
        <c:crossAx val="312948480"/>
        <c:crosses val="autoZero"/>
        <c:crossBetween val="between"/>
        <c:majorUnit val="2000.0"/>
        <c:minorUnit val="1000.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ayout>
        <c:manualLayout>
          <c:xMode val="edge"/>
          <c:yMode val="edge"/>
          <c:x val="0.188633912037037"/>
          <c:y val="0.150534027777778"/>
          <c:w val="0.205764236111111"/>
          <c:h val="0.197083159722222"/>
        </c:manualLayout>
      </c:layout>
      <c:overlay val="0"/>
      <c:spPr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lang="ja-JP" sz="2200" b="1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7599884259259"/>
          <c:y val="0.136030902777778"/>
          <c:w val="0.762161111111111"/>
          <c:h val="0.755543402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'201810漁海況'!$B$23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'201810漁海況'!$A$24:$A$29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'201810漁海況'!$B$24:$B$29</c:f>
              <c:numCache>
                <c:formatCode>0_);[Red]\(0\)</c:formatCode>
                <c:ptCount val="6"/>
                <c:pt idx="0">
                  <c:v>247.56</c:v>
                </c:pt>
                <c:pt idx="1">
                  <c:v>7.6025</c:v>
                </c:pt>
                <c:pt idx="2">
                  <c:v>7.728</c:v>
                </c:pt>
                <c:pt idx="3">
                  <c:v>5920.425000000001</c:v>
                </c:pt>
                <c:pt idx="4">
                  <c:v>3401.694</c:v>
                </c:pt>
                <c:pt idx="5">
                  <c:v>1177.39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1E-467E-8329-22D956179B6E}"/>
            </c:ext>
          </c:extLst>
        </c:ser>
        <c:ser>
          <c:idx val="1"/>
          <c:order val="1"/>
          <c:tx>
            <c:strRef>
              <c:f>'201810漁海況'!$C$23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ysClr val="windowText" lastClr="000000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'201810漁海況'!$A$24:$A$29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'201810漁海況'!$C$24:$C$29</c:f>
              <c:numCache>
                <c:formatCode>0_);[Red]\(0\)</c:formatCode>
                <c:ptCount val="6"/>
                <c:pt idx="0">
                  <c:v>613.98</c:v>
                </c:pt>
                <c:pt idx="1">
                  <c:v>14.04575</c:v>
                </c:pt>
                <c:pt idx="2">
                  <c:v>32.08</c:v>
                </c:pt>
                <c:pt idx="3">
                  <c:v>6857.081</c:v>
                </c:pt>
                <c:pt idx="4">
                  <c:v>2960.262</c:v>
                </c:pt>
                <c:pt idx="5">
                  <c:v>2549.039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1E-467E-8329-22D956179B6E}"/>
            </c:ext>
          </c:extLst>
        </c:ser>
        <c:ser>
          <c:idx val="2"/>
          <c:order val="2"/>
          <c:tx>
            <c:strRef>
              <c:f>'201810漁海況'!$D$23</c:f>
              <c:strCache>
                <c:ptCount val="1"/>
                <c:pt idx="0">
                  <c:v>平年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ysClr val="window" lastClr="FFFFFF"/>
              </a:bgClr>
            </a:patt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'201810漁海況'!$A$24:$A$29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'201810漁海況'!$D$24:$D$29</c:f>
              <c:numCache>
                <c:formatCode>0_);[Red]\(0\)</c:formatCode>
                <c:ptCount val="6"/>
                <c:pt idx="0">
                  <c:v>512.9804</c:v>
                </c:pt>
                <c:pt idx="1">
                  <c:v>18.07209</c:v>
                </c:pt>
                <c:pt idx="2">
                  <c:v>34.451</c:v>
                </c:pt>
                <c:pt idx="3">
                  <c:v>6199.5476</c:v>
                </c:pt>
                <c:pt idx="4">
                  <c:v>2514.2868</c:v>
                </c:pt>
                <c:pt idx="5">
                  <c:v>2483.3302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1E-467E-8329-22D95617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2989776"/>
        <c:axId val="312992096"/>
      </c:barChart>
      <c:catAx>
        <c:axId val="3129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="1" baseline="0"/>
            </a:pPr>
            <a:endParaRPr lang="en-US"/>
          </a:p>
        </c:txPr>
        <c:crossAx val="312992096"/>
        <c:crosses val="autoZero"/>
        <c:auto val="1"/>
        <c:lblAlgn val="ctr"/>
        <c:lblOffset val="10"/>
        <c:noMultiLvlLbl val="0"/>
      </c:catAx>
      <c:valAx>
        <c:axId val="31299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 sz="2400" baseline="0"/>
                </a:pPr>
                <a:r>
                  <a:rPr lang="ja-JP" altLang="ja-JP" sz="2400" b="1" i="0" baseline="0">
                    <a:effectLst/>
                  </a:rPr>
                  <a:t>漁獲量（トン）</a:t>
                </a:r>
                <a:endParaRPr lang="ja-JP" altLang="ja-JP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0621875"/>
              <c:y val="0.300036631944445"/>
            </c:manualLayout>
          </c:layout>
          <c:overlay val="0"/>
        </c:title>
        <c:numFmt formatCode="#,##0_);[Red]\(#,##0\)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aseline="0"/>
            </a:pPr>
            <a:endParaRPr lang="en-US"/>
          </a:p>
        </c:txPr>
        <c:crossAx val="312989776"/>
        <c:crosses val="autoZero"/>
        <c:crossBetween val="between"/>
        <c:majorUnit val="2000.0"/>
        <c:minorUnit val="1000.0"/>
      </c:valAx>
      <c:spPr>
        <a:ln w="19050">
          <a:solidFill>
            <a:sysClr val="windowText" lastClr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ayout>
        <c:manualLayout>
          <c:xMode val="edge"/>
          <c:yMode val="edge"/>
          <c:x val="0.188633912037037"/>
          <c:y val="0.150534027777778"/>
          <c:w val="0.205764236111111"/>
          <c:h val="0.197083159722222"/>
        </c:manualLayout>
      </c:layout>
      <c:overlay val="0"/>
      <c:spPr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lang="ja-JP" sz="2200" b="1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マ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イ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'201803漁海況'!$A$4:$A$10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'201803漁海況'!$B$4:$B$10</c:f>
              <c:numCache>
                <c:formatCode>0_ 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0.464</c:v>
                </c:pt>
                <c:pt idx="3">
                  <c:v>5.004</c:v>
                </c:pt>
                <c:pt idx="4">
                  <c:v>0.954</c:v>
                </c:pt>
                <c:pt idx="5">
                  <c:v>109.742</c:v>
                </c:pt>
                <c:pt idx="6">
                  <c:v>116.164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20-4AC4-81D1-0C5CAC864FB1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'201803漁海況'!$A$4:$A$10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'201803漁海況'!$C$4:$C$10</c:f>
              <c:numCache>
                <c:formatCode>0_ </c:formatCode>
                <c:ptCount val="7"/>
                <c:pt idx="0">
                  <c:v>0.0</c:v>
                </c:pt>
                <c:pt idx="1">
                  <c:v>0.2965</c:v>
                </c:pt>
                <c:pt idx="2">
                  <c:v>0.512</c:v>
                </c:pt>
                <c:pt idx="3">
                  <c:v>1332.432</c:v>
                </c:pt>
                <c:pt idx="4">
                  <c:v>266.652</c:v>
                </c:pt>
                <c:pt idx="5">
                  <c:v>657.322</c:v>
                </c:pt>
                <c:pt idx="6">
                  <c:v>2257.2145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20-4AC4-81D1-0C5CAC864FB1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'201803漁海況'!$A$4:$A$10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'201803漁海況'!$D$4:$D$10</c:f>
              <c:numCache>
                <c:formatCode>0_ </c:formatCode>
                <c:ptCount val="7"/>
                <c:pt idx="0">
                  <c:v>1.6524</c:v>
                </c:pt>
                <c:pt idx="1">
                  <c:v>0.0593</c:v>
                </c:pt>
                <c:pt idx="2">
                  <c:v>0.97888</c:v>
                </c:pt>
                <c:pt idx="3">
                  <c:v>548.3844</c:v>
                </c:pt>
                <c:pt idx="4">
                  <c:v>252.3636</c:v>
                </c:pt>
                <c:pt idx="5">
                  <c:v>1316.7328</c:v>
                </c:pt>
                <c:pt idx="6">
                  <c:v>2120.17138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20-4AC4-81D1-0C5CAC86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496800"/>
        <c:axId val="312498848"/>
      </c:barChart>
      <c:catAx>
        <c:axId val="31249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498848"/>
        <c:crosses val="autoZero"/>
        <c:auto val="1"/>
        <c:lblAlgn val="ctr"/>
        <c:lblOffset val="100"/>
        <c:noMultiLvlLbl val="0"/>
      </c:catAx>
      <c:valAx>
        <c:axId val="312498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24968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7478385054809"/>
          <c:y val="0.448832847665695"/>
          <c:w val="0.0906891693685347"/>
          <c:h val="0.212604935209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ウル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メ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'201803漁海況'!$A$14:$A$20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'201803漁海況'!$B$14:$B$20</c:f>
              <c:numCache>
                <c:formatCode>0_);[Red]\(0\)</c:formatCode>
                <c:ptCount val="7"/>
                <c:pt idx="0">
                  <c:v>0.0</c:v>
                </c:pt>
                <c:pt idx="1">
                  <c:v>0.03</c:v>
                </c:pt>
                <c:pt idx="2">
                  <c:v>4.272</c:v>
                </c:pt>
                <c:pt idx="3">
                  <c:v>2387.721</c:v>
                </c:pt>
                <c:pt idx="4">
                  <c:v>529.254</c:v>
                </c:pt>
                <c:pt idx="5">
                  <c:v>1910.709</c:v>
                </c:pt>
                <c:pt idx="6">
                  <c:v>4831.986000000001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F2-435F-8A65-DB32F71C441C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'201803漁海況'!$A$14:$A$20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'201803漁海況'!$C$14:$C$20</c:f>
              <c:numCache>
                <c:formatCode>0_);[Red]\(0\)</c:formatCode>
                <c:ptCount val="7"/>
                <c:pt idx="0">
                  <c:v>0.0</c:v>
                </c:pt>
                <c:pt idx="1">
                  <c:v>0.54</c:v>
                </c:pt>
                <c:pt idx="2">
                  <c:v>0.0</c:v>
                </c:pt>
                <c:pt idx="3">
                  <c:v>6765.36</c:v>
                </c:pt>
                <c:pt idx="4">
                  <c:v>1057.41</c:v>
                </c:pt>
                <c:pt idx="5">
                  <c:v>1922.396</c:v>
                </c:pt>
                <c:pt idx="6">
                  <c:v>9745.706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F2-435F-8A65-DB32F71C441C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'201803漁海況'!$A$14:$A$20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'201803漁海況'!$D$14:$D$20</c:f>
              <c:numCache>
                <c:formatCode>0_);[Red]\(0\)</c:formatCode>
                <c:ptCount val="7"/>
                <c:pt idx="0">
                  <c:v>8.108000000000001</c:v>
                </c:pt>
                <c:pt idx="1">
                  <c:v>0.126</c:v>
                </c:pt>
                <c:pt idx="2">
                  <c:v>0.408</c:v>
                </c:pt>
                <c:pt idx="3">
                  <c:v>3220.8232</c:v>
                </c:pt>
                <c:pt idx="4">
                  <c:v>1112.3856</c:v>
                </c:pt>
                <c:pt idx="5">
                  <c:v>2338.4042</c:v>
                </c:pt>
                <c:pt idx="6">
                  <c:v>6680.255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F2-435F-8A65-DB32F71C4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27600"/>
        <c:axId val="313329648"/>
      </c:barChart>
      <c:catAx>
        <c:axId val="3133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329648"/>
        <c:crosses val="autoZero"/>
        <c:auto val="1"/>
        <c:lblAlgn val="ctr"/>
        <c:lblOffset val="100"/>
        <c:noMultiLvlLbl val="0"/>
      </c:catAx>
      <c:valAx>
        <c:axId val="313329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);[Red]\(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3276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7778526461698"/>
          <c:y val="0.46826990376203"/>
          <c:w val="0.0904674354580983"/>
          <c:h val="0.2142929008873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カ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タ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クチイワシ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'201803漁海況'!$A$24:$A$30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'201803漁海況'!$B$24:$B$30</c:f>
              <c:numCache>
                <c:formatCode>0_);[Red]\(0\)</c:formatCode>
                <c:ptCount val="7"/>
                <c:pt idx="0">
                  <c:v>353.36</c:v>
                </c:pt>
                <c:pt idx="1">
                  <c:v>20.344</c:v>
                </c:pt>
                <c:pt idx="2">
                  <c:v>15.056</c:v>
                </c:pt>
                <c:pt idx="3">
                  <c:v>424.755</c:v>
                </c:pt>
                <c:pt idx="4">
                  <c:v>256.77</c:v>
                </c:pt>
                <c:pt idx="5">
                  <c:v>0.0</c:v>
                </c:pt>
                <c:pt idx="6">
                  <c:v>1070.285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5D-4F3F-AD0D-5E535199EF24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'201803漁海況'!$A$24:$A$30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'201803漁海況'!$C$24:$C$30</c:f>
              <c:numCache>
                <c:formatCode>0_);[Red]\(0\)</c:formatCode>
                <c:ptCount val="7"/>
                <c:pt idx="0">
                  <c:v>137.4</c:v>
                </c:pt>
                <c:pt idx="1">
                  <c:v>2.937</c:v>
                </c:pt>
                <c:pt idx="2">
                  <c:v>56.4</c:v>
                </c:pt>
                <c:pt idx="3">
                  <c:v>660.4590000000001</c:v>
                </c:pt>
                <c:pt idx="4">
                  <c:v>107.244</c:v>
                </c:pt>
                <c:pt idx="5">
                  <c:v>498.01</c:v>
                </c:pt>
                <c:pt idx="6">
                  <c:v>1462.45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5D-4F3F-AD0D-5E535199EF24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'201803漁海況'!$A$24:$A$30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'201803漁海況'!$D$24:$D$30</c:f>
              <c:numCache>
                <c:formatCode>0_);[Red]\(0\)</c:formatCode>
                <c:ptCount val="7"/>
                <c:pt idx="0">
                  <c:v>169.944</c:v>
                </c:pt>
                <c:pt idx="1">
                  <c:v>11.4359</c:v>
                </c:pt>
                <c:pt idx="2">
                  <c:v>36.66424</c:v>
                </c:pt>
                <c:pt idx="3">
                  <c:v>864.4492</c:v>
                </c:pt>
                <c:pt idx="4">
                  <c:v>548.082</c:v>
                </c:pt>
                <c:pt idx="5">
                  <c:v>1264.2238</c:v>
                </c:pt>
                <c:pt idx="6">
                  <c:v>2894.79914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5D-4F3F-AD0D-5E535199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761792"/>
        <c:axId val="559764112"/>
      </c:barChart>
      <c:catAx>
        <c:axId val="5597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764112"/>
        <c:crosses val="autoZero"/>
        <c:auto val="1"/>
        <c:lblAlgn val="ctr"/>
        <c:lblOffset val="100"/>
        <c:noMultiLvlLbl val="0"/>
      </c:catAx>
      <c:valAx>
        <c:axId val="559764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);[Red]\(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7617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6905618698115"/>
          <c:y val="0.448427696537933"/>
          <c:w val="0.083713079417109"/>
          <c:h val="0.2142929008873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マイワシ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'201803漁海況'!$A$4:$A$10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'201803漁海況'!$N$4:$N$10</c:f>
              <c:numCache>
                <c:formatCode>0.0_);[Red]\(0.0\)</c:formatCode>
                <c:ptCount val="7"/>
                <c:pt idx="0">
                  <c:v>14.915</c:v>
                </c:pt>
                <c:pt idx="1">
                  <c:v>15.4705</c:v>
                </c:pt>
                <c:pt idx="2">
                  <c:v>0.48</c:v>
                </c:pt>
                <c:pt idx="3">
                  <c:v>1820.836</c:v>
                </c:pt>
                <c:pt idx="4">
                  <c:v>172.008</c:v>
                </c:pt>
                <c:pt idx="5">
                  <c:v>904.2269999999999</c:v>
                </c:pt>
                <c:pt idx="6">
                  <c:v>2927.9365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BB-4401-83C7-8F28B7E12CA0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'201803漁海況'!$A$4:$A$10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'201803漁海況'!$O$4:$O$10</c:f>
              <c:numCache>
                <c:formatCode>0.0_);[Red]\(0.0\)</c:formatCode>
                <c:ptCount val="7"/>
                <c:pt idx="0">
                  <c:v>57.7998</c:v>
                </c:pt>
                <c:pt idx="1">
                  <c:v>67.93680000000001</c:v>
                </c:pt>
                <c:pt idx="2">
                  <c:v>0.3008</c:v>
                </c:pt>
                <c:pt idx="3">
                  <c:v>1065.1908</c:v>
                </c:pt>
                <c:pt idx="4">
                  <c:v>439.812</c:v>
                </c:pt>
                <c:pt idx="5">
                  <c:v>2326.8342</c:v>
                </c:pt>
                <c:pt idx="6">
                  <c:v>3957.8744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BB-4401-83C7-8F28B7E1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790272"/>
        <c:axId val="559792592"/>
      </c:barChart>
      <c:catAx>
        <c:axId val="5597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792592"/>
        <c:crosses val="autoZero"/>
        <c:auto val="1"/>
        <c:lblAlgn val="ctr"/>
        <c:lblOffset val="100"/>
        <c:noMultiLvlLbl val="0"/>
      </c:catAx>
      <c:valAx>
        <c:axId val="559792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7902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5348190421151"/>
          <c:y val="0.484267158534317"/>
          <c:w val="0.0848649136747814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ウルメイワシ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'201803漁海況'!$A$14:$A$20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'201803漁海況'!$N$14:$N$20</c:f>
              <c:numCache>
                <c:formatCode>0.0_);[Red]\(0.0\)</c:formatCode>
                <c:ptCount val="7"/>
                <c:pt idx="0">
                  <c:v>24.9</c:v>
                </c:pt>
                <c:pt idx="1">
                  <c:v>6.915</c:v>
                </c:pt>
                <c:pt idx="2">
                  <c:v>1.009</c:v>
                </c:pt>
                <c:pt idx="3">
                  <c:v>4649.685</c:v>
                </c:pt>
                <c:pt idx="4">
                  <c:v>598.626</c:v>
                </c:pt>
                <c:pt idx="5">
                  <c:v>2362.378</c:v>
                </c:pt>
                <c:pt idx="6">
                  <c:v>7643.513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DD-4A31-9F67-5E0AF1B1ACD8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'201803漁海況'!$A$14:$A$20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'201803漁海況'!$O$14:$O$20</c:f>
              <c:numCache>
                <c:formatCode>0.0_);[Red]\(0.0\)</c:formatCode>
                <c:ptCount val="7"/>
                <c:pt idx="0">
                  <c:v>122.324</c:v>
                </c:pt>
                <c:pt idx="1">
                  <c:v>58.6884</c:v>
                </c:pt>
                <c:pt idx="2">
                  <c:v>0.4708</c:v>
                </c:pt>
                <c:pt idx="3">
                  <c:v>4278.1494</c:v>
                </c:pt>
                <c:pt idx="4">
                  <c:v>1188.2256</c:v>
                </c:pt>
                <c:pt idx="5">
                  <c:v>3292.5426</c:v>
                </c:pt>
                <c:pt idx="6">
                  <c:v>8940.400799999999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DD-4A31-9F67-5E0AF1B1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17712"/>
        <c:axId val="559820032"/>
      </c:barChart>
      <c:catAx>
        <c:axId val="5598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820032"/>
        <c:crosses val="autoZero"/>
        <c:auto val="1"/>
        <c:lblAlgn val="ctr"/>
        <c:lblOffset val="100"/>
        <c:noMultiLvlLbl val="0"/>
      </c:catAx>
      <c:valAx>
        <c:axId val="559820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8177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5872793298098"/>
          <c:y val="0.484267158534317"/>
          <c:w val="0.0844775824254845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rPr>
              <a:t>長</a:t>
            </a:r>
            <a:r>
              <a:rPr lang="ja-JP" altLang="en-US" sz="12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rPr>
              <a:t>崎県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カタクチイワシ!$A$116</c:f>
              <c:strCache>
                <c:ptCount val="1"/>
                <c:pt idx="0">
                  <c:v>2013年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カタクチイワシ!$B$116:$M$116</c:f>
              <c:numCache>
                <c:formatCode>#,##0.0</c:formatCode>
                <c:ptCount val="12"/>
                <c:pt idx="0">
                  <c:v>174.525</c:v>
                </c:pt>
                <c:pt idx="1">
                  <c:v>108.705</c:v>
                </c:pt>
                <c:pt idx="2">
                  <c:v>474.312</c:v>
                </c:pt>
                <c:pt idx="3">
                  <c:v>861.987</c:v>
                </c:pt>
                <c:pt idx="4">
                  <c:v>1431.132</c:v>
                </c:pt>
                <c:pt idx="5">
                  <c:v>2008.227</c:v>
                </c:pt>
                <c:pt idx="6">
                  <c:v>842.094</c:v>
                </c:pt>
                <c:pt idx="7">
                  <c:v>359.04</c:v>
                </c:pt>
                <c:pt idx="8">
                  <c:v>3.15</c:v>
                </c:pt>
                <c:pt idx="9">
                  <c:v>347.2695</c:v>
                </c:pt>
                <c:pt idx="10">
                  <c:v>276.4</c:v>
                </c:pt>
                <c:pt idx="11">
                  <c:v>222.195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8C-4EDE-940B-AD076E908FFF}"/>
            </c:ext>
          </c:extLst>
        </c:ser>
        <c:ser>
          <c:idx val="1"/>
          <c:order val="1"/>
          <c:tx>
            <c:strRef>
              <c:f>カタクチイワシ!$A$117</c:f>
              <c:strCache>
                <c:ptCount val="1"/>
                <c:pt idx="0">
                  <c:v>2014年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val>
            <c:numRef>
              <c:f>カタクチイワシ!$B$117:$M$117</c:f>
              <c:numCache>
                <c:formatCode>#,##0.0</c:formatCode>
                <c:ptCount val="12"/>
                <c:pt idx="0">
                  <c:v>1129.23</c:v>
                </c:pt>
                <c:pt idx="1">
                  <c:v>1229.733</c:v>
                </c:pt>
                <c:pt idx="2">
                  <c:v>853.6170000000001</c:v>
                </c:pt>
                <c:pt idx="3">
                  <c:v>1776.552</c:v>
                </c:pt>
                <c:pt idx="4">
                  <c:v>840.258</c:v>
                </c:pt>
                <c:pt idx="5">
                  <c:v>1912.407</c:v>
                </c:pt>
                <c:pt idx="6">
                  <c:v>1937.376</c:v>
                </c:pt>
                <c:pt idx="7">
                  <c:v>1111.119</c:v>
                </c:pt>
                <c:pt idx="8">
                  <c:v>1754.64</c:v>
                </c:pt>
                <c:pt idx="9">
                  <c:v>259.105</c:v>
                </c:pt>
                <c:pt idx="10">
                  <c:v>154.225</c:v>
                </c:pt>
                <c:pt idx="11">
                  <c:v>180.924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8C-4EDE-940B-AD076E908FFF}"/>
            </c:ext>
          </c:extLst>
        </c:ser>
        <c:ser>
          <c:idx val="2"/>
          <c:order val="2"/>
          <c:tx>
            <c:strRef>
              <c:f>カタクチイワシ!$A$118</c:f>
              <c:strCache>
                <c:ptCount val="1"/>
                <c:pt idx="0">
                  <c:v>2015年</c:v>
                </c:pt>
              </c:strCache>
            </c:strRef>
          </c:tx>
          <c:spPr>
            <a:ln w="25400">
              <a:solidFill>
                <a:srgbClr val="999933"/>
              </a:solidFill>
              <a:prstDash val="solid"/>
            </a:ln>
          </c:spPr>
          <c:marker>
            <c:symbol val="none"/>
          </c:marker>
          <c:val>
            <c:numRef>
              <c:f>カタクチイワシ!$B$118:$M$118</c:f>
              <c:numCache>
                <c:formatCode>#,##0.0</c:formatCode>
                <c:ptCount val="12"/>
                <c:pt idx="0">
                  <c:v>222.607</c:v>
                </c:pt>
                <c:pt idx="1">
                  <c:v>145.97</c:v>
                </c:pt>
                <c:pt idx="2">
                  <c:v>448.572</c:v>
                </c:pt>
                <c:pt idx="3">
                  <c:v>517.604</c:v>
                </c:pt>
                <c:pt idx="4">
                  <c:v>1179.12</c:v>
                </c:pt>
                <c:pt idx="5">
                  <c:v>803.5029999999999</c:v>
                </c:pt>
                <c:pt idx="6">
                  <c:v>1618.635</c:v>
                </c:pt>
                <c:pt idx="7">
                  <c:v>843.3000000000001</c:v>
                </c:pt>
                <c:pt idx="8">
                  <c:v>701.3339999999999</c:v>
                </c:pt>
                <c:pt idx="9">
                  <c:v>1651.929</c:v>
                </c:pt>
                <c:pt idx="10">
                  <c:v>665.1960000000001</c:v>
                </c:pt>
                <c:pt idx="11">
                  <c:v>264.95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8C-4EDE-940B-AD076E90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73696"/>
        <c:axId val="809326992"/>
      </c:lineChart>
      <c:catAx>
        <c:axId val="7083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326992"/>
        <c:crosses val="autoZero"/>
        <c:auto val="1"/>
        <c:lblAlgn val="ctr"/>
        <c:lblOffset val="100"/>
        <c:noMultiLvlLbl val="0"/>
      </c:catAx>
      <c:valAx>
        <c:axId val="809326992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#,##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08373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7925853018373"/>
          <c:y val="0.909750929571304"/>
          <c:w val="0.38334530839895"/>
          <c:h val="0.05902969160104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825" b="0" i="0" u="none" strike="noStrike" baseline="0">
              <a:solidFill>
                <a:srgbClr val="424242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E3E3E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カ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タクチイワシ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36998153009"/>
          <c:y val="0.18744125488251"/>
          <c:w val="0.689705939535336"/>
          <c:h val="0.546514559695786"/>
        </c:manualLayout>
      </c:layout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'201803漁海況'!$A$24:$A$30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'201803漁海況'!$N$24:$N$30</c:f>
              <c:numCache>
                <c:formatCode>0.0_);[Red]\(0.0\)</c:formatCode>
                <c:ptCount val="7"/>
                <c:pt idx="0">
                  <c:v>656.6</c:v>
                </c:pt>
                <c:pt idx="1">
                  <c:v>18.07775</c:v>
                </c:pt>
                <c:pt idx="2">
                  <c:v>32.08</c:v>
                </c:pt>
                <c:pt idx="3">
                  <c:v>6936.520999999998</c:v>
                </c:pt>
                <c:pt idx="4">
                  <c:v>3228.048</c:v>
                </c:pt>
                <c:pt idx="5">
                  <c:v>2561.377</c:v>
                </c:pt>
                <c:pt idx="6">
                  <c:v>13432.70375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5A-486B-B644-DB6C1136C3D1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'201803漁海況'!$A$24:$A$30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'201803漁海況'!$O$24:$O$30</c:f>
              <c:numCache>
                <c:formatCode>0.0_);[Red]\(0.0\)</c:formatCode>
                <c:ptCount val="7"/>
                <c:pt idx="0">
                  <c:v>556.7684</c:v>
                </c:pt>
                <c:pt idx="1">
                  <c:v>19.98289</c:v>
                </c:pt>
                <c:pt idx="2">
                  <c:v>34.72022</c:v>
                </c:pt>
                <c:pt idx="3">
                  <c:v>6868.7828</c:v>
                </c:pt>
                <c:pt idx="4">
                  <c:v>2967.642</c:v>
                </c:pt>
                <c:pt idx="5">
                  <c:v>2892.0818</c:v>
                </c:pt>
                <c:pt idx="6">
                  <c:v>13339.97811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5A-486B-B644-DB6C1136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44992"/>
        <c:axId val="559847312"/>
      </c:barChart>
      <c:catAx>
        <c:axId val="559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847312"/>
        <c:crosses val="autoZero"/>
        <c:auto val="1"/>
        <c:lblAlgn val="ctr"/>
        <c:lblOffset val="100"/>
        <c:noMultiLvlLbl val="0"/>
      </c:catAx>
      <c:valAx>
        <c:axId val="559847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844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0696446357093"/>
          <c:y val="0.480329840659681"/>
          <c:w val="0.0883083081201962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マイワ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7"/>
          <c:w val="0.762663623568793"/>
          <c:h val="0.6016598787220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'201803漁海況'!$W$4:$W$9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'201803漁海況'!$X$4:$X$9</c:f>
              <c:numCache>
                <c:formatCode>0.0_ </c:formatCode>
                <c:ptCount val="6"/>
                <c:pt idx="0">
                  <c:v>7682.084</c:v>
                </c:pt>
                <c:pt idx="1">
                  <c:v>2715.0975</c:v>
                </c:pt>
                <c:pt idx="2">
                  <c:v>1407.227</c:v>
                </c:pt>
                <c:pt idx="3">
                  <c:v>5057.027000000001</c:v>
                </c:pt>
                <c:pt idx="4">
                  <c:v>2927.9365</c:v>
                </c:pt>
                <c:pt idx="5">
                  <c:v>3957.8744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BD-496D-9BE4-643DCE04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68464"/>
        <c:axId val="559870784"/>
      </c:barChart>
      <c:catAx>
        <c:axId val="5598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870784"/>
        <c:crosses val="autoZero"/>
        <c:auto val="1"/>
        <c:lblAlgn val="ctr"/>
        <c:lblOffset val="100"/>
        <c:noMultiLvlLbl val="0"/>
      </c:catAx>
      <c:valAx>
        <c:axId val="559870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8684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ウルメ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イ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ワ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シ</a:t>
            </a:r>
          </a:p>
        </c:rich>
      </c:tx>
      <c:layout>
        <c:manualLayout>
          <c:xMode val="edge"/>
          <c:yMode val="edge"/>
          <c:x val="0.405333105100993"/>
          <c:y val="0.007662684405828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7"/>
          <c:w val="0.762663623568794"/>
          <c:h val="0.601659878722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'201803漁海況'!$W$14:$W$19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'201803漁海況'!$X$14:$X$19</c:f>
              <c:numCache>
                <c:formatCode>0.0_ </c:formatCode>
                <c:ptCount val="6"/>
                <c:pt idx="0">
                  <c:v>11577.543</c:v>
                </c:pt>
                <c:pt idx="1">
                  <c:v>8721.923999999999</c:v>
                </c:pt>
                <c:pt idx="2">
                  <c:v>4171.784</c:v>
                </c:pt>
                <c:pt idx="3">
                  <c:v>12587.24</c:v>
                </c:pt>
                <c:pt idx="4">
                  <c:v>7643.513000000001</c:v>
                </c:pt>
                <c:pt idx="5">
                  <c:v>8940.400799999999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8E-4CBA-9A71-2F7D6582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891536"/>
        <c:axId val="559893856"/>
      </c:barChart>
      <c:catAx>
        <c:axId val="5598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893856"/>
        <c:crosses val="autoZero"/>
        <c:auto val="1"/>
        <c:lblAlgn val="ctr"/>
        <c:lblOffset val="100"/>
        <c:noMultiLvlLbl val="0"/>
      </c:catAx>
      <c:valAx>
        <c:axId val="559893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8915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カ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タ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クチイワシ</a:t>
            </a:r>
          </a:p>
        </c:rich>
      </c:tx>
      <c:layout>
        <c:manualLayout>
          <c:xMode val="edge"/>
          <c:yMode val="edge"/>
          <c:x val="0.405333105100993"/>
          <c:y val="0.007662684405828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8"/>
          <c:w val="0.762663623568794"/>
          <c:h val="0.601659878722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'201803漁海況'!$W$24:$W$29</c:f>
              <c:strCach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'201803漁海況'!$X$24:$X$29</c:f>
              <c:numCache>
                <c:formatCode>0.0_ </c:formatCode>
                <c:ptCount val="6"/>
                <c:pt idx="0">
                  <c:v>11709.6368</c:v>
                </c:pt>
                <c:pt idx="1">
                  <c:v>16587.492</c:v>
                </c:pt>
                <c:pt idx="2">
                  <c:v>12136.918</c:v>
                </c:pt>
                <c:pt idx="3">
                  <c:v>12833.14</c:v>
                </c:pt>
                <c:pt idx="4">
                  <c:v>13432.70375</c:v>
                </c:pt>
                <c:pt idx="5">
                  <c:v>13339.97811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F9-4B5B-B430-9839270D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914192"/>
        <c:axId val="559916512"/>
      </c:barChart>
      <c:catAx>
        <c:axId val="5599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916512"/>
        <c:crosses val="autoZero"/>
        <c:auto val="1"/>
        <c:lblAlgn val="ctr"/>
        <c:lblOffset val="100"/>
        <c:noMultiLvlLbl val="0"/>
      </c:catAx>
      <c:valAx>
        <c:axId val="559916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99141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7599884259259"/>
          <c:y val="0.136030902777778"/>
          <c:w val="0.762161111111111"/>
          <c:h val="0.755543402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'201803漁海況'!$B$3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'201803漁海況'!$A$4:$A$9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'201803漁海況'!$B$4:$B$9</c:f>
              <c:numCache>
                <c:formatCode>0_ 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0.464</c:v>
                </c:pt>
                <c:pt idx="3">
                  <c:v>5.004</c:v>
                </c:pt>
                <c:pt idx="4">
                  <c:v>0.954</c:v>
                </c:pt>
                <c:pt idx="5">
                  <c:v>109.742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1E-467E-8329-22D956179B6E}"/>
            </c:ext>
          </c:extLst>
        </c:ser>
        <c:ser>
          <c:idx val="1"/>
          <c:order val="1"/>
          <c:tx>
            <c:strRef>
              <c:f>'201803漁海況'!$C$3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ysClr val="windowText" lastClr="000000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'201803漁海況'!$A$4:$A$9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'201803漁海況'!$C$4:$C$9</c:f>
              <c:numCache>
                <c:formatCode>0_ </c:formatCode>
                <c:ptCount val="6"/>
                <c:pt idx="0">
                  <c:v>0.0</c:v>
                </c:pt>
                <c:pt idx="1">
                  <c:v>0.2965</c:v>
                </c:pt>
                <c:pt idx="2">
                  <c:v>0.512</c:v>
                </c:pt>
                <c:pt idx="3">
                  <c:v>1332.432</c:v>
                </c:pt>
                <c:pt idx="4">
                  <c:v>266.652</c:v>
                </c:pt>
                <c:pt idx="5">
                  <c:v>657.322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1E-467E-8329-22D956179B6E}"/>
            </c:ext>
          </c:extLst>
        </c:ser>
        <c:ser>
          <c:idx val="2"/>
          <c:order val="2"/>
          <c:tx>
            <c:strRef>
              <c:f>'201803漁海況'!$D$3</c:f>
              <c:strCache>
                <c:ptCount val="1"/>
                <c:pt idx="0">
                  <c:v>平年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ysClr val="window" lastClr="FFFFFF"/>
              </a:bgClr>
            </a:patt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'201803漁海況'!$A$4:$A$9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'201803漁海況'!$D$4:$D$9</c:f>
              <c:numCache>
                <c:formatCode>0_ </c:formatCode>
                <c:ptCount val="6"/>
                <c:pt idx="0">
                  <c:v>1.6524</c:v>
                </c:pt>
                <c:pt idx="1">
                  <c:v>0.0593</c:v>
                </c:pt>
                <c:pt idx="2">
                  <c:v>0.97888</c:v>
                </c:pt>
                <c:pt idx="3">
                  <c:v>548.3844</c:v>
                </c:pt>
                <c:pt idx="4">
                  <c:v>252.3636</c:v>
                </c:pt>
                <c:pt idx="5">
                  <c:v>1316.7328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1E-467E-8329-22D95617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3169248"/>
        <c:axId val="559579680"/>
      </c:barChart>
      <c:catAx>
        <c:axId val="3131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="1" baseline="0"/>
            </a:pPr>
            <a:endParaRPr lang="en-US"/>
          </a:p>
        </c:txPr>
        <c:crossAx val="559579680"/>
        <c:crosses val="autoZero"/>
        <c:auto val="1"/>
        <c:lblAlgn val="ctr"/>
        <c:lblOffset val="10"/>
        <c:noMultiLvlLbl val="0"/>
      </c:catAx>
      <c:valAx>
        <c:axId val="559579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 sz="2400" baseline="0"/>
                </a:pPr>
                <a:r>
                  <a:rPr lang="ja-JP" altLang="ja-JP" sz="2400" b="1" i="0" baseline="0">
                    <a:effectLst/>
                  </a:rPr>
                  <a:t>漁獲量（トン）</a:t>
                </a:r>
                <a:endParaRPr lang="ja-JP" altLang="ja-JP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0621875"/>
              <c:y val="0.300036631944445"/>
            </c:manualLayout>
          </c:layout>
          <c:overlay val="0"/>
        </c:title>
        <c:numFmt formatCode="#,##0_);[Red]\(#,##0\)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aseline="0"/>
            </a:pPr>
            <a:endParaRPr lang="en-US"/>
          </a:p>
        </c:txPr>
        <c:crossAx val="313169248"/>
        <c:crosses val="autoZero"/>
        <c:crossBetween val="between"/>
        <c:majorUnit val="1000.0"/>
        <c:minorUnit val="500.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ayout>
        <c:manualLayout>
          <c:xMode val="edge"/>
          <c:yMode val="edge"/>
          <c:x val="0.191573726851852"/>
          <c:y val="0.15275485357313"/>
          <c:w val="0.205764236111111"/>
          <c:h val="0.197083159722222"/>
        </c:manualLayout>
      </c:layout>
      <c:overlay val="0"/>
      <c:spPr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lang="ja-JP" sz="2200" b="1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7599884259259"/>
          <c:y val="0.136030902777778"/>
          <c:w val="0.762161111111111"/>
          <c:h val="0.755543402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'201803漁海況'!$B$13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'201803漁海況'!$A$14:$A$19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'201803漁海況'!$B$14:$B$19</c:f>
              <c:numCache>
                <c:formatCode>0_);[Red]\(0\)</c:formatCode>
                <c:ptCount val="6"/>
                <c:pt idx="0">
                  <c:v>0.0</c:v>
                </c:pt>
                <c:pt idx="1">
                  <c:v>0.03</c:v>
                </c:pt>
                <c:pt idx="2">
                  <c:v>4.272</c:v>
                </c:pt>
                <c:pt idx="3">
                  <c:v>2387.721</c:v>
                </c:pt>
                <c:pt idx="4">
                  <c:v>529.254</c:v>
                </c:pt>
                <c:pt idx="5">
                  <c:v>1910.709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1E-467E-8329-22D956179B6E}"/>
            </c:ext>
          </c:extLst>
        </c:ser>
        <c:ser>
          <c:idx val="1"/>
          <c:order val="1"/>
          <c:tx>
            <c:strRef>
              <c:f>'201803漁海況'!$C$13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ysClr val="windowText" lastClr="000000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'201803漁海況'!$A$14:$A$19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'201803漁海況'!$C$14:$C$19</c:f>
              <c:numCache>
                <c:formatCode>0_);[Red]\(0\)</c:formatCode>
                <c:ptCount val="6"/>
                <c:pt idx="0">
                  <c:v>0.0</c:v>
                </c:pt>
                <c:pt idx="1">
                  <c:v>0.54</c:v>
                </c:pt>
                <c:pt idx="2">
                  <c:v>0.0</c:v>
                </c:pt>
                <c:pt idx="3">
                  <c:v>6765.36</c:v>
                </c:pt>
                <c:pt idx="4">
                  <c:v>1057.41</c:v>
                </c:pt>
                <c:pt idx="5">
                  <c:v>1922.396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1E-467E-8329-22D956179B6E}"/>
            </c:ext>
          </c:extLst>
        </c:ser>
        <c:ser>
          <c:idx val="2"/>
          <c:order val="2"/>
          <c:tx>
            <c:strRef>
              <c:f>'201803漁海況'!$D$13</c:f>
              <c:strCache>
                <c:ptCount val="1"/>
                <c:pt idx="0">
                  <c:v>平年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ysClr val="window" lastClr="FFFFFF"/>
              </a:bgClr>
            </a:patt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'201803漁海況'!$A$14:$A$19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'201803漁海況'!$D$14:$D$19</c:f>
              <c:numCache>
                <c:formatCode>0_);[Red]\(0\)</c:formatCode>
                <c:ptCount val="6"/>
                <c:pt idx="0">
                  <c:v>8.108000000000001</c:v>
                </c:pt>
                <c:pt idx="1">
                  <c:v>0.126</c:v>
                </c:pt>
                <c:pt idx="2">
                  <c:v>0.408</c:v>
                </c:pt>
                <c:pt idx="3">
                  <c:v>3220.8232</c:v>
                </c:pt>
                <c:pt idx="4">
                  <c:v>1112.3856</c:v>
                </c:pt>
                <c:pt idx="5">
                  <c:v>2338.4042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1E-467E-8329-22D95617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9707712"/>
        <c:axId val="559620416"/>
      </c:barChart>
      <c:catAx>
        <c:axId val="55970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="1" baseline="0"/>
            </a:pPr>
            <a:endParaRPr lang="en-US"/>
          </a:p>
        </c:txPr>
        <c:crossAx val="559620416"/>
        <c:crosses val="autoZero"/>
        <c:auto val="1"/>
        <c:lblAlgn val="ctr"/>
        <c:lblOffset val="10"/>
        <c:noMultiLvlLbl val="0"/>
      </c:catAx>
      <c:valAx>
        <c:axId val="559620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 sz="2400" baseline="0"/>
                </a:pPr>
                <a:r>
                  <a:rPr lang="ja-JP" altLang="ja-JP" sz="2400" b="1" i="0" baseline="0">
                    <a:effectLst/>
                  </a:rPr>
                  <a:t>漁獲量（トン）</a:t>
                </a:r>
                <a:endParaRPr lang="ja-JP" altLang="ja-JP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0621875"/>
              <c:y val="0.300036631944445"/>
            </c:manualLayout>
          </c:layout>
          <c:overlay val="0"/>
        </c:title>
        <c:numFmt formatCode="#,##0_);[Red]\(#,##0\)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aseline="0"/>
            </a:pPr>
            <a:endParaRPr lang="en-US"/>
          </a:p>
        </c:txPr>
        <c:crossAx val="559707712"/>
        <c:crosses val="autoZero"/>
        <c:crossBetween val="between"/>
        <c:majorUnit val="2000.0"/>
        <c:minorUnit val="1000.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ayout>
        <c:manualLayout>
          <c:xMode val="edge"/>
          <c:yMode val="edge"/>
          <c:x val="0.190103819444444"/>
          <c:y val="0.15275485357313"/>
          <c:w val="0.205764236111111"/>
          <c:h val="0.197083159722222"/>
        </c:manualLayout>
      </c:layout>
      <c:overlay val="0"/>
      <c:spPr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lang="ja-JP" sz="2200" b="1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7599884259259"/>
          <c:y val="0.136030902777778"/>
          <c:w val="0.762161111111111"/>
          <c:h val="0.755543402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'201803漁海況'!$B$23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'201803漁海況'!$A$24:$A$29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'201803漁海況'!$B$24:$B$29</c:f>
              <c:numCache>
                <c:formatCode>0_);[Red]\(0\)</c:formatCode>
                <c:ptCount val="6"/>
                <c:pt idx="0">
                  <c:v>353.36</c:v>
                </c:pt>
                <c:pt idx="1">
                  <c:v>20.344</c:v>
                </c:pt>
                <c:pt idx="2">
                  <c:v>15.056</c:v>
                </c:pt>
                <c:pt idx="3">
                  <c:v>424.755</c:v>
                </c:pt>
                <c:pt idx="4">
                  <c:v>256.77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1E-467E-8329-22D956179B6E}"/>
            </c:ext>
          </c:extLst>
        </c:ser>
        <c:ser>
          <c:idx val="1"/>
          <c:order val="1"/>
          <c:tx>
            <c:strRef>
              <c:f>'201803漁海況'!$C$23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ysClr val="windowText" lastClr="000000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'201803漁海況'!$A$24:$A$29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'201803漁海況'!$C$24:$C$29</c:f>
              <c:numCache>
                <c:formatCode>0_);[Red]\(0\)</c:formatCode>
                <c:ptCount val="6"/>
                <c:pt idx="0">
                  <c:v>137.4</c:v>
                </c:pt>
                <c:pt idx="1">
                  <c:v>2.937</c:v>
                </c:pt>
                <c:pt idx="2">
                  <c:v>56.4</c:v>
                </c:pt>
                <c:pt idx="3">
                  <c:v>660.4590000000001</c:v>
                </c:pt>
                <c:pt idx="4">
                  <c:v>107.244</c:v>
                </c:pt>
                <c:pt idx="5">
                  <c:v>498.01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1E-467E-8329-22D956179B6E}"/>
            </c:ext>
          </c:extLst>
        </c:ser>
        <c:ser>
          <c:idx val="2"/>
          <c:order val="2"/>
          <c:tx>
            <c:strRef>
              <c:f>'201803漁海況'!$D$23</c:f>
              <c:strCache>
                <c:ptCount val="1"/>
                <c:pt idx="0">
                  <c:v>平年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ysClr val="window" lastClr="FFFFFF"/>
              </a:bgClr>
            </a:patt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'201803漁海況'!$A$24:$A$29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'201803漁海況'!$D$24:$D$29</c:f>
              <c:numCache>
                <c:formatCode>0_);[Red]\(0\)</c:formatCode>
                <c:ptCount val="6"/>
                <c:pt idx="0">
                  <c:v>169.944</c:v>
                </c:pt>
                <c:pt idx="1">
                  <c:v>11.4359</c:v>
                </c:pt>
                <c:pt idx="2">
                  <c:v>36.66424</c:v>
                </c:pt>
                <c:pt idx="3">
                  <c:v>864.4492</c:v>
                </c:pt>
                <c:pt idx="4">
                  <c:v>548.082</c:v>
                </c:pt>
                <c:pt idx="5">
                  <c:v>1264.2238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1E-467E-8329-22D95617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12580448"/>
        <c:axId val="313351712"/>
      </c:barChart>
      <c:catAx>
        <c:axId val="3125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="1" baseline="0"/>
            </a:pPr>
            <a:endParaRPr lang="en-US"/>
          </a:p>
        </c:txPr>
        <c:crossAx val="313351712"/>
        <c:crosses val="autoZero"/>
        <c:auto val="1"/>
        <c:lblAlgn val="ctr"/>
        <c:lblOffset val="10"/>
        <c:noMultiLvlLbl val="0"/>
      </c:catAx>
      <c:valAx>
        <c:axId val="31335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 sz="2400" baseline="0"/>
                </a:pPr>
                <a:r>
                  <a:rPr lang="ja-JP" altLang="ja-JP" sz="2400" b="1" i="0" baseline="0">
                    <a:effectLst/>
                  </a:rPr>
                  <a:t>漁獲量（トン）</a:t>
                </a:r>
                <a:endParaRPr lang="ja-JP" altLang="ja-JP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0621875"/>
              <c:y val="0.300036631944445"/>
            </c:manualLayout>
          </c:layout>
          <c:overlay val="0"/>
        </c:title>
        <c:numFmt formatCode="#,##0_);[Red]\(#,##0\)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aseline="0"/>
            </a:pPr>
            <a:endParaRPr lang="en-US"/>
          </a:p>
        </c:txPr>
        <c:crossAx val="312580448"/>
        <c:crosses val="autoZero"/>
        <c:crossBetween val="between"/>
        <c:majorUnit val="2000.0"/>
        <c:minorUnit val="1000.0"/>
      </c:valAx>
      <c:spPr>
        <a:ln w="19050">
          <a:solidFill>
            <a:sysClr val="windowText" lastClr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ayout>
        <c:manualLayout>
          <c:xMode val="edge"/>
          <c:yMode val="edge"/>
          <c:x val="0.188633912037037"/>
          <c:y val="0.150534027777778"/>
          <c:w val="0.205764236111111"/>
          <c:h val="0.197083159722222"/>
        </c:manualLayout>
      </c:layout>
      <c:overlay val="0"/>
      <c:spPr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lang="ja-JP" sz="2200" b="1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マイワシ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'201710漁海況'!$B$4:$B$10</c:f>
              <c:numCache>
                <c:formatCode>0_ </c:formatCode>
                <c:ptCount val="7"/>
                <c:pt idx="0">
                  <c:v>7.825</c:v>
                </c:pt>
                <c:pt idx="1">
                  <c:v>15.4705</c:v>
                </c:pt>
                <c:pt idx="2">
                  <c:v>0.48</c:v>
                </c:pt>
                <c:pt idx="3">
                  <c:v>1629.456</c:v>
                </c:pt>
                <c:pt idx="4">
                  <c:v>172.008</c:v>
                </c:pt>
                <c:pt idx="5">
                  <c:v>693.8069999999999</c:v>
                </c:pt>
                <c:pt idx="6">
                  <c:v>2519.0465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56-4E3E-A03D-EA82456B38C7}"/>
            </c:ext>
          </c:extLst>
        </c:ser>
        <c:ser>
          <c:idx val="1"/>
          <c:order val="1"/>
          <c:tx>
            <c:strRef>
              <c:f>'201710漁海況'!$C$3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'201710漁海況'!$C$4:$C$10</c:f>
              <c:numCache>
                <c:formatCode>0_ </c:formatCode>
                <c:ptCount val="7"/>
                <c:pt idx="0">
                  <c:v>191.075</c:v>
                </c:pt>
                <c:pt idx="1">
                  <c:v>12.143</c:v>
                </c:pt>
                <c:pt idx="2">
                  <c:v>0.0</c:v>
                </c:pt>
                <c:pt idx="3">
                  <c:v>2440.687</c:v>
                </c:pt>
                <c:pt idx="4">
                  <c:v>88.902</c:v>
                </c:pt>
                <c:pt idx="5">
                  <c:v>2166.777</c:v>
                </c:pt>
                <c:pt idx="6">
                  <c:v>4899.584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56-4E3E-A03D-EA82456B38C7}"/>
            </c:ext>
          </c:extLst>
        </c:ser>
        <c:ser>
          <c:idx val="2"/>
          <c:order val="2"/>
          <c:tx>
            <c:strRef>
              <c:f>'201710漁海況'!$D$3</c:f>
              <c:strCache>
                <c:ptCount val="1"/>
                <c:pt idx="0">
                  <c:v>平年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'201710漁海況'!$A$4:$A$10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'201710漁海況'!$D$4:$D$10</c:f>
              <c:numCache>
                <c:formatCode>0_ </c:formatCode>
                <c:ptCount val="7"/>
                <c:pt idx="0">
                  <c:v>52.40579999999998</c:v>
                </c:pt>
                <c:pt idx="1">
                  <c:v>65.28479999999998</c:v>
                </c:pt>
                <c:pt idx="2">
                  <c:v>0.2976</c:v>
                </c:pt>
                <c:pt idx="3">
                  <c:v>881.53</c:v>
                </c:pt>
                <c:pt idx="4">
                  <c:v>412.8192</c:v>
                </c:pt>
                <c:pt idx="5">
                  <c:v>1897.2106</c:v>
                </c:pt>
                <c:pt idx="6">
                  <c:v>3309.548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56-4E3E-A03D-EA82456B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396784"/>
        <c:axId val="313399104"/>
      </c:barChart>
      <c:catAx>
        <c:axId val="3133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399104"/>
        <c:crosses val="autoZero"/>
        <c:auto val="1"/>
        <c:lblAlgn val="ctr"/>
        <c:lblOffset val="100"/>
        <c:noMultiLvlLbl val="0"/>
      </c:catAx>
      <c:valAx>
        <c:axId val="3133991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3967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7478385054809"/>
          <c:y val="0.452770165540331"/>
          <c:w val="0.0906891693685347"/>
          <c:h val="0.212604935209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ウルメイワシ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'201710漁海況'!$B$14:$B$20</c:f>
              <c:numCache>
                <c:formatCode>0_);[Red]\(0\)</c:formatCode>
                <c:ptCount val="7"/>
                <c:pt idx="0">
                  <c:v>13.74</c:v>
                </c:pt>
                <c:pt idx="1">
                  <c:v>6.81</c:v>
                </c:pt>
                <c:pt idx="2">
                  <c:v>0.032</c:v>
                </c:pt>
                <c:pt idx="3">
                  <c:v>3313.623000000001</c:v>
                </c:pt>
                <c:pt idx="4">
                  <c:v>349.902</c:v>
                </c:pt>
                <c:pt idx="5">
                  <c:v>1741.109</c:v>
                </c:pt>
                <c:pt idx="6">
                  <c:v>5425.216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0-4FE8-88B6-910821F6A1BE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'201710漁海況'!$C$14:$C$20</c:f>
              <c:numCache>
                <c:formatCode>0_);[Red]\(0\)</c:formatCode>
                <c:ptCount val="7"/>
                <c:pt idx="0">
                  <c:v>33.98</c:v>
                </c:pt>
                <c:pt idx="1">
                  <c:v>64.86</c:v>
                </c:pt>
                <c:pt idx="2">
                  <c:v>0.337</c:v>
                </c:pt>
                <c:pt idx="3">
                  <c:v>7815.54</c:v>
                </c:pt>
                <c:pt idx="4">
                  <c:v>815.922</c:v>
                </c:pt>
                <c:pt idx="5">
                  <c:v>2927.219</c:v>
                </c:pt>
                <c:pt idx="6">
                  <c:v>11657.858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60-4FE8-88B6-910821F6A1BE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'201710漁海況'!$A$14:$A$20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'201710漁海況'!$D$14:$D$20</c:f>
              <c:numCache>
                <c:formatCode>0_);[Red]\(0\)</c:formatCode>
                <c:ptCount val="7"/>
                <c:pt idx="0">
                  <c:v>34.092</c:v>
                </c:pt>
                <c:pt idx="1">
                  <c:v>58.6284</c:v>
                </c:pt>
                <c:pt idx="2">
                  <c:v>0.2594</c:v>
                </c:pt>
                <c:pt idx="3">
                  <c:v>3337.5876</c:v>
                </c:pt>
                <c:pt idx="4">
                  <c:v>1056.2748</c:v>
                </c:pt>
                <c:pt idx="5">
                  <c:v>2711.8048</c:v>
                </c:pt>
                <c:pt idx="6">
                  <c:v>7198.647000000001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60-4FE8-88B6-910821F6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429968"/>
        <c:axId val="313432288"/>
      </c:barChart>
      <c:catAx>
        <c:axId val="3134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432288"/>
        <c:crosses val="autoZero"/>
        <c:auto val="1"/>
        <c:lblAlgn val="ctr"/>
        <c:lblOffset val="100"/>
        <c:noMultiLvlLbl val="0"/>
      </c:catAx>
      <c:valAx>
        <c:axId val="313432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);[Red]\(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429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5333346167915"/>
          <c:y val="0.472238157730284"/>
          <c:w val="0.0904674354580983"/>
          <c:h val="0.2142929008873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カタクチイワシ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'201710漁海況'!$B$24:$B$30</c:f>
              <c:numCache>
                <c:formatCode>0_);[Red]\(0\)</c:formatCode>
                <c:ptCount val="7"/>
                <c:pt idx="0">
                  <c:v>613.98</c:v>
                </c:pt>
                <c:pt idx="1">
                  <c:v>14.04575</c:v>
                </c:pt>
                <c:pt idx="2">
                  <c:v>32.08</c:v>
                </c:pt>
                <c:pt idx="3">
                  <c:v>6857.081</c:v>
                </c:pt>
                <c:pt idx="4">
                  <c:v>2960.262</c:v>
                </c:pt>
                <c:pt idx="5">
                  <c:v>2549.039</c:v>
                </c:pt>
                <c:pt idx="6">
                  <c:v>13026.48775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75-4B2F-BFB6-35853EDE5D79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'201710漁海況'!$C$24:$C$30</c:f>
              <c:numCache>
                <c:formatCode>0_);[Red]\(0\)</c:formatCode>
                <c:ptCount val="7"/>
                <c:pt idx="0">
                  <c:v>222.28</c:v>
                </c:pt>
                <c:pt idx="1">
                  <c:v>8.285</c:v>
                </c:pt>
                <c:pt idx="2">
                  <c:v>1.841</c:v>
                </c:pt>
                <c:pt idx="3">
                  <c:v>6098.302999999998</c:v>
                </c:pt>
                <c:pt idx="4">
                  <c:v>2481.012</c:v>
                </c:pt>
                <c:pt idx="5">
                  <c:v>2585.507</c:v>
                </c:pt>
                <c:pt idx="6">
                  <c:v>11397.228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75-4B2F-BFB6-35853EDE5D79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'201710漁海況'!$A$24:$A$30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'201710漁海況'!$D$24:$D$30</c:f>
              <c:numCache>
                <c:formatCode>0_);[Red]\(0\)</c:formatCode>
                <c:ptCount val="7"/>
                <c:pt idx="0">
                  <c:v>512.9804</c:v>
                </c:pt>
                <c:pt idx="1">
                  <c:v>18.07209</c:v>
                </c:pt>
                <c:pt idx="2">
                  <c:v>34.451</c:v>
                </c:pt>
                <c:pt idx="3">
                  <c:v>6199.5476</c:v>
                </c:pt>
                <c:pt idx="4">
                  <c:v>2514.2868</c:v>
                </c:pt>
                <c:pt idx="5">
                  <c:v>2483.3302</c:v>
                </c:pt>
                <c:pt idx="6">
                  <c:v>11762.66809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C75-4B2F-BFB6-35853EDE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462336"/>
        <c:axId val="313464656"/>
      </c:barChart>
      <c:catAx>
        <c:axId val="3134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464656"/>
        <c:crosses val="autoZero"/>
        <c:auto val="1"/>
        <c:lblAlgn val="ctr"/>
        <c:lblOffset val="100"/>
        <c:noMultiLvlLbl val="0"/>
      </c:catAx>
      <c:valAx>
        <c:axId val="313464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);[Red]\(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462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6905618698115"/>
          <c:y val="0.452396262967129"/>
          <c:w val="0.083713079417109"/>
          <c:h val="0.2142929008873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rPr>
              <a:t>熊本県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カタクチイワシ!$A$146</c:f>
              <c:strCache>
                <c:ptCount val="1"/>
                <c:pt idx="0">
                  <c:v>2013年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カタクチイワシ!$B$146:$M$146</c:f>
              <c:numCache>
                <c:formatCode>#,##0.0</c:formatCode>
                <c:ptCount val="12"/>
                <c:pt idx="0">
                  <c:v>35.19</c:v>
                </c:pt>
                <c:pt idx="1">
                  <c:v>2.808</c:v>
                </c:pt>
                <c:pt idx="2">
                  <c:v>157.842</c:v>
                </c:pt>
                <c:pt idx="3">
                  <c:v>177.804</c:v>
                </c:pt>
                <c:pt idx="4">
                  <c:v>447.066</c:v>
                </c:pt>
                <c:pt idx="5">
                  <c:v>109.026</c:v>
                </c:pt>
                <c:pt idx="6">
                  <c:v>888.228</c:v>
                </c:pt>
                <c:pt idx="7">
                  <c:v>553.788</c:v>
                </c:pt>
                <c:pt idx="8">
                  <c:v>376.308</c:v>
                </c:pt>
                <c:pt idx="9">
                  <c:v>197.55</c:v>
                </c:pt>
                <c:pt idx="10">
                  <c:v>63.72</c:v>
                </c:pt>
                <c:pt idx="11">
                  <c:v>58.824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E1-48C3-A1ED-31CE0DF5AA6C}"/>
            </c:ext>
          </c:extLst>
        </c:ser>
        <c:ser>
          <c:idx val="1"/>
          <c:order val="1"/>
          <c:tx>
            <c:strRef>
              <c:f>カタクチイワシ!$A$147</c:f>
              <c:strCache>
                <c:ptCount val="1"/>
                <c:pt idx="0">
                  <c:v>2014年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val>
            <c:numRef>
              <c:f>カタクチイワシ!$B$147:$M$147</c:f>
              <c:numCache>
                <c:formatCode>#,##0.0</c:formatCode>
                <c:ptCount val="12"/>
                <c:pt idx="0">
                  <c:v>67.032</c:v>
                </c:pt>
                <c:pt idx="1">
                  <c:v>235.044</c:v>
                </c:pt>
                <c:pt idx="2">
                  <c:v>234.252</c:v>
                </c:pt>
                <c:pt idx="3">
                  <c:v>193.32</c:v>
                </c:pt>
                <c:pt idx="4">
                  <c:v>460.764</c:v>
                </c:pt>
                <c:pt idx="5">
                  <c:v>419.418</c:v>
                </c:pt>
                <c:pt idx="6">
                  <c:v>771.408</c:v>
                </c:pt>
                <c:pt idx="7">
                  <c:v>660.312</c:v>
                </c:pt>
                <c:pt idx="8">
                  <c:v>687.528</c:v>
                </c:pt>
                <c:pt idx="9">
                  <c:v>808.452</c:v>
                </c:pt>
                <c:pt idx="10">
                  <c:v>495.918</c:v>
                </c:pt>
                <c:pt idx="11">
                  <c:v>688.122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E1-48C3-A1ED-31CE0DF5AA6C}"/>
            </c:ext>
          </c:extLst>
        </c:ser>
        <c:ser>
          <c:idx val="2"/>
          <c:order val="2"/>
          <c:tx>
            <c:strRef>
              <c:f>カタクチイワシ!$A$148</c:f>
              <c:strCache>
                <c:ptCount val="1"/>
                <c:pt idx="0">
                  <c:v>2015年</c:v>
                </c:pt>
              </c:strCache>
            </c:strRef>
          </c:tx>
          <c:spPr>
            <a:ln w="25400">
              <a:solidFill>
                <a:srgbClr val="999933"/>
              </a:solidFill>
              <a:prstDash val="solid"/>
            </a:ln>
          </c:spPr>
          <c:marker>
            <c:symbol val="none"/>
          </c:marker>
          <c:val>
            <c:numRef>
              <c:f>カタクチイワシ!$B$148:$M$148</c:f>
              <c:numCache>
                <c:formatCode>#,##0.0</c:formatCode>
                <c:ptCount val="12"/>
                <c:pt idx="0">
                  <c:v>105.282</c:v>
                </c:pt>
                <c:pt idx="1">
                  <c:v>87.246</c:v>
                </c:pt>
                <c:pt idx="2">
                  <c:v>149.94</c:v>
                </c:pt>
                <c:pt idx="3">
                  <c:v>284.472</c:v>
                </c:pt>
                <c:pt idx="4">
                  <c:v>347.346</c:v>
                </c:pt>
                <c:pt idx="5">
                  <c:v>528.102</c:v>
                </c:pt>
                <c:pt idx="6">
                  <c:v>685.782</c:v>
                </c:pt>
                <c:pt idx="7">
                  <c:v>603.324</c:v>
                </c:pt>
                <c:pt idx="8">
                  <c:v>772.992</c:v>
                </c:pt>
                <c:pt idx="9">
                  <c:v>488.16</c:v>
                </c:pt>
                <c:pt idx="10">
                  <c:v>275.832</c:v>
                </c:pt>
                <c:pt idx="11">
                  <c:v>82.188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E1-48C3-A1ED-31CE0DF5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253312"/>
        <c:axId val="782080304"/>
      </c:lineChart>
      <c:catAx>
        <c:axId val="80925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82080304"/>
        <c:crosses val="autoZero"/>
        <c:auto val="1"/>
        <c:lblAlgn val="ctr"/>
        <c:lblOffset val="100"/>
        <c:noMultiLvlLbl val="0"/>
      </c:catAx>
      <c:valAx>
        <c:axId val="782080304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#,##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253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7925853018373"/>
          <c:y val="0.909750929571304"/>
          <c:w val="0.38334530839895"/>
          <c:h val="0.05902969160104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825" b="0" i="0" u="none" strike="noStrike" baseline="0">
              <a:solidFill>
                <a:srgbClr val="424242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E3E3E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マイワシ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'201710漁海況'!$N$4:$N$10</c:f>
              <c:numCache>
                <c:formatCode>0.0_);[Red]\(0.0\)</c:formatCode>
                <c:ptCount val="7"/>
                <c:pt idx="0">
                  <c:v>0.0</c:v>
                </c:pt>
                <c:pt idx="1">
                  <c:v>0.2965</c:v>
                </c:pt>
                <c:pt idx="2">
                  <c:v>1.072</c:v>
                </c:pt>
                <c:pt idx="3">
                  <c:v>2635.362</c:v>
                </c:pt>
                <c:pt idx="4">
                  <c:v>272.7359999999999</c:v>
                </c:pt>
                <c:pt idx="5">
                  <c:v>786.209</c:v>
                </c:pt>
                <c:pt idx="6">
                  <c:v>3695.6755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06-468C-9D9C-7D3EAA038D8A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'201710漁海況'!$O$4:$O$10</c:f>
              <c:numCache>
                <c:formatCode>0.0_);[Red]\(0.0\)</c:formatCode>
                <c:ptCount val="7"/>
                <c:pt idx="0">
                  <c:v>2.4674</c:v>
                </c:pt>
                <c:pt idx="1">
                  <c:v>0.0593</c:v>
                </c:pt>
                <c:pt idx="2">
                  <c:v>2.556480000000001</c:v>
                </c:pt>
                <c:pt idx="3">
                  <c:v>932.6532</c:v>
                </c:pt>
                <c:pt idx="4">
                  <c:v>343.9548</c:v>
                </c:pt>
                <c:pt idx="5">
                  <c:v>1507.1512</c:v>
                </c:pt>
                <c:pt idx="6">
                  <c:v>2788.84238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06-468C-9D9C-7D3EAA03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490816"/>
        <c:axId val="313493136"/>
      </c:barChart>
      <c:catAx>
        <c:axId val="3134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493136"/>
        <c:crosses val="autoZero"/>
        <c:auto val="1"/>
        <c:lblAlgn val="ctr"/>
        <c:lblOffset val="100"/>
        <c:noMultiLvlLbl val="0"/>
      </c:catAx>
      <c:valAx>
        <c:axId val="313493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4908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5348190421151"/>
          <c:y val="0.488204166408333"/>
          <c:w val="0.0848649136747814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ウルメイワシ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'201710漁海況'!$N$14:$N$20</c:f>
              <c:numCache>
                <c:formatCode>0.0_);[Red]\(0.0\)</c:formatCode>
                <c:ptCount val="7"/>
                <c:pt idx="0">
                  <c:v>0.0</c:v>
                </c:pt>
                <c:pt idx="1">
                  <c:v>0.54</c:v>
                </c:pt>
                <c:pt idx="2">
                  <c:v>0.0064</c:v>
                </c:pt>
                <c:pt idx="3">
                  <c:v>9069.141</c:v>
                </c:pt>
                <c:pt idx="4">
                  <c:v>2069.82</c:v>
                </c:pt>
                <c:pt idx="5">
                  <c:v>2981.74</c:v>
                </c:pt>
                <c:pt idx="6">
                  <c:v>14121.2474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75-4EDF-98D1-7F0DFCF3CC6F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'201710漁海況'!$O$14:$O$20</c:f>
              <c:numCache>
                <c:formatCode>0.0_);[Red]\(0.0\)</c:formatCode>
                <c:ptCount val="7"/>
                <c:pt idx="0">
                  <c:v>8.108000000000001</c:v>
                </c:pt>
                <c:pt idx="1">
                  <c:v>0.126</c:v>
                </c:pt>
                <c:pt idx="2">
                  <c:v>0.95008</c:v>
                </c:pt>
                <c:pt idx="3">
                  <c:v>4466.8552</c:v>
                </c:pt>
                <c:pt idx="4">
                  <c:v>2002.446</c:v>
                </c:pt>
                <c:pt idx="5">
                  <c:v>3060.5464</c:v>
                </c:pt>
                <c:pt idx="6">
                  <c:v>9539.03168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75-4EDF-98D1-7F0DFCF3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226528"/>
        <c:axId val="313228576"/>
      </c:barChart>
      <c:catAx>
        <c:axId val="3132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228576"/>
        <c:crosses val="autoZero"/>
        <c:auto val="1"/>
        <c:lblAlgn val="ctr"/>
        <c:lblOffset val="100"/>
        <c:noMultiLvlLbl val="0"/>
      </c:catAx>
      <c:valAx>
        <c:axId val="3132285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226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5872793298098"/>
          <c:y val="0.488204166408333"/>
          <c:w val="0.0844775824254845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カタクチイワシ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33862716313"/>
          <c:y val="0.151205806053393"/>
          <c:w val="0.740553405400596"/>
          <c:h val="0.735744427638798"/>
        </c:manualLayout>
      </c:layout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'201710漁海況'!$N$24:$N$30</c:f>
              <c:numCache>
                <c:formatCode>0.0_);[Red]\(0.0\)</c:formatCode>
                <c:ptCount val="7"/>
                <c:pt idx="0">
                  <c:v>290.18</c:v>
                </c:pt>
                <c:pt idx="1">
                  <c:v>2.937</c:v>
                </c:pt>
                <c:pt idx="2">
                  <c:v>99.19999999999998</c:v>
                </c:pt>
                <c:pt idx="3">
                  <c:v>1808.848</c:v>
                </c:pt>
                <c:pt idx="4">
                  <c:v>760.104</c:v>
                </c:pt>
                <c:pt idx="5">
                  <c:v>1278.755</c:v>
                </c:pt>
                <c:pt idx="6">
                  <c:v>4240.024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C6-4B37-91E9-9FD42D5B282C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'201710漁海況'!$O$24:$O$30</c:f>
              <c:numCache>
                <c:formatCode>0.0_);[Red]\(0.0\)</c:formatCode>
                <c:ptCount val="7"/>
                <c:pt idx="0">
                  <c:v>388.116</c:v>
                </c:pt>
                <c:pt idx="1">
                  <c:v>14.558344</c:v>
                </c:pt>
                <c:pt idx="2">
                  <c:v>62.87704</c:v>
                </c:pt>
                <c:pt idx="3">
                  <c:v>1918.9255</c:v>
                </c:pt>
                <c:pt idx="4">
                  <c:v>989.5644</c:v>
                </c:pt>
                <c:pt idx="5">
                  <c:v>1788.0914</c:v>
                </c:pt>
                <c:pt idx="6">
                  <c:v>5162.132684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C6-4B37-91E9-9FD42D5B2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253936"/>
        <c:axId val="313256256"/>
      </c:barChart>
      <c:catAx>
        <c:axId val="3132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256256"/>
        <c:crosses val="autoZero"/>
        <c:auto val="1"/>
        <c:lblAlgn val="ctr"/>
        <c:lblOffset val="100"/>
        <c:noMultiLvlLbl val="0"/>
      </c:catAx>
      <c:valAx>
        <c:axId val="3132562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3132539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0696446357093"/>
          <c:y val="0.496078492156984"/>
          <c:w val="0.0883083081201962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マイワシ</a:t>
            </a:r>
          </a:p>
        </c:rich>
      </c:tx>
      <c:layout>
        <c:manualLayout>
          <c:xMode val="edge"/>
          <c:yMode val="edge"/>
          <c:x val="0.42798912037037"/>
          <c:y val="0.022048611111111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94444444"/>
          <c:y val="0.18166712962963"/>
          <c:w val="0.762663623568793"/>
          <c:h val="0.6016598787220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'201710漁海況'!$W$4:$W$9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'201710漁海況'!$X$4:$X$9</c:f>
              <c:numCache>
                <c:formatCode>0.0_ </c:formatCode>
                <c:ptCount val="6"/>
                <c:pt idx="0">
                  <c:v>667.8934</c:v>
                </c:pt>
                <c:pt idx="1">
                  <c:v>2432.889</c:v>
                </c:pt>
                <c:pt idx="2">
                  <c:v>1311.042</c:v>
                </c:pt>
                <c:pt idx="3">
                  <c:v>5836.712</c:v>
                </c:pt>
                <c:pt idx="4">
                  <c:v>3695.6755</c:v>
                </c:pt>
                <c:pt idx="5">
                  <c:v>2788.84238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31-400A-BB13-D43E3FE9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257152"/>
        <c:axId val="658164240"/>
      </c:barChart>
      <c:catAx>
        <c:axId val="6582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8164240"/>
        <c:crosses val="autoZero"/>
        <c:auto val="1"/>
        <c:lblAlgn val="ctr"/>
        <c:lblOffset val="100"/>
        <c:noMultiLvlLbl val="0"/>
      </c:catAx>
      <c:valAx>
        <c:axId val="658164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82571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ウルメイワシ</a:t>
            </a:r>
          </a:p>
        </c:rich>
      </c:tx>
      <c:layout>
        <c:manualLayout>
          <c:xMode val="edge"/>
          <c:yMode val="edge"/>
          <c:x val="0.405333333333333"/>
          <c:y val="0.007662684405828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7"/>
          <c:w val="0.762663623568794"/>
          <c:h val="0.601659878722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'201710漁海況'!$W$14:$W$19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'201710漁海況'!$X$14:$X$19</c:f>
              <c:numCache>
                <c:formatCode>0.0_ </c:formatCode>
                <c:ptCount val="6"/>
                <c:pt idx="0">
                  <c:v>4885.737999999999</c:v>
                </c:pt>
                <c:pt idx="1">
                  <c:v>7237.182000000001</c:v>
                </c:pt>
                <c:pt idx="2">
                  <c:v>5245.876</c:v>
                </c:pt>
                <c:pt idx="3">
                  <c:v>16205.115</c:v>
                </c:pt>
                <c:pt idx="4">
                  <c:v>14121.2474</c:v>
                </c:pt>
                <c:pt idx="5">
                  <c:v>9539.031680000001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F-4C44-8F30-A2B22F22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447712"/>
        <c:axId val="658450032"/>
      </c:barChart>
      <c:catAx>
        <c:axId val="6584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8450032"/>
        <c:crosses val="autoZero"/>
        <c:auto val="1"/>
        <c:lblAlgn val="ctr"/>
        <c:lblOffset val="100"/>
        <c:noMultiLvlLbl val="0"/>
      </c:catAx>
      <c:valAx>
        <c:axId val="658450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84477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カタクチイワシ</a:t>
            </a:r>
          </a:p>
        </c:rich>
      </c:tx>
      <c:layout>
        <c:manualLayout>
          <c:xMode val="edge"/>
          <c:yMode val="edge"/>
          <c:x val="0.405333333333333"/>
          <c:y val="0.007662684405828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8"/>
          <c:w val="0.762663623568794"/>
          <c:h val="0.601659878722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'201710漁海況'!$W$24:$W$29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'201710漁海況'!$X$24:$X$29</c:f>
              <c:numCache>
                <c:formatCode>0.0_ </c:formatCode>
                <c:ptCount val="6"/>
                <c:pt idx="0">
                  <c:v>2061.7325</c:v>
                </c:pt>
                <c:pt idx="1">
                  <c:v>4967.984919999999</c:v>
                </c:pt>
                <c:pt idx="2">
                  <c:v>7313.152</c:v>
                </c:pt>
                <c:pt idx="3">
                  <c:v>6944.574999999999</c:v>
                </c:pt>
                <c:pt idx="4">
                  <c:v>4240.024</c:v>
                </c:pt>
                <c:pt idx="5">
                  <c:v>5105.493684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57-4A05-90F3-B97A2547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470768"/>
        <c:axId val="658473088"/>
      </c:barChart>
      <c:catAx>
        <c:axId val="6584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8473088"/>
        <c:crosses val="autoZero"/>
        <c:auto val="1"/>
        <c:lblAlgn val="ctr"/>
        <c:lblOffset val="100"/>
        <c:noMultiLvlLbl val="0"/>
      </c:catAx>
      <c:valAx>
        <c:axId val="658473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84707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572A7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6AA-48CF-9BF4-70987C6D41FC}"/>
              </c:ext>
            </c:extLst>
          </c:dPt>
          <c:dPt>
            <c:idx val="1"/>
            <c:bubble3D val="0"/>
            <c:spPr>
              <a:solidFill>
                <a:srgbClr val="AA4643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6AA-48CF-9BF4-70987C6D41FC}"/>
              </c:ext>
            </c:extLst>
          </c:dPt>
          <c:dPt>
            <c:idx val="2"/>
            <c:bubble3D val="0"/>
            <c:spPr>
              <a:solidFill>
                <a:srgbClr val="89A54E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6AA-48CF-9BF4-70987C6D41FC}"/>
              </c:ext>
            </c:extLst>
          </c:dPt>
          <c:dPt>
            <c:idx val="3"/>
            <c:bubble3D val="0"/>
            <c:spPr>
              <a:solidFill>
                <a:srgbClr val="71588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6AA-48CF-9BF4-70987C6D41FC}"/>
              </c:ext>
            </c:extLst>
          </c:dPt>
          <c:dPt>
            <c:idx val="4"/>
            <c:bubble3D val="0"/>
            <c:spPr>
              <a:solidFill>
                <a:srgbClr val="4198A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6AA-48CF-9BF4-70987C6D41FC}"/>
              </c:ext>
            </c:extLst>
          </c:dPt>
          <c:dPt>
            <c:idx val="5"/>
            <c:bubble3D val="0"/>
            <c:spPr>
              <a:solidFill>
                <a:srgbClr val="DB843D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6AA-48CF-9BF4-70987C6D41FC}"/>
              </c:ext>
            </c:extLst>
          </c:dPt>
          <c:cat>
            <c:strRef>
              <c:f>'201710漁海況'!$A$4:$A$9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'201710漁海況'!$B$4:$B$9</c:f>
              <c:numCache>
                <c:formatCode>0_ </c:formatCode>
                <c:ptCount val="6"/>
                <c:pt idx="0">
                  <c:v>7.825</c:v>
                </c:pt>
                <c:pt idx="1">
                  <c:v>15.4705</c:v>
                </c:pt>
                <c:pt idx="2">
                  <c:v>0.48</c:v>
                </c:pt>
                <c:pt idx="3">
                  <c:v>1629.456</c:v>
                </c:pt>
                <c:pt idx="4">
                  <c:v>172.008</c:v>
                </c:pt>
                <c:pt idx="5">
                  <c:v>693.8069999999999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6AA-48CF-9BF4-70987C6D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00266132404563"/>
          <c:y val="0.477767648915018"/>
          <c:w val="0.138647713283627"/>
          <c:h val="0.5217571815380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7599884259259"/>
          <c:y val="0.136030902777778"/>
          <c:w val="0.762161111111111"/>
          <c:h val="0.755543402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'201710漁海況'!$B$3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'201710漁海況'!$A$4:$A$9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'201710漁海況'!$B$4:$B$9</c:f>
              <c:numCache>
                <c:formatCode>0_ </c:formatCode>
                <c:ptCount val="6"/>
                <c:pt idx="0">
                  <c:v>7.825</c:v>
                </c:pt>
                <c:pt idx="1">
                  <c:v>15.4705</c:v>
                </c:pt>
                <c:pt idx="2">
                  <c:v>0.48</c:v>
                </c:pt>
                <c:pt idx="3">
                  <c:v>1629.456</c:v>
                </c:pt>
                <c:pt idx="4">
                  <c:v>172.008</c:v>
                </c:pt>
                <c:pt idx="5">
                  <c:v>693.8069999999999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1E-467E-8329-22D956179B6E}"/>
            </c:ext>
          </c:extLst>
        </c:ser>
        <c:ser>
          <c:idx val="1"/>
          <c:order val="1"/>
          <c:tx>
            <c:strRef>
              <c:f>'201710漁海況'!$C$3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ysClr val="windowText" lastClr="000000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'201710漁海況'!$A$4:$A$9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'201710漁海況'!$C$4:$C$9</c:f>
              <c:numCache>
                <c:formatCode>0_ </c:formatCode>
                <c:ptCount val="6"/>
                <c:pt idx="0">
                  <c:v>191.075</c:v>
                </c:pt>
                <c:pt idx="1">
                  <c:v>12.143</c:v>
                </c:pt>
                <c:pt idx="2">
                  <c:v>0.0</c:v>
                </c:pt>
                <c:pt idx="3">
                  <c:v>2440.687</c:v>
                </c:pt>
                <c:pt idx="4">
                  <c:v>88.902</c:v>
                </c:pt>
                <c:pt idx="5">
                  <c:v>2166.777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1E-467E-8329-22D956179B6E}"/>
            </c:ext>
          </c:extLst>
        </c:ser>
        <c:ser>
          <c:idx val="2"/>
          <c:order val="2"/>
          <c:tx>
            <c:strRef>
              <c:f>'201710漁海況'!$D$3</c:f>
              <c:strCache>
                <c:ptCount val="1"/>
                <c:pt idx="0">
                  <c:v>平年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ysClr val="window" lastClr="FFFFFF"/>
              </a:bgClr>
            </a:patt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'201710漁海況'!$A$4:$A$9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'201710漁海況'!$D$4:$D$9</c:f>
              <c:numCache>
                <c:formatCode>0_ </c:formatCode>
                <c:ptCount val="6"/>
                <c:pt idx="0">
                  <c:v>52.40579999999998</c:v>
                </c:pt>
                <c:pt idx="1">
                  <c:v>65.28479999999998</c:v>
                </c:pt>
                <c:pt idx="2">
                  <c:v>0.2976</c:v>
                </c:pt>
                <c:pt idx="3">
                  <c:v>881.53</c:v>
                </c:pt>
                <c:pt idx="4">
                  <c:v>412.8192</c:v>
                </c:pt>
                <c:pt idx="5">
                  <c:v>1897.2106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1E-467E-8329-22D95617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8300512"/>
        <c:axId val="658302832"/>
      </c:barChart>
      <c:catAx>
        <c:axId val="6583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="1" baseline="0"/>
            </a:pPr>
            <a:endParaRPr lang="en-US"/>
          </a:p>
        </c:txPr>
        <c:crossAx val="658302832"/>
        <c:crosses val="autoZero"/>
        <c:auto val="1"/>
        <c:lblAlgn val="ctr"/>
        <c:lblOffset val="10"/>
        <c:noMultiLvlLbl val="0"/>
      </c:catAx>
      <c:valAx>
        <c:axId val="65830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 sz="2400" baseline="0"/>
                </a:pPr>
                <a:r>
                  <a:rPr lang="ja-JP" altLang="ja-JP" sz="2400" b="1" i="0" baseline="0">
                    <a:effectLst/>
                  </a:rPr>
                  <a:t>漁獲量（トン）</a:t>
                </a:r>
                <a:endParaRPr lang="ja-JP" altLang="ja-JP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0621875"/>
              <c:y val="0.300036631944445"/>
            </c:manualLayout>
          </c:layout>
          <c:overlay val="0"/>
        </c:title>
        <c:numFmt formatCode="#,##0_);[Red]\(#,##0\)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aseline="0"/>
            </a:pPr>
            <a:endParaRPr lang="en-US"/>
          </a:p>
        </c:txPr>
        <c:crossAx val="658300512"/>
        <c:crosses val="autoZero"/>
        <c:crossBetween val="between"/>
        <c:majorUnit val="1000.0"/>
        <c:minorUnit val="500.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ayout>
        <c:manualLayout>
          <c:xMode val="edge"/>
          <c:yMode val="edge"/>
          <c:x val="0.188633912037037"/>
          <c:y val="0.150534027777778"/>
          <c:w val="0.205764236111111"/>
          <c:h val="0.197083159722222"/>
        </c:manualLayout>
      </c:layout>
      <c:overlay val="0"/>
      <c:spPr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lang="ja-JP" sz="2200" b="1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7599884259259"/>
          <c:y val="0.136030902777778"/>
          <c:w val="0.762161111111111"/>
          <c:h val="0.755543402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'201710漁海況'!$B$13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'201710漁海況'!$A$14:$A$19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'201710漁海況'!$B$14:$B$19</c:f>
              <c:numCache>
                <c:formatCode>0_);[Red]\(0\)</c:formatCode>
                <c:ptCount val="6"/>
                <c:pt idx="0">
                  <c:v>13.74</c:v>
                </c:pt>
                <c:pt idx="1">
                  <c:v>6.81</c:v>
                </c:pt>
                <c:pt idx="2">
                  <c:v>0.032</c:v>
                </c:pt>
                <c:pt idx="3">
                  <c:v>3313.623000000001</c:v>
                </c:pt>
                <c:pt idx="4">
                  <c:v>349.902</c:v>
                </c:pt>
                <c:pt idx="5">
                  <c:v>1741.109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1E-467E-8329-22D956179B6E}"/>
            </c:ext>
          </c:extLst>
        </c:ser>
        <c:ser>
          <c:idx val="1"/>
          <c:order val="1"/>
          <c:tx>
            <c:strRef>
              <c:f>'201710漁海況'!$C$13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ysClr val="windowText" lastClr="000000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'201710漁海況'!$A$14:$A$19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'201710漁海況'!$C$14:$C$19</c:f>
              <c:numCache>
                <c:formatCode>0_);[Red]\(0\)</c:formatCode>
                <c:ptCount val="6"/>
                <c:pt idx="0">
                  <c:v>33.98</c:v>
                </c:pt>
                <c:pt idx="1">
                  <c:v>64.86</c:v>
                </c:pt>
                <c:pt idx="2">
                  <c:v>0.337</c:v>
                </c:pt>
                <c:pt idx="3">
                  <c:v>7815.54</c:v>
                </c:pt>
                <c:pt idx="4">
                  <c:v>815.922</c:v>
                </c:pt>
                <c:pt idx="5">
                  <c:v>2927.219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1E-467E-8329-22D956179B6E}"/>
            </c:ext>
          </c:extLst>
        </c:ser>
        <c:ser>
          <c:idx val="2"/>
          <c:order val="2"/>
          <c:tx>
            <c:strRef>
              <c:f>'201710漁海況'!$D$13</c:f>
              <c:strCache>
                <c:ptCount val="1"/>
                <c:pt idx="0">
                  <c:v>平年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ysClr val="window" lastClr="FFFFFF"/>
              </a:bgClr>
            </a:patt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'201710漁海況'!$A$14:$A$19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'201710漁海況'!$D$14:$D$19</c:f>
              <c:numCache>
                <c:formatCode>0_);[Red]\(0\)</c:formatCode>
                <c:ptCount val="6"/>
                <c:pt idx="0">
                  <c:v>34.092</c:v>
                </c:pt>
                <c:pt idx="1">
                  <c:v>58.6284</c:v>
                </c:pt>
                <c:pt idx="2">
                  <c:v>0.2594</c:v>
                </c:pt>
                <c:pt idx="3">
                  <c:v>3337.5876</c:v>
                </c:pt>
                <c:pt idx="4">
                  <c:v>1056.2748</c:v>
                </c:pt>
                <c:pt idx="5">
                  <c:v>2711.8048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1E-467E-8329-22D95617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8077888"/>
        <c:axId val="658079936"/>
      </c:barChart>
      <c:catAx>
        <c:axId val="6580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="1" baseline="0"/>
            </a:pPr>
            <a:endParaRPr lang="en-US"/>
          </a:p>
        </c:txPr>
        <c:crossAx val="658079936"/>
        <c:crosses val="autoZero"/>
        <c:auto val="1"/>
        <c:lblAlgn val="ctr"/>
        <c:lblOffset val="10"/>
        <c:noMultiLvlLbl val="0"/>
      </c:catAx>
      <c:valAx>
        <c:axId val="65807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 sz="2400" baseline="0"/>
                </a:pPr>
                <a:r>
                  <a:rPr lang="ja-JP" altLang="ja-JP" sz="2400" b="1" i="0" baseline="0">
                    <a:effectLst/>
                  </a:rPr>
                  <a:t>漁獲量（トン）</a:t>
                </a:r>
                <a:endParaRPr lang="ja-JP" altLang="ja-JP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0621875"/>
              <c:y val="0.300036631944445"/>
            </c:manualLayout>
          </c:layout>
          <c:overlay val="0"/>
        </c:title>
        <c:numFmt formatCode="#,##0_);[Red]\(#,##0\)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aseline="0"/>
            </a:pPr>
            <a:endParaRPr lang="en-US"/>
          </a:p>
        </c:txPr>
        <c:crossAx val="658077888"/>
        <c:crosses val="autoZero"/>
        <c:crossBetween val="between"/>
        <c:majorUnit val="2000.0"/>
        <c:minorUnit val="1000.0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ayout>
        <c:manualLayout>
          <c:xMode val="edge"/>
          <c:yMode val="edge"/>
          <c:x val="0.188633912037037"/>
          <c:y val="0.150534027777778"/>
          <c:w val="0.205764236111111"/>
          <c:h val="0.197083159722222"/>
        </c:manualLayout>
      </c:layout>
      <c:overlay val="0"/>
      <c:spPr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lang="ja-JP" sz="2200" b="1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7599884259259"/>
          <c:y val="0.136030902777778"/>
          <c:w val="0.762161111111111"/>
          <c:h val="0.755543402777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'201710漁海況'!$B$23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'201710漁海況'!$A$24:$A$29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'201710漁海況'!$B$24:$B$29</c:f>
              <c:numCache>
                <c:formatCode>0_);[Red]\(0\)</c:formatCode>
                <c:ptCount val="6"/>
                <c:pt idx="0">
                  <c:v>613.98</c:v>
                </c:pt>
                <c:pt idx="1">
                  <c:v>14.04575</c:v>
                </c:pt>
                <c:pt idx="2">
                  <c:v>32.08</c:v>
                </c:pt>
                <c:pt idx="3">
                  <c:v>6857.081</c:v>
                </c:pt>
                <c:pt idx="4">
                  <c:v>2960.262</c:v>
                </c:pt>
                <c:pt idx="5">
                  <c:v>2549.039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1E-467E-8329-22D956179B6E}"/>
            </c:ext>
          </c:extLst>
        </c:ser>
        <c:ser>
          <c:idx val="1"/>
          <c:order val="1"/>
          <c:tx>
            <c:strRef>
              <c:f>'201710漁海況'!$C$23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ysClr val="windowText" lastClr="000000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'201710漁海況'!$A$24:$A$29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'201710漁海況'!$C$24:$C$29</c:f>
              <c:numCache>
                <c:formatCode>0_);[Red]\(0\)</c:formatCode>
                <c:ptCount val="6"/>
                <c:pt idx="0">
                  <c:v>222.28</c:v>
                </c:pt>
                <c:pt idx="1">
                  <c:v>8.285</c:v>
                </c:pt>
                <c:pt idx="2">
                  <c:v>1.841</c:v>
                </c:pt>
                <c:pt idx="3">
                  <c:v>6098.302999999998</c:v>
                </c:pt>
                <c:pt idx="4">
                  <c:v>2481.012</c:v>
                </c:pt>
                <c:pt idx="5">
                  <c:v>2585.507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1E-467E-8329-22D956179B6E}"/>
            </c:ext>
          </c:extLst>
        </c:ser>
        <c:ser>
          <c:idx val="2"/>
          <c:order val="2"/>
          <c:tx>
            <c:strRef>
              <c:f>'201710漁海況'!$D$23</c:f>
              <c:strCache>
                <c:ptCount val="1"/>
                <c:pt idx="0">
                  <c:v>平年</c:v>
                </c:pt>
              </c:strCache>
            </c:strRef>
          </c:tx>
          <c:spPr>
            <a:pattFill prst="wdUpDiag">
              <a:fgClr>
                <a:srgbClr val="00B050"/>
              </a:fgClr>
              <a:bgClr>
                <a:sysClr val="window" lastClr="FFFFFF"/>
              </a:bgClr>
            </a:patt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'201710漁海況'!$A$24:$A$29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'201710漁海況'!$D$24:$D$29</c:f>
              <c:numCache>
                <c:formatCode>0_);[Red]\(0\)</c:formatCode>
                <c:ptCount val="6"/>
                <c:pt idx="0">
                  <c:v>512.9804</c:v>
                </c:pt>
                <c:pt idx="1">
                  <c:v>18.07209</c:v>
                </c:pt>
                <c:pt idx="2">
                  <c:v>34.451</c:v>
                </c:pt>
                <c:pt idx="3">
                  <c:v>6199.5476</c:v>
                </c:pt>
                <c:pt idx="4">
                  <c:v>2514.2868</c:v>
                </c:pt>
                <c:pt idx="5">
                  <c:v>2483.3302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1E-467E-8329-22D95617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7696112"/>
        <c:axId val="657698432"/>
      </c:barChart>
      <c:catAx>
        <c:axId val="6576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="1" baseline="0"/>
            </a:pPr>
            <a:endParaRPr lang="en-US"/>
          </a:p>
        </c:txPr>
        <c:crossAx val="657698432"/>
        <c:crosses val="autoZero"/>
        <c:auto val="1"/>
        <c:lblAlgn val="ctr"/>
        <c:lblOffset val="10"/>
        <c:noMultiLvlLbl val="0"/>
      </c:catAx>
      <c:valAx>
        <c:axId val="65769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 sz="2400" baseline="0"/>
                </a:pPr>
                <a:r>
                  <a:rPr lang="ja-JP" altLang="ja-JP" sz="2400" b="1" i="0" baseline="0">
                    <a:effectLst/>
                  </a:rPr>
                  <a:t>漁獲量（トン）</a:t>
                </a:r>
                <a:endParaRPr lang="ja-JP" altLang="ja-JP" sz="2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0621875"/>
              <c:y val="0.300036631944445"/>
            </c:manualLayout>
          </c:layout>
          <c:overlay val="0"/>
        </c:title>
        <c:numFmt formatCode="#,##0_);[Red]\(#,##0\)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lang="ja-JP" sz="2200" baseline="0"/>
            </a:pPr>
            <a:endParaRPr lang="en-US"/>
          </a:p>
        </c:txPr>
        <c:crossAx val="657696112"/>
        <c:crosses val="autoZero"/>
        <c:crossBetween val="between"/>
        <c:majorUnit val="2000.0"/>
        <c:minorUnit val="1000.0"/>
      </c:valAx>
      <c:spPr>
        <a:ln w="19050">
          <a:solidFill>
            <a:sysClr val="windowText" lastClr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lang="ja-JP" sz="2200" b="1" baseline="0"/>
            </a:pPr>
            <a:endParaRPr lang="en-US"/>
          </a:p>
        </c:txPr>
      </c:legendEntry>
      <c:layout>
        <c:manualLayout>
          <c:xMode val="edge"/>
          <c:yMode val="edge"/>
          <c:x val="0.188633912037037"/>
          <c:y val="0.150534027777778"/>
          <c:w val="0.205764236111111"/>
          <c:h val="0.197083159722222"/>
        </c:manualLayout>
      </c:layout>
      <c:overlay val="0"/>
      <c:spPr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lang="ja-JP" sz="2200" b="1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4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rPr>
              <a:t>鹿児島県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カタクチイワシ!$A$176</c:f>
              <c:strCache>
                <c:ptCount val="1"/>
                <c:pt idx="0">
                  <c:v>2013年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カタクチイワシ!$B$176:$M$176</c:f>
              <c:numCache>
                <c:formatCode>#,##0.0</c:formatCode>
                <c:ptCount val="12"/>
                <c:pt idx="0">
                  <c:v>2.268</c:v>
                </c:pt>
                <c:pt idx="1">
                  <c:v>1.674</c:v>
                </c:pt>
                <c:pt idx="2">
                  <c:v>50.288</c:v>
                </c:pt>
                <c:pt idx="3">
                  <c:v>38.826</c:v>
                </c:pt>
                <c:pt idx="4">
                  <c:v>455.986</c:v>
                </c:pt>
                <c:pt idx="5">
                  <c:v>1382.293</c:v>
                </c:pt>
                <c:pt idx="6">
                  <c:v>662.5169999999999</c:v>
                </c:pt>
                <c:pt idx="7">
                  <c:v>393.55</c:v>
                </c:pt>
                <c:pt idx="8">
                  <c:v>171.858</c:v>
                </c:pt>
                <c:pt idx="9">
                  <c:v>207.648</c:v>
                </c:pt>
                <c:pt idx="10">
                  <c:v>8.582</c:v>
                </c:pt>
                <c:pt idx="11">
                  <c:v>13.401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92-48EE-A9B4-E9FDC4899603}"/>
            </c:ext>
          </c:extLst>
        </c:ser>
        <c:ser>
          <c:idx val="1"/>
          <c:order val="1"/>
          <c:tx>
            <c:strRef>
              <c:f>カタクチイワシ!$A$177</c:f>
              <c:strCache>
                <c:ptCount val="1"/>
                <c:pt idx="0">
                  <c:v>2014年</c:v>
                </c:pt>
              </c:strCache>
            </c:strRef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val>
            <c:numRef>
              <c:f>カタクチイワシ!$B$177:$M$177</c:f>
              <c:numCache>
                <c:formatCode>#,##0.0</c:formatCode>
                <c:ptCount val="12"/>
                <c:pt idx="0">
                  <c:v>19.584</c:v>
                </c:pt>
                <c:pt idx="1">
                  <c:v>145.112</c:v>
                </c:pt>
                <c:pt idx="2">
                  <c:v>152.397</c:v>
                </c:pt>
                <c:pt idx="3">
                  <c:v>21.654</c:v>
                </c:pt>
                <c:pt idx="4">
                  <c:v>76.784</c:v>
                </c:pt>
                <c:pt idx="5">
                  <c:v>692.773</c:v>
                </c:pt>
                <c:pt idx="6">
                  <c:v>788.308</c:v>
                </c:pt>
                <c:pt idx="7">
                  <c:v>685.018</c:v>
                </c:pt>
                <c:pt idx="8">
                  <c:v>1238.625</c:v>
                </c:pt>
                <c:pt idx="9">
                  <c:v>2462.845</c:v>
                </c:pt>
                <c:pt idx="10">
                  <c:v>1866.793</c:v>
                </c:pt>
                <c:pt idx="11">
                  <c:v>1996.252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92-48EE-A9B4-E9FDC4899603}"/>
            </c:ext>
          </c:extLst>
        </c:ser>
        <c:ser>
          <c:idx val="2"/>
          <c:order val="2"/>
          <c:tx>
            <c:strRef>
              <c:f>カタクチイワシ!$A$178</c:f>
              <c:strCache>
                <c:ptCount val="1"/>
                <c:pt idx="0">
                  <c:v>2015年</c:v>
                </c:pt>
              </c:strCache>
            </c:strRef>
          </c:tx>
          <c:spPr>
            <a:ln w="25400">
              <a:solidFill>
                <a:srgbClr val="999933"/>
              </a:solidFill>
              <a:prstDash val="solid"/>
            </a:ln>
          </c:spPr>
          <c:marker>
            <c:symbol val="none"/>
          </c:marker>
          <c:val>
            <c:numRef>
              <c:f>カタクチイワシ!$B$178:$M$178</c:f>
              <c:numCache>
                <c:formatCode>#,##0.0</c:formatCode>
                <c:ptCount val="12"/>
                <c:pt idx="0">
                  <c:v>185.094</c:v>
                </c:pt>
                <c:pt idx="1">
                  <c:v>23.418</c:v>
                </c:pt>
                <c:pt idx="2">
                  <c:v>73.71</c:v>
                </c:pt>
                <c:pt idx="3">
                  <c:v>101.916</c:v>
                </c:pt>
                <c:pt idx="4">
                  <c:v>113.436</c:v>
                </c:pt>
                <c:pt idx="5">
                  <c:v>617.859</c:v>
                </c:pt>
                <c:pt idx="6">
                  <c:v>664.5630000000001</c:v>
                </c:pt>
                <c:pt idx="7">
                  <c:v>586.622</c:v>
                </c:pt>
                <c:pt idx="8">
                  <c:v>212.935</c:v>
                </c:pt>
                <c:pt idx="9">
                  <c:v>35.676</c:v>
                </c:pt>
                <c:pt idx="10">
                  <c:v>497.091</c:v>
                </c:pt>
                <c:pt idx="11">
                  <c:v>498.933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92-48EE-A9B4-E9FDC489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840656"/>
        <c:axId val="784085728"/>
      </c:lineChart>
      <c:catAx>
        <c:axId val="5588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E3E3E3"/>
            </a:solidFill>
            <a:prstDash val="solid"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84085728"/>
        <c:crosses val="autoZero"/>
        <c:auto val="1"/>
        <c:lblAlgn val="ctr"/>
        <c:lblOffset val="100"/>
        <c:noMultiLvlLbl val="0"/>
      </c:catAx>
      <c:valAx>
        <c:axId val="784085728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olid"/>
            </a:ln>
          </c:spPr>
        </c:majorGridlines>
        <c:numFmt formatCode="#,##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ja-JP" sz="900" b="0" i="0" u="none" strike="noStrike" baseline="0">
                <a:solidFill>
                  <a:srgbClr val="424242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558840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7925853018373"/>
          <c:y val="0.909750929571304"/>
          <c:w val="0.38334530839895"/>
          <c:h val="0.059029691601049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825" b="0" i="0" u="none" strike="noStrike" baseline="0">
              <a:solidFill>
                <a:srgbClr val="424242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E3E3E3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マ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イ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'201703漁海況'!$A$4:$A$10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'201703漁海況'!$B$4:$B$10</c:f>
              <c:numCache>
                <c:formatCode>0_ </c:formatCode>
                <c:ptCount val="7"/>
                <c:pt idx="0">
                  <c:v>0.0</c:v>
                </c:pt>
                <c:pt idx="1">
                  <c:v>0.2965</c:v>
                </c:pt>
                <c:pt idx="2">
                  <c:v>0.512</c:v>
                </c:pt>
                <c:pt idx="3">
                  <c:v>1332.432</c:v>
                </c:pt>
                <c:pt idx="4">
                  <c:v>266.652</c:v>
                </c:pt>
                <c:pt idx="5">
                  <c:v>657.322</c:v>
                </c:pt>
                <c:pt idx="6">
                  <c:v>2257.2145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20-4AC4-81D1-0C5CAC864FB1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'201703漁海況'!$A$4:$A$10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'201703漁海況'!$C$4:$C$10</c:f>
              <c:numCache>
                <c:formatCode>0_ </c:formatCode>
                <c:ptCount val="7"/>
                <c:pt idx="0">
                  <c:v>4.882</c:v>
                </c:pt>
                <c:pt idx="1">
                  <c:v>0.0</c:v>
                </c:pt>
                <c:pt idx="2">
                  <c:v>0.032</c:v>
                </c:pt>
                <c:pt idx="3">
                  <c:v>256.89</c:v>
                </c:pt>
                <c:pt idx="4">
                  <c:v>489.114</c:v>
                </c:pt>
                <c:pt idx="5">
                  <c:v>4707.528</c:v>
                </c:pt>
                <c:pt idx="6">
                  <c:v>5458.446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20-4AC4-81D1-0C5CAC864FB1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'201703漁海況'!$A$4:$A$10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'201703漁海況'!$D$4:$D$10</c:f>
              <c:numCache>
                <c:formatCode>0_ </c:formatCode>
                <c:ptCount val="7"/>
                <c:pt idx="0">
                  <c:v>1.6524</c:v>
                </c:pt>
                <c:pt idx="1">
                  <c:v>0.0593</c:v>
                </c:pt>
                <c:pt idx="2">
                  <c:v>0.97888</c:v>
                </c:pt>
                <c:pt idx="3">
                  <c:v>548.3844</c:v>
                </c:pt>
                <c:pt idx="4">
                  <c:v>252.3636</c:v>
                </c:pt>
                <c:pt idx="5">
                  <c:v>1316.7328</c:v>
                </c:pt>
                <c:pt idx="6">
                  <c:v>2120.17138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20-4AC4-81D1-0C5CAC864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745296"/>
        <c:axId val="657747616"/>
      </c:barChart>
      <c:catAx>
        <c:axId val="6577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747616"/>
        <c:crosses val="autoZero"/>
        <c:auto val="1"/>
        <c:lblAlgn val="ctr"/>
        <c:lblOffset val="100"/>
        <c:noMultiLvlLbl val="0"/>
      </c:catAx>
      <c:valAx>
        <c:axId val="657747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7452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7478385054809"/>
          <c:y val="0.448832847665695"/>
          <c:w val="0.0906891693685347"/>
          <c:h val="0.212604935209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ウル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メ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'201703漁海況'!$A$14:$A$20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'201703漁海況'!$B$14:$B$20</c:f>
              <c:numCache>
                <c:formatCode>0_);[Red]\(0\)</c:formatCode>
                <c:ptCount val="7"/>
                <c:pt idx="0">
                  <c:v>0.0</c:v>
                </c:pt>
                <c:pt idx="1">
                  <c:v>0.54</c:v>
                </c:pt>
                <c:pt idx="2">
                  <c:v>0.0</c:v>
                </c:pt>
                <c:pt idx="3">
                  <c:v>6765.36</c:v>
                </c:pt>
                <c:pt idx="4">
                  <c:v>1057.41</c:v>
                </c:pt>
                <c:pt idx="5">
                  <c:v>1922.396</c:v>
                </c:pt>
                <c:pt idx="6">
                  <c:v>9745.706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F2-435F-8A65-DB32F71C441C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'201703漁海況'!$A$14:$A$20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'201703漁海況'!$C$14:$C$20</c:f>
              <c:numCache>
                <c:formatCode>0_);[Red]\(0\)</c:formatCode>
                <c:ptCount val="7"/>
                <c:pt idx="0">
                  <c:v>13.04</c:v>
                </c:pt>
                <c:pt idx="1">
                  <c:v>0.0</c:v>
                </c:pt>
                <c:pt idx="2">
                  <c:v>0.016</c:v>
                </c:pt>
                <c:pt idx="3">
                  <c:v>5812.612</c:v>
                </c:pt>
                <c:pt idx="4">
                  <c:v>929.718</c:v>
                </c:pt>
                <c:pt idx="5">
                  <c:v>3958.405</c:v>
                </c:pt>
                <c:pt idx="6">
                  <c:v>10713.791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F2-435F-8A65-DB32F71C441C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'201703漁海況'!$A$14:$A$20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'201703漁海況'!$D$14:$D$20</c:f>
              <c:numCache>
                <c:formatCode>0_);[Red]\(0\)</c:formatCode>
                <c:ptCount val="7"/>
                <c:pt idx="0">
                  <c:v>8.108000000000001</c:v>
                </c:pt>
                <c:pt idx="1">
                  <c:v>0.126</c:v>
                </c:pt>
                <c:pt idx="2">
                  <c:v>0.408</c:v>
                </c:pt>
                <c:pt idx="3">
                  <c:v>3220.8232</c:v>
                </c:pt>
                <c:pt idx="4">
                  <c:v>1112.3856</c:v>
                </c:pt>
                <c:pt idx="5">
                  <c:v>2338.4042</c:v>
                </c:pt>
                <c:pt idx="6">
                  <c:v>6680.255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F2-435F-8A65-DB32F71C4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777792"/>
        <c:axId val="657780112"/>
      </c:barChart>
      <c:catAx>
        <c:axId val="6577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780112"/>
        <c:crosses val="autoZero"/>
        <c:auto val="1"/>
        <c:lblAlgn val="ctr"/>
        <c:lblOffset val="100"/>
        <c:noMultiLvlLbl val="0"/>
      </c:catAx>
      <c:valAx>
        <c:axId val="657780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);[Red]\(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7777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7778526461698"/>
          <c:y val="0.46826990376203"/>
          <c:w val="0.0904674354580983"/>
          <c:h val="0.2142929008873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カ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タ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クチイワシ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'201703漁海況'!$A$24:$A$30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'201703漁海況'!$B$24:$B$30</c:f>
              <c:numCache>
                <c:formatCode>0_);[Red]\(0\)</c:formatCode>
                <c:ptCount val="7"/>
                <c:pt idx="0">
                  <c:v>137.4</c:v>
                </c:pt>
                <c:pt idx="1">
                  <c:v>6.051</c:v>
                </c:pt>
                <c:pt idx="2">
                  <c:v>56.4</c:v>
                </c:pt>
                <c:pt idx="3">
                  <c:v>660.4590000000001</c:v>
                </c:pt>
                <c:pt idx="4">
                  <c:v>107.244</c:v>
                </c:pt>
                <c:pt idx="5">
                  <c:v>498.01</c:v>
                </c:pt>
                <c:pt idx="6">
                  <c:v>1465.564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5D-4F3F-AD0D-5E535199EF24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'201703漁海況'!$A$24:$A$30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'201703漁海況'!$C$24:$C$30</c:f>
              <c:numCache>
                <c:formatCode>0_);[Red]\(0\)</c:formatCode>
                <c:ptCount val="7"/>
                <c:pt idx="0">
                  <c:v>109.5</c:v>
                </c:pt>
                <c:pt idx="1">
                  <c:v>12.8865</c:v>
                </c:pt>
                <c:pt idx="2">
                  <c:v>35.3292</c:v>
                </c:pt>
                <c:pt idx="3">
                  <c:v>1051.451</c:v>
                </c:pt>
                <c:pt idx="4">
                  <c:v>897.4979999999999</c:v>
                </c:pt>
                <c:pt idx="5">
                  <c:v>1733.403</c:v>
                </c:pt>
                <c:pt idx="6">
                  <c:v>3840.067700000001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5D-4F3F-AD0D-5E535199EF24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'201703漁海況'!$A$24:$A$30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'201703漁海況'!$D$24:$D$30</c:f>
              <c:numCache>
                <c:formatCode>0_);[Red]\(0\)</c:formatCode>
                <c:ptCount val="7"/>
                <c:pt idx="0">
                  <c:v>169.944</c:v>
                </c:pt>
                <c:pt idx="1">
                  <c:v>11.4359</c:v>
                </c:pt>
                <c:pt idx="2">
                  <c:v>36.66424</c:v>
                </c:pt>
                <c:pt idx="3">
                  <c:v>864.4492</c:v>
                </c:pt>
                <c:pt idx="4">
                  <c:v>548.082</c:v>
                </c:pt>
                <c:pt idx="5">
                  <c:v>1264.2238</c:v>
                </c:pt>
                <c:pt idx="6">
                  <c:v>2894.79914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5D-4F3F-AD0D-5E535199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09888"/>
        <c:axId val="657812208"/>
      </c:barChart>
      <c:catAx>
        <c:axId val="65780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812208"/>
        <c:crosses val="autoZero"/>
        <c:auto val="1"/>
        <c:lblAlgn val="ctr"/>
        <c:lblOffset val="100"/>
        <c:noMultiLvlLbl val="0"/>
      </c:catAx>
      <c:valAx>
        <c:axId val="657812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);[Red]\(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8098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6905618698115"/>
          <c:y val="0.448427696537933"/>
          <c:w val="0.083713079417109"/>
          <c:h val="0.2142929008873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マイワシ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'201703漁海況'!$A$4:$A$10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'201703漁海況'!$N$4:$N$10</c:f>
              <c:numCache>
                <c:formatCode>0.0_);[Red]\(0.0\)</c:formatCode>
                <c:ptCount val="7"/>
                <c:pt idx="0">
                  <c:v>193.435</c:v>
                </c:pt>
                <c:pt idx="1">
                  <c:v>12.143</c:v>
                </c:pt>
                <c:pt idx="2">
                  <c:v>0.0</c:v>
                </c:pt>
                <c:pt idx="3">
                  <c:v>2495.473</c:v>
                </c:pt>
                <c:pt idx="4">
                  <c:v>88.938</c:v>
                </c:pt>
                <c:pt idx="5">
                  <c:v>2267.038</c:v>
                </c:pt>
                <c:pt idx="6">
                  <c:v>5057.027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BB-4401-83C7-8F28B7E12CA0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'201703漁海況'!$A$4:$A$10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'201703漁海況'!$O$4:$O$10</c:f>
              <c:numCache>
                <c:formatCode>0.0_);[Red]\(0.0\)</c:formatCode>
                <c:ptCount val="7"/>
                <c:pt idx="0">
                  <c:v>57.7998</c:v>
                </c:pt>
                <c:pt idx="1">
                  <c:v>67.93680000000001</c:v>
                </c:pt>
                <c:pt idx="2">
                  <c:v>0.3008</c:v>
                </c:pt>
                <c:pt idx="3">
                  <c:v>1065.1908</c:v>
                </c:pt>
                <c:pt idx="4">
                  <c:v>439.812</c:v>
                </c:pt>
                <c:pt idx="5">
                  <c:v>2326.8342</c:v>
                </c:pt>
                <c:pt idx="6">
                  <c:v>3957.8744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BB-4401-83C7-8F28B7E1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38368"/>
        <c:axId val="657840688"/>
      </c:barChart>
      <c:catAx>
        <c:axId val="6578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840688"/>
        <c:crosses val="autoZero"/>
        <c:auto val="1"/>
        <c:lblAlgn val="ctr"/>
        <c:lblOffset val="100"/>
        <c:noMultiLvlLbl val="0"/>
      </c:catAx>
      <c:valAx>
        <c:axId val="6578406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838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5348190421151"/>
          <c:y val="0.484267158534317"/>
          <c:w val="0.0848649136747814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ウルメイワシ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'201703漁海況'!$A$14:$A$20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'201703漁海況'!$N$14:$N$20</c:f>
              <c:numCache>
                <c:formatCode>0.0_);[Red]\(0.0\)</c:formatCode>
                <c:ptCount val="7"/>
                <c:pt idx="0">
                  <c:v>35.38</c:v>
                </c:pt>
                <c:pt idx="1">
                  <c:v>64.86</c:v>
                </c:pt>
                <c:pt idx="2">
                  <c:v>0.353</c:v>
                </c:pt>
                <c:pt idx="3">
                  <c:v>8041.071</c:v>
                </c:pt>
                <c:pt idx="4">
                  <c:v>955.296</c:v>
                </c:pt>
                <c:pt idx="5">
                  <c:v>3490.28</c:v>
                </c:pt>
                <c:pt idx="6">
                  <c:v>12587.24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DD-4A31-9F67-5E0AF1B1ACD8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'201703漁海況'!$A$14:$A$20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'201703漁海況'!$O$14:$O$20</c:f>
              <c:numCache>
                <c:formatCode>0.0_);[Red]\(0.0\)</c:formatCode>
                <c:ptCount val="7"/>
                <c:pt idx="0">
                  <c:v>122.324</c:v>
                </c:pt>
                <c:pt idx="1">
                  <c:v>58.6884</c:v>
                </c:pt>
                <c:pt idx="2">
                  <c:v>0.4708</c:v>
                </c:pt>
                <c:pt idx="3">
                  <c:v>4278.1494</c:v>
                </c:pt>
                <c:pt idx="4">
                  <c:v>1188.2256</c:v>
                </c:pt>
                <c:pt idx="5">
                  <c:v>3292.5426</c:v>
                </c:pt>
                <c:pt idx="6">
                  <c:v>8940.400799999999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DD-4A31-9F67-5E0AF1B1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65648"/>
        <c:axId val="657867968"/>
      </c:barChart>
      <c:catAx>
        <c:axId val="65786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867968"/>
        <c:crosses val="autoZero"/>
        <c:auto val="1"/>
        <c:lblAlgn val="ctr"/>
        <c:lblOffset val="100"/>
        <c:noMultiLvlLbl val="0"/>
      </c:catAx>
      <c:valAx>
        <c:axId val="6578679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8656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5872793298098"/>
          <c:y val="0.484267158534317"/>
          <c:w val="0.0844775824254845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カ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タクチイワシ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36998153009"/>
          <c:y val="0.18744125488251"/>
          <c:w val="0.689705939535336"/>
          <c:h val="0.546514559695786"/>
        </c:manualLayout>
      </c:layout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'201703漁海況'!$A$24:$A$30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'201703漁海況'!$N$24:$N$30</c:f>
              <c:numCache>
                <c:formatCode>0.0_);[Red]\(0.0\)</c:formatCode>
                <c:ptCount val="7"/>
                <c:pt idx="0">
                  <c:v>278.36</c:v>
                </c:pt>
                <c:pt idx="1">
                  <c:v>9.893</c:v>
                </c:pt>
                <c:pt idx="2">
                  <c:v>2.289</c:v>
                </c:pt>
                <c:pt idx="3">
                  <c:v>6905.915</c:v>
                </c:pt>
                <c:pt idx="4">
                  <c:v>2643.174</c:v>
                </c:pt>
                <c:pt idx="5">
                  <c:v>2993.509</c:v>
                </c:pt>
                <c:pt idx="6">
                  <c:v>12833.14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5A-486B-B644-DB6C1136C3D1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'201703漁海況'!$A$24:$A$30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'201703漁海況'!$O$24:$O$30</c:f>
              <c:numCache>
                <c:formatCode>0.0_);[Red]\(0.0\)</c:formatCode>
                <c:ptCount val="7"/>
                <c:pt idx="0">
                  <c:v>556.7684</c:v>
                </c:pt>
                <c:pt idx="1">
                  <c:v>19.98289</c:v>
                </c:pt>
                <c:pt idx="2">
                  <c:v>34.72022</c:v>
                </c:pt>
                <c:pt idx="3">
                  <c:v>6868.7828</c:v>
                </c:pt>
                <c:pt idx="4">
                  <c:v>2967.642</c:v>
                </c:pt>
                <c:pt idx="5">
                  <c:v>2892.0818</c:v>
                </c:pt>
                <c:pt idx="6">
                  <c:v>13339.97811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5A-486B-B644-DB6C1136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892928"/>
        <c:axId val="657895248"/>
      </c:barChart>
      <c:catAx>
        <c:axId val="65789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895248"/>
        <c:crosses val="autoZero"/>
        <c:auto val="1"/>
        <c:lblAlgn val="ctr"/>
        <c:lblOffset val="100"/>
        <c:noMultiLvlLbl val="0"/>
      </c:catAx>
      <c:valAx>
        <c:axId val="657895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8929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0696446357093"/>
          <c:y val="0.480329840659681"/>
          <c:w val="0.0883083081201962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マイワ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7"/>
          <c:w val="0.762663623568793"/>
          <c:h val="0.6016598787220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'201703漁海況'!$W$4:$W$9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'201703漁海況'!$X$4:$X$9</c:f>
              <c:numCache>
                <c:formatCode>0.0_ </c:formatCode>
                <c:ptCount val="6"/>
                <c:pt idx="0">
                  <c:v>1328.4628</c:v>
                </c:pt>
                <c:pt idx="1">
                  <c:v>7682.084</c:v>
                </c:pt>
                <c:pt idx="2">
                  <c:v>2715.0975</c:v>
                </c:pt>
                <c:pt idx="3">
                  <c:v>1407.227</c:v>
                </c:pt>
                <c:pt idx="4">
                  <c:v>5057.027000000001</c:v>
                </c:pt>
                <c:pt idx="5">
                  <c:v>3637.97966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BD-496D-9BE4-643DCE04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916240"/>
        <c:axId val="657918560"/>
      </c:barChart>
      <c:catAx>
        <c:axId val="6579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918560"/>
        <c:crosses val="autoZero"/>
        <c:auto val="1"/>
        <c:lblAlgn val="ctr"/>
        <c:lblOffset val="100"/>
        <c:noMultiLvlLbl val="0"/>
      </c:catAx>
      <c:valAx>
        <c:axId val="6579185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916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ウルメ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イ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ワ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シ</a:t>
            </a:r>
          </a:p>
        </c:rich>
      </c:tx>
      <c:layout>
        <c:manualLayout>
          <c:xMode val="edge"/>
          <c:yMode val="edge"/>
          <c:x val="0.405333105100993"/>
          <c:y val="0.007662684405828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7"/>
          <c:w val="0.762663623568794"/>
          <c:h val="0.601659878722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'201703漁海況'!$W$14:$W$19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'201703漁海況'!$X$14:$X$19</c:f>
              <c:numCache>
                <c:formatCode>0.0_ </c:formatCode>
                <c:ptCount val="6"/>
                <c:pt idx="0">
                  <c:v>12106.9934</c:v>
                </c:pt>
                <c:pt idx="1">
                  <c:v>11577.543</c:v>
                </c:pt>
                <c:pt idx="2">
                  <c:v>8721.923999999999</c:v>
                </c:pt>
                <c:pt idx="3">
                  <c:v>4171.784</c:v>
                </c:pt>
                <c:pt idx="4">
                  <c:v>12587.24</c:v>
                </c:pt>
                <c:pt idx="5">
                  <c:v>9833.096880000001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8E-4CBA-9A71-2F7D6582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938912"/>
        <c:axId val="657941232"/>
      </c:barChart>
      <c:catAx>
        <c:axId val="6579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941232"/>
        <c:crosses val="autoZero"/>
        <c:auto val="1"/>
        <c:lblAlgn val="ctr"/>
        <c:lblOffset val="100"/>
        <c:noMultiLvlLbl val="0"/>
      </c:catAx>
      <c:valAx>
        <c:axId val="657941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9389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カ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タ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クチイワシ</a:t>
            </a:r>
          </a:p>
        </c:rich>
      </c:tx>
      <c:layout>
        <c:manualLayout>
          <c:xMode val="edge"/>
          <c:yMode val="edge"/>
          <c:x val="0.405333105100993"/>
          <c:y val="0.007662684405828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8"/>
          <c:w val="0.762663623568794"/>
          <c:h val="0.601659878722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'201703漁海況'!$W$24:$W$29</c:f>
              <c:strCach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'201703漁海況'!$X$24:$X$29</c:f>
              <c:numCache>
                <c:formatCode>0.0_ </c:formatCode>
                <c:ptCount val="6"/>
                <c:pt idx="0">
                  <c:v>7131.48695</c:v>
                </c:pt>
                <c:pt idx="1">
                  <c:v>11709.6368</c:v>
                </c:pt>
                <c:pt idx="2">
                  <c:v>16587.492</c:v>
                </c:pt>
                <c:pt idx="3">
                  <c:v>12136.918</c:v>
                </c:pt>
                <c:pt idx="4">
                  <c:v>12833.14</c:v>
                </c:pt>
                <c:pt idx="5">
                  <c:v>12079.73475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F9-4B5B-B430-9839270D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668464"/>
        <c:axId val="657670512"/>
      </c:barChart>
      <c:catAx>
        <c:axId val="6576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670512"/>
        <c:crosses val="autoZero"/>
        <c:auto val="1"/>
        <c:lblAlgn val="ctr"/>
        <c:lblOffset val="100"/>
        <c:noMultiLvlLbl val="0"/>
      </c:catAx>
      <c:valAx>
        <c:axId val="657670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6684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マ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イ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'201610漁海況'!$A$4:$A$10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'201610漁海況'!$B$4:$B$10</c:f>
              <c:numCache>
                <c:formatCode>0_ </c:formatCode>
                <c:ptCount val="7"/>
                <c:pt idx="0">
                  <c:v>191.075</c:v>
                </c:pt>
                <c:pt idx="1">
                  <c:v>12.143</c:v>
                </c:pt>
                <c:pt idx="2">
                  <c:v>0.0</c:v>
                </c:pt>
                <c:pt idx="3">
                  <c:v>2440.687</c:v>
                </c:pt>
                <c:pt idx="4">
                  <c:v>88.902</c:v>
                </c:pt>
                <c:pt idx="5">
                  <c:v>2166.777</c:v>
                </c:pt>
                <c:pt idx="6">
                  <c:v>4899.584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29-4E08-9863-75835403B201}"/>
            </c:ext>
          </c:extLst>
        </c:ser>
        <c:ser>
          <c:idx val="1"/>
          <c:order val="1"/>
          <c:tx>
            <c:strRef>
              <c:f>'201610漁海況'!$C$3</c:f>
              <c:strCache>
                <c:ptCount val="1"/>
                <c:pt idx="0">
                  <c:v>前年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'201610漁海況'!$A$4:$A$10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'201610漁海況'!$C$4:$C$10</c:f>
              <c:numCache>
                <c:formatCode>0_ </c:formatCode>
                <c:ptCount val="7"/>
                <c:pt idx="0">
                  <c:v>50.244</c:v>
                </c:pt>
                <c:pt idx="1">
                  <c:v>179.184</c:v>
                </c:pt>
                <c:pt idx="2">
                  <c:v>0.016</c:v>
                </c:pt>
                <c:pt idx="3">
                  <c:v>109.542</c:v>
                </c:pt>
                <c:pt idx="4">
                  <c:v>106.686</c:v>
                </c:pt>
                <c:pt idx="5">
                  <c:v>729.321</c:v>
                </c:pt>
                <c:pt idx="6">
                  <c:v>1174.993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29-4E08-9863-75835403B201}"/>
            </c:ext>
          </c:extLst>
        </c:ser>
        <c:ser>
          <c:idx val="2"/>
          <c:order val="2"/>
          <c:tx>
            <c:strRef>
              <c:f>'201610漁海況'!$D$3</c:f>
              <c:strCache>
                <c:ptCount val="1"/>
                <c:pt idx="0">
                  <c:v>平年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'201610漁海況'!$A$4:$A$10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'201610漁海況'!$D$4:$D$10</c:f>
              <c:numCache>
                <c:formatCode>0_ </c:formatCode>
                <c:ptCount val="7"/>
                <c:pt idx="0">
                  <c:v>52.40579999999998</c:v>
                </c:pt>
                <c:pt idx="1">
                  <c:v>65.28479999999998</c:v>
                </c:pt>
                <c:pt idx="2">
                  <c:v>0.2976</c:v>
                </c:pt>
                <c:pt idx="3">
                  <c:v>881.53</c:v>
                </c:pt>
                <c:pt idx="4">
                  <c:v>412.8192</c:v>
                </c:pt>
                <c:pt idx="5">
                  <c:v>1897.2106</c:v>
                </c:pt>
                <c:pt idx="6">
                  <c:v>3309.548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429-4E08-9863-75835403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7580800"/>
        <c:axId val="657583120"/>
      </c:barChart>
      <c:catAx>
        <c:axId val="6575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583120"/>
        <c:crosses val="autoZero"/>
        <c:auto val="1"/>
        <c:lblAlgn val="ctr"/>
        <c:lblOffset val="100"/>
        <c:noMultiLvlLbl val="0"/>
      </c:catAx>
      <c:valAx>
        <c:axId val="657583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6575808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7478385054809"/>
          <c:y val="0.452770165540331"/>
          <c:w val="0.0906891693685347"/>
          <c:h val="0.2126049352098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サバ類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[1]カタクチイワシ!$P$3</c:f>
              <c:strCache>
                <c:ptCount val="1"/>
                <c:pt idx="0">
                  <c:v>4～9月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8080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[1]カタクチイワシ!$Q$3</c:f>
              <c:strCache>
                <c:ptCount val="1"/>
                <c:pt idx="0">
                  <c:v>10～3月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808455776"/>
        <c:axId val="808458320"/>
      </c:barChart>
      <c:catAx>
        <c:axId val="80845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年度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845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8458320"/>
        <c:scaling>
          <c:orientation val="minMax"/>
          <c:max val="350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/>
                  <a:t>［ﾄﾝ］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8455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lang="ja-JP" sz="20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1.0" l="0.75" r="0.75" t="1.0" header="0.512" footer="0.51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ウル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メ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'201610漁海況'!$A$14:$A$20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'201610漁海況'!$B$14:$B$20</c:f>
              <c:numCache>
                <c:formatCode>0_);[Red]\(0\)</c:formatCode>
                <c:ptCount val="7"/>
                <c:pt idx="0">
                  <c:v>33.98</c:v>
                </c:pt>
                <c:pt idx="1">
                  <c:v>64.86</c:v>
                </c:pt>
                <c:pt idx="2">
                  <c:v>0.337</c:v>
                </c:pt>
                <c:pt idx="3">
                  <c:v>7815.54</c:v>
                </c:pt>
                <c:pt idx="4">
                  <c:v>815.922</c:v>
                </c:pt>
                <c:pt idx="5">
                  <c:v>2927.219</c:v>
                </c:pt>
                <c:pt idx="6">
                  <c:v>11657.858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EE-45C7-B3E4-3B08BA95408E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'201610漁海況'!$A$14:$A$20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'201610漁海況'!$C$14:$C$20</c:f>
              <c:numCache>
                <c:formatCode>0_);[Red]\(0\)</c:formatCode>
                <c:ptCount val="7"/>
                <c:pt idx="0">
                  <c:v>25.66</c:v>
                </c:pt>
                <c:pt idx="1">
                  <c:v>62.079</c:v>
                </c:pt>
                <c:pt idx="2">
                  <c:v>0.0</c:v>
                </c:pt>
                <c:pt idx="3">
                  <c:v>1105.239</c:v>
                </c:pt>
                <c:pt idx="4">
                  <c:v>1468.836</c:v>
                </c:pt>
                <c:pt idx="5">
                  <c:v>828.965</c:v>
                </c:pt>
                <c:pt idx="6">
                  <c:v>3490.779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EE-45C7-B3E4-3B08BA95408E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'201610漁海況'!$A$14:$A$20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'201610漁海況'!$D$14:$D$20</c:f>
              <c:numCache>
                <c:formatCode>0_);[Red]\(0\)</c:formatCode>
                <c:ptCount val="7"/>
                <c:pt idx="0">
                  <c:v>34.092</c:v>
                </c:pt>
                <c:pt idx="1">
                  <c:v>58.6284</c:v>
                </c:pt>
                <c:pt idx="2">
                  <c:v>0.2594</c:v>
                </c:pt>
                <c:pt idx="3">
                  <c:v>3337.5876</c:v>
                </c:pt>
                <c:pt idx="4">
                  <c:v>1056.2748</c:v>
                </c:pt>
                <c:pt idx="5">
                  <c:v>2711.8048</c:v>
                </c:pt>
                <c:pt idx="6">
                  <c:v>7198.647000000001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7EE-45C7-B3E4-3B08BA95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614944"/>
        <c:axId val="809617264"/>
      </c:barChart>
      <c:catAx>
        <c:axId val="8096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617264"/>
        <c:crosses val="autoZero"/>
        <c:auto val="1"/>
        <c:lblAlgn val="ctr"/>
        <c:lblOffset val="100"/>
        <c:noMultiLvlLbl val="0"/>
      </c:catAx>
      <c:valAx>
        <c:axId val="809617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);[Red]\(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614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5333346167915"/>
          <c:y val="0.472238157730284"/>
          <c:w val="0.0904674354580983"/>
          <c:h val="0.2142929008873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カタクチイワシ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今期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'201610漁海況'!$A$24:$A$30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'201610漁海況'!$B$24:$B$30</c:f>
              <c:numCache>
                <c:formatCode>0_);[Red]\(0\)</c:formatCode>
                <c:ptCount val="7"/>
                <c:pt idx="0">
                  <c:v>222.28</c:v>
                </c:pt>
                <c:pt idx="1">
                  <c:v>8.285</c:v>
                </c:pt>
                <c:pt idx="2">
                  <c:v>1.841</c:v>
                </c:pt>
                <c:pt idx="3">
                  <c:v>6098.302999999998</c:v>
                </c:pt>
                <c:pt idx="4">
                  <c:v>2481.012</c:v>
                </c:pt>
                <c:pt idx="5">
                  <c:v>2585.507</c:v>
                </c:pt>
                <c:pt idx="6">
                  <c:v>11397.228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9E-49FB-B791-A6437C54300B}"/>
            </c:ext>
          </c:extLst>
        </c:ser>
        <c:ser>
          <c:idx val="1"/>
          <c:order val="1"/>
          <c:tx>
            <c:v>前年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'201610漁海況'!$A$24:$A$30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'201610漁海況'!$C$24:$C$30</c:f>
              <c:numCache>
                <c:formatCode>0_);[Red]\(0\)</c:formatCode>
                <c:ptCount val="7"/>
                <c:pt idx="0">
                  <c:v>913.1</c:v>
                </c:pt>
                <c:pt idx="1">
                  <c:v>14.271</c:v>
                </c:pt>
                <c:pt idx="2">
                  <c:v>4.529</c:v>
                </c:pt>
                <c:pt idx="3">
                  <c:v>4962.162</c:v>
                </c:pt>
                <c:pt idx="4">
                  <c:v>2449.026</c:v>
                </c:pt>
                <c:pt idx="5">
                  <c:v>2084.396</c:v>
                </c:pt>
                <c:pt idx="6">
                  <c:v>10427.484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9E-49FB-B791-A6437C54300B}"/>
            </c:ext>
          </c:extLst>
        </c:ser>
        <c:ser>
          <c:idx val="2"/>
          <c:order val="2"/>
          <c:tx>
            <c:v>平年</c:v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'201610漁海況'!$A$24:$A$30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'201610漁海況'!$D$24:$D$30</c:f>
              <c:numCache>
                <c:formatCode>0_);[Red]\(0\)</c:formatCode>
                <c:ptCount val="7"/>
                <c:pt idx="0">
                  <c:v>512.9804</c:v>
                </c:pt>
                <c:pt idx="1">
                  <c:v>18.07209</c:v>
                </c:pt>
                <c:pt idx="2">
                  <c:v>34.451</c:v>
                </c:pt>
                <c:pt idx="3">
                  <c:v>6199.5476</c:v>
                </c:pt>
                <c:pt idx="4">
                  <c:v>2514.2868</c:v>
                </c:pt>
                <c:pt idx="5">
                  <c:v>2483.3302</c:v>
                </c:pt>
                <c:pt idx="6">
                  <c:v>11762.66809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79E-49FB-B791-A6437C54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510448"/>
        <c:axId val="809512768"/>
      </c:barChart>
      <c:catAx>
        <c:axId val="8095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512768"/>
        <c:crosses val="autoZero"/>
        <c:auto val="1"/>
        <c:lblAlgn val="ctr"/>
        <c:lblOffset val="100"/>
        <c:noMultiLvlLbl val="0"/>
      </c:catAx>
      <c:valAx>
        <c:axId val="8095127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_);[Red]\(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5104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6905618698115"/>
          <c:y val="0.452396262967129"/>
          <c:w val="0.083713079417109"/>
          <c:h val="0.2142929008873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マ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イ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'201610漁海況'!$A$4:$A$10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'201610漁海況'!$N$4:$N$10</c:f>
              <c:numCache>
                <c:formatCode>0.0_);[Red]\(0.0\)</c:formatCode>
                <c:ptCount val="7"/>
                <c:pt idx="0">
                  <c:v>4.882</c:v>
                </c:pt>
                <c:pt idx="1">
                  <c:v>0.0</c:v>
                </c:pt>
                <c:pt idx="2">
                  <c:v>0.08</c:v>
                </c:pt>
                <c:pt idx="3">
                  <c:v>312.639</c:v>
                </c:pt>
                <c:pt idx="4">
                  <c:v>610.65</c:v>
                </c:pt>
                <c:pt idx="5">
                  <c:v>4908.461</c:v>
                </c:pt>
                <c:pt idx="6">
                  <c:v>5836.712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82-4DD4-A83B-A46E19D4FCDA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'201610漁海況'!$A$4:$A$10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'201610漁海況'!$O$4:$O$10</c:f>
              <c:numCache>
                <c:formatCode>0.0_);[Red]\(0.0\)</c:formatCode>
                <c:ptCount val="7"/>
                <c:pt idx="0">
                  <c:v>2.4674</c:v>
                </c:pt>
                <c:pt idx="1">
                  <c:v>0.0593</c:v>
                </c:pt>
                <c:pt idx="2">
                  <c:v>2.556480000000001</c:v>
                </c:pt>
                <c:pt idx="3">
                  <c:v>932.6532</c:v>
                </c:pt>
                <c:pt idx="4">
                  <c:v>343.9548</c:v>
                </c:pt>
                <c:pt idx="5">
                  <c:v>1507.1512</c:v>
                </c:pt>
                <c:pt idx="6">
                  <c:v>2788.84238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82-4DD4-A83B-A46E19D4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564736"/>
        <c:axId val="809926736"/>
      </c:barChart>
      <c:catAx>
        <c:axId val="8095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926736"/>
        <c:crosses val="autoZero"/>
        <c:auto val="1"/>
        <c:lblAlgn val="ctr"/>
        <c:lblOffset val="100"/>
        <c:noMultiLvlLbl val="0"/>
      </c:catAx>
      <c:valAx>
        <c:axId val="809926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5647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5348190421151"/>
          <c:y val="0.488204166408333"/>
          <c:w val="0.0848649136747814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ウ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ル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メイワシ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'201610漁海況'!$A$14:$A$20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'201610漁海況'!$N$14:$N$20</c:f>
              <c:numCache>
                <c:formatCode>0.0_);[Red]\(0.0\)</c:formatCode>
                <c:ptCount val="7"/>
                <c:pt idx="0">
                  <c:v>13.04</c:v>
                </c:pt>
                <c:pt idx="1">
                  <c:v>0.0</c:v>
                </c:pt>
                <c:pt idx="2">
                  <c:v>2.672</c:v>
                </c:pt>
                <c:pt idx="3">
                  <c:v>8745.471000000001</c:v>
                </c:pt>
                <c:pt idx="4">
                  <c:v>2381.598</c:v>
                </c:pt>
                <c:pt idx="5">
                  <c:v>5062.334</c:v>
                </c:pt>
                <c:pt idx="6">
                  <c:v>16205.115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D6-4719-AE0D-5E42452FA33E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'201610漁海況'!$A$14:$A$20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'201610漁海況'!$O$14:$O$20</c:f>
              <c:numCache>
                <c:formatCode>0.0_);[Red]\(0.0\)</c:formatCode>
                <c:ptCount val="7"/>
                <c:pt idx="0">
                  <c:v>8.108000000000001</c:v>
                </c:pt>
                <c:pt idx="1">
                  <c:v>0.126</c:v>
                </c:pt>
                <c:pt idx="2">
                  <c:v>0.95008</c:v>
                </c:pt>
                <c:pt idx="3">
                  <c:v>4466.8552</c:v>
                </c:pt>
                <c:pt idx="4">
                  <c:v>2002.446</c:v>
                </c:pt>
                <c:pt idx="5">
                  <c:v>3060.5464</c:v>
                </c:pt>
                <c:pt idx="6">
                  <c:v>9539.03168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D6-4719-AE0D-5E42452F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657792"/>
        <c:axId val="809660112"/>
      </c:barChart>
      <c:catAx>
        <c:axId val="8096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660112"/>
        <c:crosses val="autoZero"/>
        <c:auto val="1"/>
        <c:lblAlgn val="ctr"/>
        <c:lblOffset val="100"/>
        <c:noMultiLvlLbl val="0"/>
      </c:catAx>
      <c:valAx>
        <c:axId val="809660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6577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5872793298098"/>
          <c:y val="0.488204166408333"/>
          <c:w val="0.0844775824254845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カ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タ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クチイワシ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236998153009"/>
          <c:y val="0.18744125488251"/>
          <c:w val="0.689705939535336"/>
          <c:h val="0.546514559695786"/>
        </c:manualLayout>
      </c:layout>
      <c:barChart>
        <c:barDir val="col"/>
        <c:grouping val="clustered"/>
        <c:varyColors val="0"/>
        <c:ser>
          <c:idx val="0"/>
          <c:order val="0"/>
          <c:tx>
            <c:v>前年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'201610漁海況'!$A$24:$A$30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'201610漁海況'!$N$24:$N$30</c:f>
              <c:numCache>
                <c:formatCode>0.0_);[Red]\(0.0\)</c:formatCode>
                <c:ptCount val="7"/>
                <c:pt idx="0">
                  <c:v>229.06</c:v>
                </c:pt>
                <c:pt idx="1">
                  <c:v>14.5433</c:v>
                </c:pt>
                <c:pt idx="2">
                  <c:v>49.0572</c:v>
                </c:pt>
                <c:pt idx="3">
                  <c:v>1982.0315</c:v>
                </c:pt>
                <c:pt idx="4">
                  <c:v>1492.524</c:v>
                </c:pt>
                <c:pt idx="5">
                  <c:v>3177.359</c:v>
                </c:pt>
                <c:pt idx="6">
                  <c:v>6944.575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BB-4973-85F8-8F3A5E15E567}"/>
            </c:ext>
          </c:extLst>
        </c:ser>
        <c:ser>
          <c:idx val="1"/>
          <c:order val="1"/>
          <c:tx>
            <c:v>平年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'201610漁海況'!$A$24:$A$30</c:f>
              <c:strCache>
                <c:ptCount val="7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  <c:pt idx="6">
                  <c:v>計</c:v>
                </c:pt>
              </c:strCache>
            </c:strRef>
          </c:cat>
          <c:val>
            <c:numRef>
              <c:f>'201610漁海況'!$O$24:$O$30</c:f>
              <c:numCache>
                <c:formatCode>0.0_);[Red]\(0.0\)</c:formatCode>
                <c:ptCount val="7"/>
                <c:pt idx="0">
                  <c:v>388.116</c:v>
                </c:pt>
                <c:pt idx="1">
                  <c:v>14.558344</c:v>
                </c:pt>
                <c:pt idx="2">
                  <c:v>62.87704</c:v>
                </c:pt>
                <c:pt idx="3">
                  <c:v>1918.9255</c:v>
                </c:pt>
                <c:pt idx="4">
                  <c:v>989.5644</c:v>
                </c:pt>
                <c:pt idx="5">
                  <c:v>1788.0914</c:v>
                </c:pt>
                <c:pt idx="6">
                  <c:v>5162.132684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4BB-4973-85F8-8F3A5E15E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685072"/>
        <c:axId val="809687392"/>
      </c:barChart>
      <c:catAx>
        <c:axId val="8096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687392"/>
        <c:crosses val="autoZero"/>
        <c:auto val="1"/>
        <c:lblAlgn val="ctr"/>
        <c:lblOffset val="100"/>
        <c:noMultiLvlLbl val="0"/>
      </c:catAx>
      <c:valAx>
        <c:axId val="809687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);[Red]\(0.0\)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96850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0696446357093"/>
          <c:y val="0.496078492156984"/>
          <c:w val="0.0883083081201962"/>
          <c:h val="0.1417366234732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マイワ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7"/>
          <c:w val="0.762663623568793"/>
          <c:h val="0.6016598787220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'201610漁海況'!$W$4:$W$9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'201610漁海況'!$X$4:$X$9</c:f>
              <c:numCache>
                <c:formatCode>0.0_ </c:formatCode>
                <c:ptCount val="6"/>
                <c:pt idx="0">
                  <c:v>827.6099999999999</c:v>
                </c:pt>
                <c:pt idx="1">
                  <c:v>667.8934</c:v>
                </c:pt>
                <c:pt idx="2">
                  <c:v>2432.889</c:v>
                </c:pt>
                <c:pt idx="3">
                  <c:v>1311.042</c:v>
                </c:pt>
                <c:pt idx="4">
                  <c:v>5836.712</c:v>
                </c:pt>
                <c:pt idx="5">
                  <c:v>2788.84238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F8-4E14-A89C-509382EB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004096"/>
        <c:axId val="757006416"/>
      </c:barChart>
      <c:catAx>
        <c:axId val="75700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57006416"/>
        <c:crosses val="autoZero"/>
        <c:auto val="1"/>
        <c:lblAlgn val="ctr"/>
        <c:lblOffset val="100"/>
        <c:noMultiLvlLbl val="0"/>
      </c:catAx>
      <c:valAx>
        <c:axId val="757006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570040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ウルメ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イ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ワ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シ</a:t>
            </a:r>
          </a:p>
        </c:rich>
      </c:tx>
      <c:layout>
        <c:manualLayout>
          <c:xMode val="edge"/>
          <c:yMode val="edge"/>
          <c:x val="0.405333333333333"/>
          <c:y val="0.007662684405828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7"/>
          <c:w val="0.762663623568794"/>
          <c:h val="0.601659878722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'201610漁海況'!$W$14:$W$19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'201610漁海況'!$X$14:$X$19</c:f>
              <c:numCache>
                <c:formatCode>0.0_ </c:formatCode>
                <c:ptCount val="6"/>
                <c:pt idx="0">
                  <c:v>3431.993</c:v>
                </c:pt>
                <c:pt idx="1">
                  <c:v>4885.737999999999</c:v>
                </c:pt>
                <c:pt idx="2">
                  <c:v>7237.182000000001</c:v>
                </c:pt>
                <c:pt idx="3">
                  <c:v>5245.876</c:v>
                </c:pt>
                <c:pt idx="4">
                  <c:v>16205.115</c:v>
                </c:pt>
                <c:pt idx="5">
                  <c:v>9539.031680000001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41-4F19-B83D-7B59C7DEA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826224"/>
        <c:axId val="757021008"/>
      </c:barChart>
      <c:catAx>
        <c:axId val="7568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57021008"/>
        <c:crosses val="autoZero"/>
        <c:auto val="1"/>
        <c:lblAlgn val="ctr"/>
        <c:lblOffset val="100"/>
        <c:noMultiLvlLbl val="0"/>
      </c:catAx>
      <c:valAx>
        <c:axId val="757021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56826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カ</a:t>
            </a: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タクチイ</a:t>
            </a: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rPr>
              <a:t>ワシ</a:t>
            </a:r>
          </a:p>
        </c:rich>
      </c:tx>
      <c:layout>
        <c:manualLayout>
          <c:xMode val="edge"/>
          <c:yMode val="edge"/>
          <c:x val="0.405333333333333"/>
          <c:y val="0.007662684405828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00627638936"/>
          <c:y val="0.181667119196308"/>
          <c:w val="0.762663623568794"/>
          <c:h val="0.6016598787220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'201610漁海況'!$W$24:$W$29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前年</c:v>
                </c:pt>
                <c:pt idx="5">
                  <c:v>平年</c:v>
                </c:pt>
              </c:strCache>
            </c:strRef>
          </c:cat>
          <c:val>
            <c:numRef>
              <c:f>'201610漁海況'!$X$24:$X$29</c:f>
              <c:numCache>
                <c:formatCode>0.0_ </c:formatCode>
                <c:ptCount val="6"/>
                <c:pt idx="0">
                  <c:v>2596.41105</c:v>
                </c:pt>
                <c:pt idx="1">
                  <c:v>2061.7325</c:v>
                </c:pt>
                <c:pt idx="2">
                  <c:v>4967.984919999999</c:v>
                </c:pt>
                <c:pt idx="3">
                  <c:v>7313.152</c:v>
                </c:pt>
                <c:pt idx="4">
                  <c:v>6944.574999999999</c:v>
                </c:pt>
                <c:pt idx="5">
                  <c:v>5162.132683999998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18A-43AD-9074-1BB1F802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6908176"/>
        <c:axId val="756910496"/>
      </c:barChart>
      <c:catAx>
        <c:axId val="7569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56910496"/>
        <c:crosses val="autoZero"/>
        <c:auto val="1"/>
        <c:lblAlgn val="ctr"/>
        <c:lblOffset val="100"/>
        <c:noMultiLvlLbl val="0"/>
      </c:catAx>
      <c:valAx>
        <c:axId val="756910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_ 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569081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572A7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8FD-4029-B7E9-4A83EA85A5A8}"/>
              </c:ext>
            </c:extLst>
          </c:dPt>
          <c:dPt>
            <c:idx val="1"/>
            <c:bubble3D val="0"/>
            <c:spPr>
              <a:solidFill>
                <a:srgbClr val="AA4643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8FD-4029-B7E9-4A83EA85A5A8}"/>
              </c:ext>
            </c:extLst>
          </c:dPt>
          <c:dPt>
            <c:idx val="2"/>
            <c:bubble3D val="0"/>
            <c:spPr>
              <a:solidFill>
                <a:srgbClr val="89A54E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8FD-4029-B7E9-4A83EA85A5A8}"/>
              </c:ext>
            </c:extLst>
          </c:dPt>
          <c:dPt>
            <c:idx val="3"/>
            <c:bubble3D val="0"/>
            <c:spPr>
              <a:solidFill>
                <a:srgbClr val="71588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8FD-4029-B7E9-4A83EA85A5A8}"/>
              </c:ext>
            </c:extLst>
          </c:dPt>
          <c:dPt>
            <c:idx val="4"/>
            <c:bubble3D val="0"/>
            <c:spPr>
              <a:solidFill>
                <a:srgbClr val="4198A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8FD-4029-B7E9-4A83EA85A5A8}"/>
              </c:ext>
            </c:extLst>
          </c:dPt>
          <c:dPt>
            <c:idx val="5"/>
            <c:bubble3D val="0"/>
            <c:spPr>
              <a:solidFill>
                <a:srgbClr val="DB843D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8FD-4029-B7E9-4A83EA85A5A8}"/>
              </c:ext>
            </c:extLst>
          </c:dPt>
          <c:cat>
            <c:strRef>
              <c:f>'201610漁海況'!$A$4:$A$9</c:f>
              <c:strCache>
                <c:ptCount val="6"/>
                <c:pt idx="0">
                  <c:v>山口</c:v>
                </c:pt>
                <c:pt idx="1">
                  <c:v>福岡</c:v>
                </c:pt>
                <c:pt idx="2">
                  <c:v>佐賀</c:v>
                </c:pt>
                <c:pt idx="3">
                  <c:v>長崎</c:v>
                </c:pt>
                <c:pt idx="4">
                  <c:v>熊本</c:v>
                </c:pt>
                <c:pt idx="5">
                  <c:v>鹿児島</c:v>
                </c:pt>
              </c:strCache>
            </c:strRef>
          </c:cat>
          <c:val>
            <c:numRef>
              <c:f>'201610漁海況'!$B$4:$B$9</c:f>
              <c:numCache>
                <c:formatCode>0_ </c:formatCode>
                <c:ptCount val="6"/>
                <c:pt idx="0">
                  <c:v>191.075</c:v>
                </c:pt>
                <c:pt idx="1">
                  <c:v>12.143</c:v>
                </c:pt>
                <c:pt idx="2">
                  <c:v>0.0</c:v>
                </c:pt>
                <c:pt idx="3">
                  <c:v>2440.687</c:v>
                </c:pt>
                <c:pt idx="4">
                  <c:v>88.902</c:v>
                </c:pt>
                <c:pt idx="5">
                  <c:v>2166.777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8FD-4029-B7E9-4A83EA85A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1736928901586"/>
          <c:y val="0.280642059070679"/>
          <c:w val="0.138647713283627"/>
          <c:h val="0.5217571815380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マイワシ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[1]カタクチイワシ!$P$3</c:f>
              <c:strCache>
                <c:ptCount val="1"/>
                <c:pt idx="0">
                  <c:v>4～9月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8080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[1]カタクチイワシ!$Q$3</c:f>
              <c:strCache>
                <c:ptCount val="1"/>
                <c:pt idx="0">
                  <c:v>10～3月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808481520"/>
        <c:axId val="808484064"/>
      </c:barChart>
      <c:catAx>
        <c:axId val="80848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年度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848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8484064"/>
        <c:scaling>
          <c:orientation val="minMax"/>
          <c:max val="2500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/>
                  <a:t>［ﾄﾝ］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8481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lang="ja-JP" sz="20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1.0" l="0.75" r="0.75" t="1.0" header="0.512" footer="0.51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カタクチイワシ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[1]カタクチイワシ!$P$3</c:f>
              <c:strCache>
                <c:ptCount val="1"/>
                <c:pt idx="0">
                  <c:v>4～9月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8080FF" mc:Ignorable="a14" a14:legacySpreadsheetColorIndex="24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tx>
            <c:strRef>
              <c:f>[1]カタクチイワシ!$Q$3</c:f>
              <c:strCache>
                <c:ptCount val="1"/>
                <c:pt idx="0">
                  <c:v>10～3月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カタクチイワシ!#REF!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808506240"/>
        <c:axId val="808509632"/>
      </c:barChart>
      <c:catAx>
        <c:axId val="80850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年度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850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8509632"/>
        <c:scaling>
          <c:orientation val="minMax"/>
          <c:max val="400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22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/>
                  <a:t>［ﾄﾝ］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808506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lang="ja-JP" sz="20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1.0" l="0.75" r="0.75" t="1.0" header="0.512" footer="0.51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月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カタクチイワシ!#REF!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[1]カタクチイワシ!$D$3:$O$3</c:f>
              <c:numCache>
                <c:formatCode>General</c:formatCode>
                <c:ptCount val="12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</c:numCache>
            </c:numRef>
          </c:cat>
          <c:val>
            <c:numRef>
              <c:f>カタクチイワシ!#REF!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148496"/>
        <c:axId val="757151712"/>
      </c:lineChart>
      <c:catAx>
        <c:axId val="75714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2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サバ類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5715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5715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sz="25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rPr>
                  <a:t>[トン]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2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en-US"/>
          </a:p>
        </c:txPr>
        <c:crossAx val="757148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23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/>
    <c:pageMargins b="1.0" l="0.75" r="0.75" t="1.0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5.xml"/><Relationship Id="rId12" Type="http://schemas.openxmlformats.org/officeDocument/2006/relationships/chart" Target="../charts/chart36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7.xml"/><Relationship Id="rId12" Type="http://schemas.openxmlformats.org/officeDocument/2006/relationships/chart" Target="../charts/chart48.xml"/><Relationship Id="rId13" Type="http://schemas.openxmlformats.org/officeDocument/2006/relationships/chart" Target="../charts/chart49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0" Type="http://schemas.openxmlformats.org/officeDocument/2006/relationships/chart" Target="../charts/chart4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5" Type="http://schemas.openxmlformats.org/officeDocument/2006/relationships/chart" Target="../charts/chart54.xml"/><Relationship Id="rId6" Type="http://schemas.openxmlformats.org/officeDocument/2006/relationships/chart" Target="../charts/chart55.xml"/><Relationship Id="rId7" Type="http://schemas.openxmlformats.org/officeDocument/2006/relationships/chart" Target="../charts/chart56.xml"/><Relationship Id="rId8" Type="http://schemas.openxmlformats.org/officeDocument/2006/relationships/chart" Target="../charts/chart57.xml"/><Relationship Id="rId9" Type="http://schemas.openxmlformats.org/officeDocument/2006/relationships/chart" Target="../charts/chart58.xml"/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Relationship Id="rId6" Type="http://schemas.openxmlformats.org/officeDocument/2006/relationships/chart" Target="../charts/chart64.xml"/><Relationship Id="rId7" Type="http://schemas.openxmlformats.org/officeDocument/2006/relationships/chart" Target="../charts/chart65.xml"/><Relationship Id="rId8" Type="http://schemas.openxmlformats.org/officeDocument/2006/relationships/chart" Target="../charts/chart66.xml"/><Relationship Id="rId9" Type="http://schemas.openxmlformats.org/officeDocument/2006/relationships/chart" Target="../charts/chart67.xml"/><Relationship Id="rId10" Type="http://schemas.openxmlformats.org/officeDocument/2006/relationships/chart" Target="../charts/chart68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2.xml"/><Relationship Id="rId12" Type="http://schemas.openxmlformats.org/officeDocument/2006/relationships/chart" Target="../charts/chart23.xml"/><Relationship Id="rId13" Type="http://schemas.openxmlformats.org/officeDocument/2006/relationships/chart" Target="../charts/chart24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393700</xdr:colOff>
      <xdr:row>184</xdr:row>
      <xdr:rowOff>88900</xdr:rowOff>
    </xdr:from>
    <xdr:to>
      <xdr:col>28</xdr:col>
      <xdr:colOff>0</xdr:colOff>
      <xdr:row>202</xdr:row>
      <xdr:rowOff>88900</xdr:rowOff>
    </xdr:to>
    <xdr:graphicFrame macro="">
      <xdr:nvGraphicFramePr>
        <xdr:cNvPr id="2357" name="グラフ 1">
          <a:extLst>
            <a:ext uri="{FF2B5EF4-FFF2-40B4-BE49-F238E27FC236}">
              <a16:creationId xmlns="" xmlns:a16="http://schemas.microsoft.com/office/drawing/2014/main" id="{00000000-0008-0000-0000-000035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30</xdr:row>
      <xdr:rowOff>215900</xdr:rowOff>
    </xdr:from>
    <xdr:to>
      <xdr:col>4</xdr:col>
      <xdr:colOff>1054100</xdr:colOff>
      <xdr:row>45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45</xdr:row>
      <xdr:rowOff>12700</xdr:rowOff>
    </xdr:from>
    <xdr:to>
      <xdr:col>4</xdr:col>
      <xdr:colOff>1066800</xdr:colOff>
      <xdr:row>59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1054100</xdr:colOff>
      <xdr:row>30</xdr:row>
      <xdr:rowOff>215900</xdr:rowOff>
    </xdr:from>
    <xdr:to>
      <xdr:col>11</xdr:col>
      <xdr:colOff>25400</xdr:colOff>
      <xdr:row>44</xdr:row>
      <xdr:rowOff>215900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914400</xdr:colOff>
      <xdr:row>30</xdr:row>
      <xdr:rowOff>215900</xdr:rowOff>
    </xdr:from>
    <xdr:to>
      <xdr:col>18</xdr:col>
      <xdr:colOff>901700</xdr:colOff>
      <xdr:row>45</xdr:row>
      <xdr:rowOff>12700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19</xdr:col>
      <xdr:colOff>0</xdr:colOff>
      <xdr:row>59</xdr:row>
      <xdr:rowOff>25400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30</xdr:row>
      <xdr:rowOff>215900</xdr:rowOff>
    </xdr:from>
    <xdr:to>
      <xdr:col>22</xdr:col>
      <xdr:colOff>800100</xdr:colOff>
      <xdr:row>45</xdr:row>
      <xdr:rowOff>12700</xdr:rowOff>
    </xdr:to>
    <xdr:graphicFrame macro="">
      <xdr:nvGraphicFramePr>
        <xdr:cNvPr id="7" name="グラフ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901700</xdr:colOff>
      <xdr:row>2</xdr:row>
      <xdr:rowOff>215900</xdr:rowOff>
    </xdr:from>
    <xdr:to>
      <xdr:col>29</xdr:col>
      <xdr:colOff>711200</xdr:colOff>
      <xdr:row>12</xdr:row>
      <xdr:rowOff>139700</xdr:rowOff>
    </xdr:to>
    <xdr:graphicFrame macro="">
      <xdr:nvGraphicFramePr>
        <xdr:cNvPr id="8" name="グラフ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901700</xdr:colOff>
      <xdr:row>12</xdr:row>
      <xdr:rowOff>165100</xdr:rowOff>
    </xdr:from>
    <xdr:to>
      <xdr:col>29</xdr:col>
      <xdr:colOff>711200</xdr:colOff>
      <xdr:row>22</xdr:row>
      <xdr:rowOff>88900</xdr:rowOff>
    </xdr:to>
    <xdr:graphicFrame macro="">
      <xdr:nvGraphicFramePr>
        <xdr:cNvPr id="9" name="グラフ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22</xdr:row>
      <xdr:rowOff>101600</xdr:rowOff>
    </xdr:from>
    <xdr:to>
      <xdr:col>29</xdr:col>
      <xdr:colOff>723900</xdr:colOff>
      <xdr:row>32</xdr:row>
      <xdr:rowOff>25400</xdr:rowOff>
    </xdr:to>
    <xdr:graphicFrame macro="">
      <xdr:nvGraphicFramePr>
        <xdr:cNvPr id="10" name="グラフ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30</xdr:col>
      <xdr:colOff>304800</xdr:colOff>
      <xdr:row>3</xdr:row>
      <xdr:rowOff>203201</xdr:rowOff>
    </xdr:from>
    <xdr:to>
      <xdr:col>43</xdr:col>
      <xdr:colOff>29400</xdr:colOff>
      <xdr:row>29</xdr:row>
      <xdr:rowOff>143426</xdr:rowOff>
    </xdr:to>
    <xdr:graphicFrame macro="">
      <xdr:nvGraphicFramePr>
        <xdr:cNvPr id="11" name="グラフ 11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30</xdr:col>
      <xdr:colOff>304800</xdr:colOff>
      <xdr:row>30</xdr:row>
      <xdr:rowOff>91018</xdr:rowOff>
    </xdr:from>
    <xdr:to>
      <xdr:col>43</xdr:col>
      <xdr:colOff>29400</xdr:colOff>
      <xdr:row>56</xdr:row>
      <xdr:rowOff>31243</xdr:rowOff>
    </xdr:to>
    <xdr:graphicFrame macro="">
      <xdr:nvGraphicFramePr>
        <xdr:cNvPr id="12" name="グラフ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30</xdr:col>
      <xdr:colOff>349250</xdr:colOff>
      <xdr:row>57</xdr:row>
      <xdr:rowOff>24344</xdr:rowOff>
    </xdr:from>
    <xdr:to>
      <xdr:col>43</xdr:col>
      <xdr:colOff>146049</xdr:colOff>
      <xdr:row>82</xdr:row>
      <xdr:rowOff>184703</xdr:rowOff>
    </xdr:to>
    <xdr:graphicFrame macro="">
      <xdr:nvGraphicFramePr>
        <xdr:cNvPr id="13" name="グラフ 11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0.09187</cdr:x>
      <cdr:y>0</cdr:y>
    </cdr:from>
    <cdr:to>
      <cdr:x>0.96236</cdr:x>
      <cdr:y>0.08562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="" xmlns:a16="http://schemas.microsoft.com/office/drawing/2014/main" id="{11E66C36-F463-43F5-BF0D-977C325A5792}"/>
            </a:ext>
          </a:extLst>
        </cdr:cNvPr>
        <cdr:cNvSpPr txBox="1"/>
      </cdr:nvSpPr>
      <cdr:spPr>
        <a:xfrm xmlns:a="http://schemas.openxmlformats.org/drawingml/2006/main">
          <a:off x="793749" y="0"/>
          <a:ext cx="7521041" cy="489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2800" b="1">
              <a:latin typeface="+mn-ea"/>
              <a:ea typeface="+mn-ea"/>
            </a:rPr>
            <a:t>マイワシ（１１</a:t>
          </a:r>
          <a:r>
            <a:rPr lang="en-US" altLang="ja-JP" sz="2800" b="1">
              <a:latin typeface="+mn-ea"/>
              <a:ea typeface="+mn-ea"/>
            </a:rPr>
            <a:t>〜</a:t>
          </a:r>
          <a:r>
            <a:rPr lang="ja-JP" altLang="en-US" sz="2800" b="1">
              <a:latin typeface="+mn-ea"/>
              <a:ea typeface="+mn-ea"/>
            </a:rPr>
            <a:t>翌年１月の沿岸漁業による漁獲量）</a:t>
          </a:r>
        </a:p>
      </cdr:txBody>
    </cdr:sp>
  </cdr:relSizeAnchor>
  <cdr:absSizeAnchor xmlns:cdr="http://schemas.openxmlformats.org/drawingml/2006/chartDrawing">
    <cdr:from>
      <cdr:x>0.20431</cdr:x>
      <cdr:y>0.16509</cdr:y>
    </cdr:from>
    <cdr:ext cx="432000" cy="965203"/>
    <cdr:grpSp>
      <cdr:nvGrpSpPr>
        <cdr:cNvPr id="3" name="グループ化 2">
          <a:extLst xmlns:a="http://schemas.openxmlformats.org/drawingml/2006/main">
            <a:ext uri="{FF2B5EF4-FFF2-40B4-BE49-F238E27FC236}">
              <a16:creationId xmlns="" xmlns:a16="http://schemas.microsoft.com/office/drawing/2014/main" id="{D015E084-B9E0-49F6-BC1A-292ED8FF95EF}"/>
            </a:ext>
          </a:extLst>
        </cdr:cNvPr>
        <cdr:cNvGrpSpPr/>
      </cdr:nvGrpSpPr>
      <cdr:grpSpPr>
        <a:xfrm xmlns:a="http://schemas.openxmlformats.org/drawingml/2006/main">
          <a:off x="1765238" y="944104"/>
          <a:ext cx="432000" cy="965203"/>
          <a:chOff x="1746209" y="946141"/>
          <a:chExt cx="432000" cy="965203"/>
        </a:xfrm>
      </cdr:grpSpPr>
      <cdr:sp macro="" textlink="">
        <cdr:nvSpPr>
          <cdr:cNvPr id="13" name="正方形/長方形 12">
            <a:extLst xmlns:a="http://schemas.openxmlformats.org/drawingml/2006/main">
              <a:ext uri="{FF2B5EF4-FFF2-40B4-BE49-F238E27FC236}">
                <a16:creationId xmlns="" xmlns:a16="http://schemas.microsoft.com/office/drawing/2014/main" id="{00000000-0008-0000-0800-00000C000000}"/>
              </a:ext>
            </a:extLst>
          </cdr:cNvPr>
          <cdr:cNvSpPr/>
        </cdr:nvSpPr>
        <cdr:spPr>
          <a:xfrm xmlns:a="http://schemas.openxmlformats.org/drawingml/2006/main">
            <a:off x="1746209" y="946141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14" name="正方形/長方形 13">
            <a:extLst xmlns:a="http://schemas.openxmlformats.org/drawingml/2006/main">
              <a:ext uri="{FF2B5EF4-FFF2-40B4-BE49-F238E27FC236}">
                <a16:creationId xmlns="" xmlns:a16="http://schemas.microsoft.com/office/drawing/2014/main" id="{00000000-0008-0000-0800-00000D000000}"/>
              </a:ext>
            </a:extLst>
          </cdr:cNvPr>
          <cdr:cNvSpPr/>
        </cdr:nvSpPr>
        <cdr:spPr>
          <a:xfrm xmlns:a="http://schemas.openxmlformats.org/drawingml/2006/main">
            <a:off x="1746209" y="1682744"/>
            <a:ext cx="432000" cy="228600"/>
          </a:xfrm>
          <a:prstGeom xmlns:a="http://schemas.openxmlformats.org/drawingml/2006/main" prst="rect">
            <a:avLst/>
          </a:prstGeom>
          <a:pattFill xmlns:a="http://schemas.openxmlformats.org/drawingml/2006/main" prst="wdUpDiag">
            <a:fgClr>
              <a:srgbClr val="00B050"/>
            </a:fgClr>
            <a:bgClr>
              <a:schemeClr val="bg1"/>
            </a:bgClr>
          </a:patt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15" name="正方形/長方形 14">
            <a:extLst xmlns:a="http://schemas.openxmlformats.org/drawingml/2006/main">
              <a:ext uri="{FF2B5EF4-FFF2-40B4-BE49-F238E27FC236}">
                <a16:creationId xmlns="" xmlns:a16="http://schemas.microsoft.com/office/drawing/2014/main" id="{00000000-0008-0000-0800-00000E000000}"/>
              </a:ext>
            </a:extLst>
          </cdr:cNvPr>
          <cdr:cNvSpPr/>
        </cdr:nvSpPr>
        <cdr:spPr>
          <a:xfrm xmlns:a="http://schemas.openxmlformats.org/drawingml/2006/main">
            <a:off x="1746209" y="1314442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</cdr:grpSp>
  </cdr:abs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0.03013</cdr:x>
      <cdr:y>0</cdr:y>
    </cdr:from>
    <cdr:to>
      <cdr:x>0.9819</cdr:x>
      <cdr:y>0.08562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="" xmlns:a16="http://schemas.microsoft.com/office/drawing/2014/main" id="{11E66C36-F463-43F5-BF0D-977C325A5792}"/>
            </a:ext>
          </a:extLst>
        </cdr:cNvPr>
        <cdr:cNvSpPr txBox="1"/>
      </cdr:nvSpPr>
      <cdr:spPr>
        <a:xfrm xmlns:a="http://schemas.openxmlformats.org/drawingml/2006/main">
          <a:off x="260349" y="0"/>
          <a:ext cx="8223250" cy="489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2800" b="1">
              <a:latin typeface="+mn-ea"/>
              <a:ea typeface="+mn-ea"/>
            </a:rPr>
            <a:t>ウルメイワシ（</a:t>
          </a:r>
          <a:r>
            <a:rPr lang="en-US" altLang="ja-JP" sz="2800" b="1">
              <a:latin typeface="+mn-ea"/>
              <a:ea typeface="+mn-ea"/>
            </a:rPr>
            <a:t>11〜</a:t>
          </a:r>
          <a:r>
            <a:rPr lang="ja-JP" altLang="en-US" sz="2800" b="1">
              <a:latin typeface="+mn-ea"/>
              <a:ea typeface="+mn-ea"/>
            </a:rPr>
            <a:t>翌年</a:t>
          </a:r>
          <a:r>
            <a:rPr lang="en-US" altLang="ja-JP" sz="2800" b="1">
              <a:latin typeface="+mn-ea"/>
              <a:ea typeface="+mn-ea"/>
            </a:rPr>
            <a:t>1</a:t>
          </a:r>
          <a:r>
            <a:rPr lang="ja-JP" altLang="en-US" sz="2800" b="1">
              <a:latin typeface="+mn-ea"/>
              <a:ea typeface="+mn-ea"/>
            </a:rPr>
            <a:t>月の沿岸漁業による漁獲量）</a:t>
          </a:r>
        </a:p>
        <a:p xmlns:a="http://schemas.openxmlformats.org/drawingml/2006/main">
          <a:endParaRPr lang="ja-JP" altLang="en-US" sz="2800" b="1"/>
        </a:p>
      </cdr:txBody>
    </cdr:sp>
  </cdr:relSizeAnchor>
  <cdr:relSizeAnchor xmlns:cdr="http://schemas.openxmlformats.org/drawingml/2006/chartDrawing">
    <cdr:from>
      <cdr:x>0.20377</cdr:x>
      <cdr:y>0.16509</cdr:y>
    </cdr:from>
    <cdr:to>
      <cdr:x>0.25377</cdr:x>
      <cdr:y>0.33266</cdr:y>
    </cdr:to>
    <cdr:grpSp>
      <cdr:nvGrpSpPr>
        <cdr:cNvPr id="7" name="グループ化 6">
          <a:extLst xmlns:a="http://schemas.openxmlformats.org/drawingml/2006/main">
            <a:ext uri="{FF2B5EF4-FFF2-40B4-BE49-F238E27FC236}">
              <a16:creationId xmlns="" xmlns:a16="http://schemas.microsoft.com/office/drawing/2014/main" id="{0D4FE735-529F-4E58-A394-04A7C46389A1}"/>
            </a:ext>
          </a:extLst>
        </cdr:cNvPr>
        <cdr:cNvGrpSpPr/>
      </cdr:nvGrpSpPr>
      <cdr:grpSpPr>
        <a:xfrm xmlns:a="http://schemas.openxmlformats.org/drawingml/2006/main">
          <a:off x="2366136" y="789652"/>
          <a:ext cx="580590" cy="801513"/>
          <a:chOff x="0" y="0"/>
          <a:chExt cx="432000" cy="965203"/>
        </a:xfrm>
      </cdr:grpSpPr>
      <cdr:sp macro="" textlink="">
        <cdr:nvSpPr>
          <cdr:cNvPr id="8" name="正方形/長方形 7">
            <a:extLst xmlns:a="http://schemas.openxmlformats.org/drawingml/2006/main">
              <a:ext uri="{FF2B5EF4-FFF2-40B4-BE49-F238E27FC236}">
                <a16:creationId xmlns="" xmlns:a16="http://schemas.microsoft.com/office/drawing/2014/main" id="{EEF8F89F-D70E-4AB8-96A8-62FC9DE71AAE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9" name="正方形/長方形 8">
            <a:extLst xmlns:a="http://schemas.openxmlformats.org/drawingml/2006/main">
              <a:ext uri="{FF2B5EF4-FFF2-40B4-BE49-F238E27FC236}">
                <a16:creationId xmlns="" xmlns:a16="http://schemas.microsoft.com/office/drawing/2014/main" id="{784FD77E-673B-45A8-AE62-36076F571B82}"/>
              </a:ext>
            </a:extLst>
          </cdr:cNvPr>
          <cdr:cNvSpPr/>
        </cdr:nvSpPr>
        <cdr:spPr>
          <a:xfrm xmlns:a="http://schemas.openxmlformats.org/drawingml/2006/main">
            <a:off x="0" y="736603"/>
            <a:ext cx="432000" cy="228600"/>
          </a:xfrm>
          <a:prstGeom xmlns:a="http://schemas.openxmlformats.org/drawingml/2006/main" prst="rect">
            <a:avLst/>
          </a:prstGeom>
          <a:pattFill xmlns:a="http://schemas.openxmlformats.org/drawingml/2006/main" prst="wdUpDiag">
            <a:fgClr>
              <a:srgbClr val="00B050"/>
            </a:fgClr>
            <a:bgClr>
              <a:schemeClr val="bg1"/>
            </a:bgClr>
          </a:patt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10" name="正方形/長方形 9">
            <a:extLst xmlns:a="http://schemas.openxmlformats.org/drawingml/2006/main">
              <a:ext uri="{FF2B5EF4-FFF2-40B4-BE49-F238E27FC236}">
                <a16:creationId xmlns="" xmlns:a16="http://schemas.microsoft.com/office/drawing/2014/main" id="{0299422B-66CD-408B-843C-B2A4ACDA6D07}"/>
              </a:ext>
            </a:extLst>
          </cdr:cNvPr>
          <cdr:cNvSpPr/>
        </cdr:nvSpPr>
        <cdr:spPr>
          <a:xfrm xmlns:a="http://schemas.openxmlformats.org/drawingml/2006/main">
            <a:off x="0" y="368301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</cdr:grp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0.07857</cdr:x>
      <cdr:y>0</cdr:y>
    </cdr:from>
    <cdr:to>
      <cdr:x>0.93117</cdr:x>
      <cdr:y>0.08562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="" xmlns:a16="http://schemas.microsoft.com/office/drawing/2014/main" id="{11E66C36-F463-43F5-BF0D-977C325A5792}"/>
            </a:ext>
          </a:extLst>
        </cdr:cNvPr>
        <cdr:cNvSpPr txBox="1"/>
      </cdr:nvSpPr>
      <cdr:spPr>
        <a:xfrm xmlns:a="http://schemas.openxmlformats.org/drawingml/2006/main">
          <a:off x="698971" y="0"/>
          <a:ext cx="7585027" cy="48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2800" b="1">
              <a:latin typeface="+mn-ea"/>
              <a:ea typeface="+mn-ea"/>
            </a:rPr>
            <a:t>カタクチイワシ</a:t>
          </a:r>
          <a:r>
            <a:rPr lang="en-US" altLang="ja-JP" sz="2800" b="1">
              <a:latin typeface="+mn-ea"/>
              <a:ea typeface="+mn-ea"/>
            </a:rPr>
            <a:t>(11〜</a:t>
          </a:r>
          <a:r>
            <a:rPr lang="ja-JP" altLang="en-US" sz="2800" b="1">
              <a:latin typeface="+mn-ea"/>
              <a:ea typeface="+mn-ea"/>
            </a:rPr>
            <a:t>翌年</a:t>
          </a:r>
          <a:r>
            <a:rPr lang="en-US" altLang="ja-JP" sz="2800" b="1">
              <a:latin typeface="+mn-ea"/>
              <a:ea typeface="+mn-ea"/>
            </a:rPr>
            <a:t>1</a:t>
          </a:r>
          <a:r>
            <a:rPr lang="ja-JP" altLang="en-US" sz="2800" b="1">
              <a:latin typeface="+mn-ea"/>
              <a:ea typeface="+mn-ea"/>
            </a:rPr>
            <a:t>月の沿岸漁業による漁獲量</a:t>
          </a:r>
          <a:r>
            <a:rPr lang="en-US" altLang="ja-JP" sz="2800" b="1">
              <a:latin typeface="+mn-ea"/>
              <a:ea typeface="+mn-ea"/>
            </a:rPr>
            <a:t>)</a:t>
          </a:r>
          <a:endParaRPr lang="ja-JP" altLang="en-US" sz="2800" b="1">
            <a:latin typeface="+mn-ea"/>
            <a:ea typeface="+mn-ea"/>
          </a:endParaRPr>
        </a:p>
        <a:p xmlns:a="http://schemas.openxmlformats.org/drawingml/2006/main">
          <a:endParaRPr lang="ja-JP" altLang="en-US" sz="2800" b="1"/>
        </a:p>
      </cdr:txBody>
    </cdr:sp>
  </cdr:relSizeAnchor>
  <cdr:relSizeAnchor xmlns:cdr="http://schemas.openxmlformats.org/drawingml/2006/chartDrawing">
    <cdr:from>
      <cdr:x>0.19605</cdr:x>
      <cdr:y>0.16261</cdr:y>
    </cdr:from>
    <cdr:to>
      <cdr:x>0.25195</cdr:x>
      <cdr:y>0.33335</cdr:y>
    </cdr:to>
    <cdr:grpSp>
      <cdr:nvGrpSpPr>
        <cdr:cNvPr id="3" name="図形グループ 14">
          <a:extLst xmlns:a="http://schemas.openxmlformats.org/drawingml/2006/main">
            <a:ext uri="{FF2B5EF4-FFF2-40B4-BE49-F238E27FC236}">
              <a16:creationId xmlns="" xmlns:a16="http://schemas.microsoft.com/office/drawing/2014/main" id="{9B37D4CB-77F3-45DD-ACF8-4A60F384D646}"/>
            </a:ext>
          </a:extLst>
        </cdr:cNvPr>
        <cdr:cNvGrpSpPr/>
      </cdr:nvGrpSpPr>
      <cdr:grpSpPr>
        <a:xfrm xmlns:a="http://schemas.openxmlformats.org/drawingml/2006/main">
          <a:off x="2290648" y="783297"/>
          <a:ext cx="653136" cy="822459"/>
          <a:chOff x="0" y="0"/>
          <a:chExt cx="539898" cy="1002087"/>
        </a:xfrm>
      </cdr:grpSpPr>
      <cdr:sp macro="" textlink="">
        <cdr:nvSpPr>
          <cdr:cNvPr id="4" name="正方形/長方形 3">
            <a:extLst xmlns:a="http://schemas.openxmlformats.org/drawingml/2006/main">
              <a:ext uri="{FF2B5EF4-FFF2-40B4-BE49-F238E27FC236}">
                <a16:creationId xmlns="" xmlns:a16="http://schemas.microsoft.com/office/drawing/2014/main" id="{341B65E6-F3D1-454D-8DE6-5ED8975D50A5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539898" cy="23733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5" name="正方形/長方形 4">
            <a:extLst xmlns:a="http://schemas.openxmlformats.org/drawingml/2006/main">
              <a:ext uri="{FF2B5EF4-FFF2-40B4-BE49-F238E27FC236}">
                <a16:creationId xmlns="" xmlns:a16="http://schemas.microsoft.com/office/drawing/2014/main" id="{1C266608-A4D2-4FF9-B742-BE63D2394C9C}"/>
              </a:ext>
            </a:extLst>
          </cdr:cNvPr>
          <cdr:cNvSpPr/>
        </cdr:nvSpPr>
        <cdr:spPr>
          <a:xfrm xmlns:a="http://schemas.openxmlformats.org/drawingml/2006/main">
            <a:off x="0" y="764751"/>
            <a:ext cx="539898" cy="237336"/>
          </a:xfrm>
          <a:prstGeom xmlns:a="http://schemas.openxmlformats.org/drawingml/2006/main" prst="rect">
            <a:avLst/>
          </a:prstGeom>
          <a:pattFill xmlns:a="http://schemas.openxmlformats.org/drawingml/2006/main" prst="wdUpDiag">
            <a:fgClr>
              <a:srgbClr val="00B050"/>
            </a:fgClr>
            <a:bgClr>
              <a:schemeClr val="bg1"/>
            </a:bgClr>
          </a:patt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6" name="正方形/長方形 5">
            <a:extLst xmlns:a="http://schemas.openxmlformats.org/drawingml/2006/main">
              <a:ext uri="{FF2B5EF4-FFF2-40B4-BE49-F238E27FC236}">
                <a16:creationId xmlns="" xmlns:a16="http://schemas.microsoft.com/office/drawing/2014/main" id="{4C29768D-58FB-4509-ACE8-816278E82E1B}"/>
              </a:ext>
            </a:extLst>
          </cdr:cNvPr>
          <cdr:cNvSpPr/>
        </cdr:nvSpPr>
        <cdr:spPr>
          <a:xfrm xmlns:a="http://schemas.openxmlformats.org/drawingml/2006/main">
            <a:off x="0" y="382375"/>
            <a:ext cx="539898" cy="23733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</cdr:grp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30</xdr:row>
      <xdr:rowOff>215901</xdr:rowOff>
    </xdr:from>
    <xdr:to>
      <xdr:col>5</xdr:col>
      <xdr:colOff>398536</xdr:colOff>
      <xdr:row>43</xdr:row>
      <xdr:rowOff>197869</xdr:rowOff>
    </xdr:to>
    <xdr:graphicFrame macro="">
      <xdr:nvGraphicFramePr>
        <xdr:cNvPr id="16955319" name="グラフ 1">
          <a:extLst>
            <a:ext uri="{FF2B5EF4-FFF2-40B4-BE49-F238E27FC236}">
              <a16:creationId xmlns="" xmlns:a16="http://schemas.microsoft.com/office/drawing/2014/main" id="{00000000-0008-0000-0400-0000B7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44</xdr:row>
      <xdr:rowOff>31514</xdr:rowOff>
    </xdr:from>
    <xdr:to>
      <xdr:col>5</xdr:col>
      <xdr:colOff>398536</xdr:colOff>
      <xdr:row>57</xdr:row>
      <xdr:rowOff>13482</xdr:rowOff>
    </xdr:to>
    <xdr:graphicFrame macro="">
      <xdr:nvGraphicFramePr>
        <xdr:cNvPr id="16955320" name="グラフ 2">
          <a:extLst>
            <a:ext uri="{FF2B5EF4-FFF2-40B4-BE49-F238E27FC236}">
              <a16:creationId xmlns="" xmlns:a16="http://schemas.microsoft.com/office/drawing/2014/main" id="{00000000-0008-0000-0400-0000B8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354011</xdr:colOff>
      <xdr:row>30</xdr:row>
      <xdr:rowOff>206375</xdr:rowOff>
    </xdr:from>
    <xdr:to>
      <xdr:col>11</xdr:col>
      <xdr:colOff>489092</xdr:colOff>
      <xdr:row>43</xdr:row>
      <xdr:rowOff>188343</xdr:rowOff>
    </xdr:to>
    <xdr:graphicFrame macro="">
      <xdr:nvGraphicFramePr>
        <xdr:cNvPr id="16955321" name="グラフ 3">
          <a:extLst>
            <a:ext uri="{FF2B5EF4-FFF2-40B4-BE49-F238E27FC236}">
              <a16:creationId xmlns="" xmlns:a16="http://schemas.microsoft.com/office/drawing/2014/main" id="{00000000-0008-0000-0400-0000B9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276227</xdr:colOff>
      <xdr:row>31</xdr:row>
      <xdr:rowOff>15874</xdr:rowOff>
    </xdr:from>
    <xdr:to>
      <xdr:col>18</xdr:col>
      <xdr:colOff>411306</xdr:colOff>
      <xdr:row>44</xdr:row>
      <xdr:rowOff>4597</xdr:rowOff>
    </xdr:to>
    <xdr:graphicFrame macro="">
      <xdr:nvGraphicFramePr>
        <xdr:cNvPr id="16955322" name="グラフ 4">
          <a:extLst>
            <a:ext uri="{FF2B5EF4-FFF2-40B4-BE49-F238E27FC236}">
              <a16:creationId xmlns="" xmlns:a16="http://schemas.microsoft.com/office/drawing/2014/main" id="{00000000-0008-0000-0400-0000BA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12</xdr:col>
      <xdr:colOff>276227</xdr:colOff>
      <xdr:row>44</xdr:row>
      <xdr:rowOff>31514</xdr:rowOff>
    </xdr:from>
    <xdr:to>
      <xdr:col>18</xdr:col>
      <xdr:colOff>411306</xdr:colOff>
      <xdr:row>57</xdr:row>
      <xdr:rowOff>13482</xdr:rowOff>
    </xdr:to>
    <xdr:graphicFrame macro="">
      <xdr:nvGraphicFramePr>
        <xdr:cNvPr id="16955323" name="グラフ 5">
          <a:extLst>
            <a:ext uri="{FF2B5EF4-FFF2-40B4-BE49-F238E27FC236}">
              <a16:creationId xmlns="" xmlns:a16="http://schemas.microsoft.com/office/drawing/2014/main" id="{00000000-0008-0000-0400-0000BB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18</xdr:col>
      <xdr:colOff>460746</xdr:colOff>
      <xdr:row>30</xdr:row>
      <xdr:rowOff>213162</xdr:rowOff>
    </xdr:from>
    <xdr:to>
      <xdr:col>22</xdr:col>
      <xdr:colOff>687023</xdr:colOff>
      <xdr:row>43</xdr:row>
      <xdr:rowOff>195130</xdr:rowOff>
    </xdr:to>
    <xdr:graphicFrame macro="">
      <xdr:nvGraphicFramePr>
        <xdr:cNvPr id="16955324" name="グラフ 6">
          <a:extLst>
            <a:ext uri="{FF2B5EF4-FFF2-40B4-BE49-F238E27FC236}">
              <a16:creationId xmlns="" xmlns:a16="http://schemas.microsoft.com/office/drawing/2014/main" id="{00000000-0008-0000-0400-0000BC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24</xdr:col>
      <xdr:colOff>363537</xdr:colOff>
      <xdr:row>1</xdr:row>
      <xdr:rowOff>76199</xdr:rowOff>
    </xdr:from>
    <xdr:to>
      <xdr:col>28</xdr:col>
      <xdr:colOff>500337</xdr:colOff>
      <xdr:row>11</xdr:row>
      <xdr:rowOff>5492</xdr:rowOff>
    </xdr:to>
    <xdr:graphicFrame macro="">
      <xdr:nvGraphicFramePr>
        <xdr:cNvPr id="16955325" name="グラフ 7">
          <a:extLst>
            <a:ext uri="{FF2B5EF4-FFF2-40B4-BE49-F238E27FC236}">
              <a16:creationId xmlns="" xmlns:a16="http://schemas.microsoft.com/office/drawing/2014/main" id="{00000000-0008-0000-0400-0000BD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24</xdr:col>
      <xdr:colOff>363537</xdr:colOff>
      <xdr:row>11</xdr:row>
      <xdr:rowOff>6079</xdr:rowOff>
    </xdr:from>
    <xdr:to>
      <xdr:col>28</xdr:col>
      <xdr:colOff>500337</xdr:colOff>
      <xdr:row>20</xdr:row>
      <xdr:rowOff>143874</xdr:rowOff>
    </xdr:to>
    <xdr:graphicFrame macro="">
      <xdr:nvGraphicFramePr>
        <xdr:cNvPr id="16955326" name="グラフ 8">
          <a:extLst>
            <a:ext uri="{FF2B5EF4-FFF2-40B4-BE49-F238E27FC236}">
              <a16:creationId xmlns="" xmlns:a16="http://schemas.microsoft.com/office/drawing/2014/main" id="{00000000-0008-0000-0400-0000BE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24</xdr:col>
      <xdr:colOff>368299</xdr:colOff>
      <xdr:row>20</xdr:row>
      <xdr:rowOff>134938</xdr:rowOff>
    </xdr:from>
    <xdr:to>
      <xdr:col>28</xdr:col>
      <xdr:colOff>505099</xdr:colOff>
      <xdr:row>30</xdr:row>
      <xdr:rowOff>58738</xdr:rowOff>
    </xdr:to>
    <xdr:graphicFrame macro="">
      <xdr:nvGraphicFramePr>
        <xdr:cNvPr id="16955327" name="グラフ 9">
          <a:extLst>
            <a:ext uri="{FF2B5EF4-FFF2-40B4-BE49-F238E27FC236}">
              <a16:creationId xmlns="" xmlns:a16="http://schemas.microsoft.com/office/drawing/2014/main" id="{00000000-0008-0000-0400-0000BF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</xdr:col>
      <xdr:colOff>238124</xdr:colOff>
      <xdr:row>45</xdr:row>
      <xdr:rowOff>38099</xdr:rowOff>
    </xdr:from>
    <xdr:to>
      <xdr:col>11</xdr:col>
      <xdr:colOff>338137</xdr:colOff>
      <xdr:row>59</xdr:row>
      <xdr:rowOff>50799</xdr:rowOff>
    </xdr:to>
    <xdr:graphicFrame macro="">
      <xdr:nvGraphicFramePr>
        <xdr:cNvPr id="16955328" name="グラフ 1">
          <a:extLst>
            <a:ext uri="{FF2B5EF4-FFF2-40B4-BE49-F238E27FC236}">
              <a16:creationId xmlns="" xmlns:a16="http://schemas.microsoft.com/office/drawing/2014/main" id="{00000000-0008-0000-0400-0000C0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30</xdr:col>
      <xdr:colOff>514350</xdr:colOff>
      <xdr:row>1</xdr:row>
      <xdr:rowOff>103187</xdr:rowOff>
    </xdr:from>
    <xdr:to>
      <xdr:col>43</xdr:col>
      <xdr:colOff>238950</xdr:colOff>
      <xdr:row>27</xdr:row>
      <xdr:rowOff>43412</xdr:rowOff>
    </xdr:to>
    <xdr:graphicFrame macro="">
      <xdr:nvGraphicFramePr>
        <xdr:cNvPr id="16955329" name="グラフ 11">
          <a:extLst>
            <a:ext uri="{FF2B5EF4-FFF2-40B4-BE49-F238E27FC236}">
              <a16:creationId xmlns="" xmlns:a16="http://schemas.microsoft.com/office/drawing/2014/main" id="{00000000-0008-0000-0400-0000C1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30</xdr:col>
      <xdr:colOff>514350</xdr:colOff>
      <xdr:row>27</xdr:row>
      <xdr:rowOff>211137</xdr:rowOff>
    </xdr:from>
    <xdr:to>
      <xdr:col>43</xdr:col>
      <xdr:colOff>238950</xdr:colOff>
      <xdr:row>53</xdr:row>
      <xdr:rowOff>151362</xdr:rowOff>
    </xdr:to>
    <xdr:graphicFrame macro="">
      <xdr:nvGraphicFramePr>
        <xdr:cNvPr id="15" name="グラフ 11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30</xdr:col>
      <xdr:colOff>514350</xdr:colOff>
      <xdr:row>54</xdr:row>
      <xdr:rowOff>144463</xdr:rowOff>
    </xdr:from>
    <xdr:to>
      <xdr:col>43</xdr:col>
      <xdr:colOff>238950</xdr:colOff>
      <xdr:row>80</xdr:row>
      <xdr:rowOff>84688</xdr:rowOff>
    </xdr:to>
    <xdr:graphicFrame macro="">
      <xdr:nvGraphicFramePr>
        <xdr:cNvPr id="16" name="グラフ 11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0.32244</cdr:x>
      <cdr:y>0.42917</cdr:y>
    </cdr:from>
    <cdr:to>
      <cdr:x>0.5121</cdr:x>
      <cdr:y>0.55222</cdr:y>
    </cdr:to>
    <cdr:sp macro="" textlink="">
      <cdr:nvSpPr>
        <cdr:cNvPr id="2" name="テキスト ボックス 1">
          <a:extLst xmlns:a="http://schemas.openxmlformats.org/drawingml/2006/main"/>
        </cdr:cNvPr>
        <cdr:cNvSpPr txBox="1"/>
      </cdr:nvSpPr>
      <cdr:spPr>
        <a:xfrm xmlns:a="http://schemas.openxmlformats.org/drawingml/2006/main">
          <a:off x="1295400" y="1285875"/>
          <a:ext cx="131445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400"/>
            <a:t>マイワシ</a:t>
          </a:r>
          <a:endParaRPr lang="en-US" altLang="ja-JP" sz="1400"/>
        </a:p>
        <a:p xmlns:a="http://schemas.openxmlformats.org/drawingml/2006/main">
          <a:pPr>
            <a:lnSpc>
              <a:spcPts val="1700"/>
            </a:lnSpc>
          </a:pPr>
          <a:r>
            <a:rPr lang="en-US" altLang="ja-JP" sz="1400"/>
            <a:t>2012</a:t>
          </a:r>
          <a:r>
            <a:rPr lang="ja-JP" altLang="en-US" sz="1400"/>
            <a:t>年</a:t>
          </a:r>
          <a:r>
            <a:rPr lang="en-US" altLang="ja-JP" sz="1400"/>
            <a:t>4</a:t>
          </a:r>
          <a:r>
            <a:rPr lang="ja-JP" altLang="en-US" sz="1400"/>
            <a:t>～</a:t>
          </a:r>
          <a:r>
            <a:rPr lang="en-US" altLang="ja-JP" sz="1400"/>
            <a:t>8</a:t>
          </a:r>
          <a:r>
            <a:rPr lang="ja-JP" altLang="en-US" sz="1400"/>
            <a:t>月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0.10976</cdr:x>
      <cdr:y>0</cdr:y>
    </cdr:from>
    <cdr:to>
      <cdr:x>0.96236</cdr:x>
      <cdr:y>0.08562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="" xmlns:a16="http://schemas.microsoft.com/office/drawing/2014/main" id="{11E66C36-F463-43F5-BF0D-977C325A5792}"/>
            </a:ext>
          </a:extLst>
        </cdr:cNvPr>
        <cdr:cNvSpPr txBox="1"/>
      </cdr:nvSpPr>
      <cdr:spPr>
        <a:xfrm xmlns:a="http://schemas.openxmlformats.org/drawingml/2006/main">
          <a:off x="948366" y="0"/>
          <a:ext cx="7366464" cy="493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2800" b="1">
              <a:latin typeface="+mn-ea"/>
              <a:ea typeface="+mn-ea"/>
            </a:rPr>
            <a:t>マイワシ（４</a:t>
          </a:r>
          <a:r>
            <a:rPr lang="en-US" altLang="ja-JP" sz="2800" b="1">
              <a:latin typeface="+mn-ea"/>
              <a:ea typeface="+mn-ea"/>
            </a:rPr>
            <a:t>〜</a:t>
          </a:r>
          <a:r>
            <a:rPr lang="ja-JP" altLang="en-US" sz="2800" b="1">
              <a:latin typeface="+mn-ea"/>
              <a:ea typeface="+mn-ea"/>
            </a:rPr>
            <a:t>８月の沿岸漁業による漁獲量）</a:t>
          </a:r>
        </a:p>
      </cdr:txBody>
    </cdr:sp>
  </cdr:relSizeAnchor>
  <cdr:absSizeAnchor xmlns:cdr="http://schemas.openxmlformats.org/drawingml/2006/chartDrawing">
    <cdr:from>
      <cdr:x>0.20431</cdr:x>
      <cdr:y>0.16509</cdr:y>
    </cdr:from>
    <cdr:ext cx="432000" cy="965203"/>
    <cdr:grpSp>
      <cdr:nvGrpSpPr>
        <cdr:cNvPr id="3" name="グループ化 2">
          <a:extLst xmlns:a="http://schemas.openxmlformats.org/drawingml/2006/main">
            <a:ext uri="{FF2B5EF4-FFF2-40B4-BE49-F238E27FC236}">
              <a16:creationId xmlns="" xmlns:a16="http://schemas.microsoft.com/office/drawing/2014/main" id="{D015E084-B9E0-49F6-BC1A-292ED8FF95EF}"/>
            </a:ext>
          </a:extLst>
        </cdr:cNvPr>
        <cdr:cNvGrpSpPr/>
      </cdr:nvGrpSpPr>
      <cdr:grpSpPr>
        <a:xfrm xmlns:a="http://schemas.openxmlformats.org/drawingml/2006/main">
          <a:off x="2372407" y="990929"/>
          <a:ext cx="432000" cy="965203"/>
          <a:chOff x="1746209" y="946141"/>
          <a:chExt cx="432000" cy="965203"/>
        </a:xfrm>
      </cdr:grpSpPr>
      <cdr:sp macro="" textlink="">
        <cdr:nvSpPr>
          <cdr:cNvPr id="13" name="正方形/長方形 12">
            <a:extLst xmlns:a="http://schemas.openxmlformats.org/drawingml/2006/main">
              <a:ext uri="{FF2B5EF4-FFF2-40B4-BE49-F238E27FC236}">
                <a16:creationId xmlns="" xmlns:a16="http://schemas.microsoft.com/office/drawing/2014/main" id="{00000000-0008-0000-0800-00000C000000}"/>
              </a:ext>
            </a:extLst>
          </cdr:cNvPr>
          <cdr:cNvSpPr/>
        </cdr:nvSpPr>
        <cdr:spPr>
          <a:xfrm xmlns:a="http://schemas.openxmlformats.org/drawingml/2006/main">
            <a:off x="1746209" y="946141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14" name="正方形/長方形 13">
            <a:extLst xmlns:a="http://schemas.openxmlformats.org/drawingml/2006/main">
              <a:ext uri="{FF2B5EF4-FFF2-40B4-BE49-F238E27FC236}">
                <a16:creationId xmlns="" xmlns:a16="http://schemas.microsoft.com/office/drawing/2014/main" id="{00000000-0008-0000-0800-00000D000000}"/>
              </a:ext>
            </a:extLst>
          </cdr:cNvPr>
          <cdr:cNvSpPr/>
        </cdr:nvSpPr>
        <cdr:spPr>
          <a:xfrm xmlns:a="http://schemas.openxmlformats.org/drawingml/2006/main">
            <a:off x="1746209" y="1682744"/>
            <a:ext cx="432000" cy="228600"/>
          </a:xfrm>
          <a:prstGeom xmlns:a="http://schemas.openxmlformats.org/drawingml/2006/main" prst="rect">
            <a:avLst/>
          </a:prstGeom>
          <a:pattFill xmlns:a="http://schemas.openxmlformats.org/drawingml/2006/main" prst="wdUpDiag">
            <a:fgClr>
              <a:srgbClr val="00B050"/>
            </a:fgClr>
            <a:bgClr>
              <a:schemeClr val="bg1"/>
            </a:bgClr>
          </a:patt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15" name="正方形/長方形 14">
            <a:extLst xmlns:a="http://schemas.openxmlformats.org/drawingml/2006/main">
              <a:ext uri="{FF2B5EF4-FFF2-40B4-BE49-F238E27FC236}">
                <a16:creationId xmlns="" xmlns:a16="http://schemas.microsoft.com/office/drawing/2014/main" id="{00000000-0008-0000-0800-00000E000000}"/>
              </a:ext>
            </a:extLst>
          </cdr:cNvPr>
          <cdr:cNvSpPr/>
        </cdr:nvSpPr>
        <cdr:spPr>
          <a:xfrm xmlns:a="http://schemas.openxmlformats.org/drawingml/2006/main">
            <a:off x="1746209" y="1314442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</cdr:grpSp>
  </cdr:abs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0.11252</cdr:x>
      <cdr:y>0</cdr:y>
    </cdr:from>
    <cdr:to>
      <cdr:x>0.96512</cdr:x>
      <cdr:y>0.08562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="" xmlns:a16="http://schemas.microsoft.com/office/drawing/2014/main" id="{11E66C36-F463-43F5-BF0D-977C325A5792}"/>
            </a:ext>
          </a:extLst>
        </cdr:cNvPr>
        <cdr:cNvSpPr txBox="1"/>
      </cdr:nvSpPr>
      <cdr:spPr>
        <a:xfrm xmlns:a="http://schemas.openxmlformats.org/drawingml/2006/main">
          <a:off x="972178" y="0"/>
          <a:ext cx="7366464" cy="493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2800" b="1">
              <a:latin typeface="+mn-ea"/>
              <a:ea typeface="+mn-ea"/>
            </a:rPr>
            <a:t>ウルメイワシ（４</a:t>
          </a:r>
          <a:r>
            <a:rPr lang="en-US" altLang="ja-JP" sz="2800" b="1">
              <a:latin typeface="+mn-ea"/>
              <a:ea typeface="+mn-ea"/>
            </a:rPr>
            <a:t>〜</a:t>
          </a:r>
          <a:r>
            <a:rPr lang="ja-JP" altLang="en-US" sz="2800" b="1">
              <a:latin typeface="+mn-ea"/>
              <a:ea typeface="+mn-ea"/>
            </a:rPr>
            <a:t>８月の沿岸漁業による漁獲量）</a:t>
          </a:r>
        </a:p>
        <a:p xmlns:a="http://schemas.openxmlformats.org/drawingml/2006/main">
          <a:endParaRPr lang="ja-JP" altLang="en-US" sz="2800" b="1"/>
        </a:p>
      </cdr:txBody>
    </cdr:sp>
  </cdr:relSizeAnchor>
  <cdr:relSizeAnchor xmlns:cdr="http://schemas.openxmlformats.org/drawingml/2006/chartDrawing">
    <cdr:from>
      <cdr:x>0.20377</cdr:x>
      <cdr:y>0.16509</cdr:y>
    </cdr:from>
    <cdr:to>
      <cdr:x>0.25377</cdr:x>
      <cdr:y>0.33266</cdr:y>
    </cdr:to>
    <cdr:grpSp>
      <cdr:nvGrpSpPr>
        <cdr:cNvPr id="7" name="グループ化 6">
          <a:extLst xmlns:a="http://schemas.openxmlformats.org/drawingml/2006/main">
            <a:ext uri="{FF2B5EF4-FFF2-40B4-BE49-F238E27FC236}">
              <a16:creationId xmlns="" xmlns:a16="http://schemas.microsoft.com/office/drawing/2014/main" id="{0D4FE735-529F-4E58-A394-04A7C46389A1}"/>
            </a:ext>
          </a:extLst>
        </cdr:cNvPr>
        <cdr:cNvGrpSpPr/>
      </cdr:nvGrpSpPr>
      <cdr:grpSpPr>
        <a:xfrm xmlns:a="http://schemas.openxmlformats.org/drawingml/2006/main">
          <a:off x="2366136" y="814811"/>
          <a:ext cx="580590" cy="827052"/>
          <a:chOff x="0" y="0"/>
          <a:chExt cx="432000" cy="965203"/>
        </a:xfrm>
      </cdr:grpSpPr>
      <cdr:sp macro="" textlink="">
        <cdr:nvSpPr>
          <cdr:cNvPr id="8" name="正方形/長方形 7">
            <a:extLst xmlns:a="http://schemas.openxmlformats.org/drawingml/2006/main">
              <a:ext uri="{FF2B5EF4-FFF2-40B4-BE49-F238E27FC236}">
                <a16:creationId xmlns="" xmlns:a16="http://schemas.microsoft.com/office/drawing/2014/main" id="{EEF8F89F-D70E-4AB8-96A8-62FC9DE71AAE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9" name="正方形/長方形 8">
            <a:extLst xmlns:a="http://schemas.openxmlformats.org/drawingml/2006/main">
              <a:ext uri="{FF2B5EF4-FFF2-40B4-BE49-F238E27FC236}">
                <a16:creationId xmlns="" xmlns:a16="http://schemas.microsoft.com/office/drawing/2014/main" id="{784FD77E-673B-45A8-AE62-36076F571B82}"/>
              </a:ext>
            </a:extLst>
          </cdr:cNvPr>
          <cdr:cNvSpPr/>
        </cdr:nvSpPr>
        <cdr:spPr>
          <a:xfrm xmlns:a="http://schemas.openxmlformats.org/drawingml/2006/main">
            <a:off x="0" y="736603"/>
            <a:ext cx="432000" cy="228600"/>
          </a:xfrm>
          <a:prstGeom xmlns:a="http://schemas.openxmlformats.org/drawingml/2006/main" prst="rect">
            <a:avLst/>
          </a:prstGeom>
          <a:pattFill xmlns:a="http://schemas.openxmlformats.org/drawingml/2006/main" prst="wdUpDiag">
            <a:fgClr>
              <a:srgbClr val="00B050"/>
            </a:fgClr>
            <a:bgClr>
              <a:schemeClr val="bg1"/>
            </a:bgClr>
          </a:patt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10" name="正方形/長方形 9">
            <a:extLst xmlns:a="http://schemas.openxmlformats.org/drawingml/2006/main">
              <a:ext uri="{FF2B5EF4-FFF2-40B4-BE49-F238E27FC236}">
                <a16:creationId xmlns="" xmlns:a16="http://schemas.microsoft.com/office/drawing/2014/main" id="{0299422B-66CD-408B-843C-B2A4ACDA6D07}"/>
              </a:ext>
            </a:extLst>
          </cdr:cNvPr>
          <cdr:cNvSpPr/>
        </cdr:nvSpPr>
        <cdr:spPr>
          <a:xfrm xmlns:a="http://schemas.openxmlformats.org/drawingml/2006/main">
            <a:off x="0" y="368301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0.09213</cdr:x>
      <cdr:y>0</cdr:y>
    </cdr:from>
    <cdr:to>
      <cdr:x>0.94473</cdr:x>
      <cdr:y>0.08562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="" xmlns:a16="http://schemas.microsoft.com/office/drawing/2014/main" id="{11E66C36-F463-43F5-BF0D-977C325A5792}"/>
            </a:ext>
          </a:extLst>
        </cdr:cNvPr>
        <cdr:cNvSpPr txBox="1"/>
      </cdr:nvSpPr>
      <cdr:spPr>
        <a:xfrm xmlns:a="http://schemas.openxmlformats.org/drawingml/2006/main">
          <a:off x="795965" y="0"/>
          <a:ext cx="7366464" cy="493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2800" b="1">
              <a:latin typeface="+mn-ea"/>
              <a:ea typeface="+mn-ea"/>
            </a:rPr>
            <a:t>カタクチイワシ（４</a:t>
          </a:r>
          <a:r>
            <a:rPr lang="en-US" altLang="ja-JP" sz="2800" b="1">
              <a:latin typeface="+mn-ea"/>
              <a:ea typeface="+mn-ea"/>
            </a:rPr>
            <a:t>〜</a:t>
          </a:r>
          <a:r>
            <a:rPr lang="ja-JP" altLang="en-US" sz="2800" b="1">
              <a:latin typeface="+mn-ea"/>
              <a:ea typeface="+mn-ea"/>
            </a:rPr>
            <a:t>８月の沿岸漁業による漁獲量）</a:t>
          </a:r>
        </a:p>
        <a:p xmlns:a="http://schemas.openxmlformats.org/drawingml/2006/main">
          <a:endParaRPr lang="ja-JP" altLang="en-US" sz="2800" b="1"/>
        </a:p>
      </cdr:txBody>
    </cdr:sp>
  </cdr:relSizeAnchor>
  <cdr:relSizeAnchor xmlns:cdr="http://schemas.openxmlformats.org/drawingml/2006/chartDrawing">
    <cdr:from>
      <cdr:x>0.19605</cdr:x>
      <cdr:y>0.16261</cdr:y>
    </cdr:from>
    <cdr:to>
      <cdr:x>0.25195</cdr:x>
      <cdr:y>0.33335</cdr:y>
    </cdr:to>
    <cdr:grpSp>
      <cdr:nvGrpSpPr>
        <cdr:cNvPr id="3" name="図形グループ 14">
          <a:extLst xmlns:a="http://schemas.openxmlformats.org/drawingml/2006/main">
            <a:ext uri="{FF2B5EF4-FFF2-40B4-BE49-F238E27FC236}">
              <a16:creationId xmlns="" xmlns:a16="http://schemas.microsoft.com/office/drawing/2014/main" id="{9B37D4CB-77F3-45DD-ACF8-4A60F384D646}"/>
            </a:ext>
          </a:extLst>
        </cdr:cNvPr>
        <cdr:cNvGrpSpPr/>
      </cdr:nvGrpSpPr>
      <cdr:grpSpPr>
        <a:xfrm xmlns:a="http://schemas.openxmlformats.org/drawingml/2006/main">
          <a:off x="2276493" y="777789"/>
          <a:ext cx="649100" cy="816677"/>
          <a:chOff x="0" y="0"/>
          <a:chExt cx="539898" cy="1002087"/>
        </a:xfrm>
      </cdr:grpSpPr>
      <cdr:sp macro="" textlink="">
        <cdr:nvSpPr>
          <cdr:cNvPr id="4" name="正方形/長方形 3">
            <a:extLst xmlns:a="http://schemas.openxmlformats.org/drawingml/2006/main">
              <a:ext uri="{FF2B5EF4-FFF2-40B4-BE49-F238E27FC236}">
                <a16:creationId xmlns="" xmlns:a16="http://schemas.microsoft.com/office/drawing/2014/main" id="{341B65E6-F3D1-454D-8DE6-5ED8975D50A5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539898" cy="23733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5" name="正方形/長方形 4">
            <a:extLst xmlns:a="http://schemas.openxmlformats.org/drawingml/2006/main">
              <a:ext uri="{FF2B5EF4-FFF2-40B4-BE49-F238E27FC236}">
                <a16:creationId xmlns="" xmlns:a16="http://schemas.microsoft.com/office/drawing/2014/main" id="{1C266608-A4D2-4FF9-B742-BE63D2394C9C}"/>
              </a:ext>
            </a:extLst>
          </cdr:cNvPr>
          <cdr:cNvSpPr/>
        </cdr:nvSpPr>
        <cdr:spPr>
          <a:xfrm xmlns:a="http://schemas.openxmlformats.org/drawingml/2006/main">
            <a:off x="0" y="764751"/>
            <a:ext cx="539898" cy="237336"/>
          </a:xfrm>
          <a:prstGeom xmlns:a="http://schemas.openxmlformats.org/drawingml/2006/main" prst="rect">
            <a:avLst/>
          </a:prstGeom>
          <a:pattFill xmlns:a="http://schemas.openxmlformats.org/drawingml/2006/main" prst="wdUpDiag">
            <a:fgClr>
              <a:srgbClr val="00B050"/>
            </a:fgClr>
            <a:bgClr>
              <a:schemeClr val="bg1"/>
            </a:bgClr>
          </a:patt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6" name="正方形/長方形 5">
            <a:extLst xmlns:a="http://schemas.openxmlformats.org/drawingml/2006/main">
              <a:ext uri="{FF2B5EF4-FFF2-40B4-BE49-F238E27FC236}">
                <a16:creationId xmlns="" xmlns:a16="http://schemas.microsoft.com/office/drawing/2014/main" id="{4C29768D-58FB-4509-ACE8-816278E82E1B}"/>
              </a:ext>
            </a:extLst>
          </cdr:cNvPr>
          <cdr:cNvSpPr/>
        </cdr:nvSpPr>
        <cdr:spPr>
          <a:xfrm xmlns:a="http://schemas.openxmlformats.org/drawingml/2006/main">
            <a:off x="0" y="382375"/>
            <a:ext cx="539898" cy="23733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</cdr:grp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30</xdr:row>
      <xdr:rowOff>215900</xdr:rowOff>
    </xdr:from>
    <xdr:to>
      <xdr:col>4</xdr:col>
      <xdr:colOff>1054100</xdr:colOff>
      <xdr:row>45</xdr:row>
      <xdr:rowOff>12700</xdr:rowOff>
    </xdr:to>
    <xdr:graphicFrame macro="">
      <xdr:nvGraphicFramePr>
        <xdr:cNvPr id="18150946" name="グラフ 1">
          <a:extLst>
            <a:ext uri="{FF2B5EF4-FFF2-40B4-BE49-F238E27FC236}">
              <a16:creationId xmlns="" xmlns:a16="http://schemas.microsoft.com/office/drawing/2014/main" id="{00000000-0008-0000-0500-000022F61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45</xdr:row>
      <xdr:rowOff>12700</xdr:rowOff>
    </xdr:from>
    <xdr:to>
      <xdr:col>4</xdr:col>
      <xdr:colOff>1066800</xdr:colOff>
      <xdr:row>59</xdr:row>
      <xdr:rowOff>12700</xdr:rowOff>
    </xdr:to>
    <xdr:graphicFrame macro="">
      <xdr:nvGraphicFramePr>
        <xdr:cNvPr id="18150947" name="グラフ 2">
          <a:extLst>
            <a:ext uri="{FF2B5EF4-FFF2-40B4-BE49-F238E27FC236}">
              <a16:creationId xmlns="" xmlns:a16="http://schemas.microsoft.com/office/drawing/2014/main" id="{00000000-0008-0000-0500-000023F61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1054100</xdr:colOff>
      <xdr:row>30</xdr:row>
      <xdr:rowOff>215900</xdr:rowOff>
    </xdr:from>
    <xdr:to>
      <xdr:col>11</xdr:col>
      <xdr:colOff>25400</xdr:colOff>
      <xdr:row>44</xdr:row>
      <xdr:rowOff>215900</xdr:rowOff>
    </xdr:to>
    <xdr:graphicFrame macro="">
      <xdr:nvGraphicFramePr>
        <xdr:cNvPr id="18150948" name="グラフ 3">
          <a:extLst>
            <a:ext uri="{FF2B5EF4-FFF2-40B4-BE49-F238E27FC236}">
              <a16:creationId xmlns="" xmlns:a16="http://schemas.microsoft.com/office/drawing/2014/main" id="{00000000-0008-0000-0500-000024F61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914400</xdr:colOff>
      <xdr:row>30</xdr:row>
      <xdr:rowOff>215900</xdr:rowOff>
    </xdr:from>
    <xdr:to>
      <xdr:col>18</xdr:col>
      <xdr:colOff>901700</xdr:colOff>
      <xdr:row>45</xdr:row>
      <xdr:rowOff>12700</xdr:rowOff>
    </xdr:to>
    <xdr:graphicFrame macro="">
      <xdr:nvGraphicFramePr>
        <xdr:cNvPr id="18150949" name="グラフ 4">
          <a:extLst>
            <a:ext uri="{FF2B5EF4-FFF2-40B4-BE49-F238E27FC236}">
              <a16:creationId xmlns="" xmlns:a16="http://schemas.microsoft.com/office/drawing/2014/main" id="{00000000-0008-0000-0500-000025F61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19</xdr:col>
      <xdr:colOff>0</xdr:colOff>
      <xdr:row>59</xdr:row>
      <xdr:rowOff>25400</xdr:rowOff>
    </xdr:to>
    <xdr:graphicFrame macro="">
      <xdr:nvGraphicFramePr>
        <xdr:cNvPr id="18150950" name="グラフ 5">
          <a:extLst>
            <a:ext uri="{FF2B5EF4-FFF2-40B4-BE49-F238E27FC236}">
              <a16:creationId xmlns="" xmlns:a16="http://schemas.microsoft.com/office/drawing/2014/main" id="{00000000-0008-0000-0500-000026F61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30</xdr:row>
      <xdr:rowOff>215900</xdr:rowOff>
    </xdr:from>
    <xdr:to>
      <xdr:col>22</xdr:col>
      <xdr:colOff>800100</xdr:colOff>
      <xdr:row>45</xdr:row>
      <xdr:rowOff>12700</xdr:rowOff>
    </xdr:to>
    <xdr:graphicFrame macro="">
      <xdr:nvGraphicFramePr>
        <xdr:cNvPr id="18150951" name="グラフ 6">
          <a:extLst>
            <a:ext uri="{FF2B5EF4-FFF2-40B4-BE49-F238E27FC236}">
              <a16:creationId xmlns="" xmlns:a16="http://schemas.microsoft.com/office/drawing/2014/main" id="{00000000-0008-0000-0500-000027F61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901700</xdr:colOff>
      <xdr:row>2</xdr:row>
      <xdr:rowOff>215900</xdr:rowOff>
    </xdr:from>
    <xdr:to>
      <xdr:col>29</xdr:col>
      <xdr:colOff>711200</xdr:colOff>
      <xdr:row>12</xdr:row>
      <xdr:rowOff>139700</xdr:rowOff>
    </xdr:to>
    <xdr:graphicFrame macro="">
      <xdr:nvGraphicFramePr>
        <xdr:cNvPr id="18150952" name="グラフ 7">
          <a:extLst>
            <a:ext uri="{FF2B5EF4-FFF2-40B4-BE49-F238E27FC236}">
              <a16:creationId xmlns="" xmlns:a16="http://schemas.microsoft.com/office/drawing/2014/main" id="{00000000-0008-0000-0500-000028F61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901700</xdr:colOff>
      <xdr:row>12</xdr:row>
      <xdr:rowOff>165100</xdr:rowOff>
    </xdr:from>
    <xdr:to>
      <xdr:col>29</xdr:col>
      <xdr:colOff>711200</xdr:colOff>
      <xdr:row>22</xdr:row>
      <xdr:rowOff>88900</xdr:rowOff>
    </xdr:to>
    <xdr:graphicFrame macro="">
      <xdr:nvGraphicFramePr>
        <xdr:cNvPr id="18150953" name="グラフ 8">
          <a:extLst>
            <a:ext uri="{FF2B5EF4-FFF2-40B4-BE49-F238E27FC236}">
              <a16:creationId xmlns="" xmlns:a16="http://schemas.microsoft.com/office/drawing/2014/main" id="{00000000-0008-0000-0500-000029F61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22</xdr:row>
      <xdr:rowOff>101600</xdr:rowOff>
    </xdr:from>
    <xdr:to>
      <xdr:col>29</xdr:col>
      <xdr:colOff>723900</xdr:colOff>
      <xdr:row>32</xdr:row>
      <xdr:rowOff>25400</xdr:rowOff>
    </xdr:to>
    <xdr:graphicFrame macro="">
      <xdr:nvGraphicFramePr>
        <xdr:cNvPr id="18150954" name="グラフ 9">
          <a:extLst>
            <a:ext uri="{FF2B5EF4-FFF2-40B4-BE49-F238E27FC236}">
              <a16:creationId xmlns="" xmlns:a16="http://schemas.microsoft.com/office/drawing/2014/main" id="{00000000-0008-0000-0500-00002AF61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469900</xdr:colOff>
      <xdr:row>187</xdr:row>
      <xdr:rowOff>88900</xdr:rowOff>
    </xdr:from>
    <xdr:to>
      <xdr:col>27</xdr:col>
      <xdr:colOff>0</xdr:colOff>
      <xdr:row>203</xdr:row>
      <xdr:rowOff>88900</xdr:rowOff>
    </xdr:to>
    <xdr:graphicFrame macro="">
      <xdr:nvGraphicFramePr>
        <xdr:cNvPr id="10646850" name="グラフ 1">
          <a:extLst>
            <a:ext uri="{FF2B5EF4-FFF2-40B4-BE49-F238E27FC236}">
              <a16:creationId xmlns="" xmlns:a16="http://schemas.microsoft.com/office/drawing/2014/main" id="{00000000-0008-0000-0200-00004275A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30</xdr:row>
      <xdr:rowOff>215900</xdr:rowOff>
    </xdr:from>
    <xdr:to>
      <xdr:col>4</xdr:col>
      <xdr:colOff>1054100</xdr:colOff>
      <xdr:row>45</xdr:row>
      <xdr:rowOff>12700</xdr:rowOff>
    </xdr:to>
    <xdr:graphicFrame macro="">
      <xdr:nvGraphicFramePr>
        <xdr:cNvPr id="16974772" name="グラフ 1">
          <a:extLst>
            <a:ext uri="{FF2B5EF4-FFF2-40B4-BE49-F238E27FC236}">
              <a16:creationId xmlns="" xmlns:a16="http://schemas.microsoft.com/office/drawing/2014/main" id="{00000000-0008-0000-0600-0000B4030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45</xdr:row>
      <xdr:rowOff>12700</xdr:rowOff>
    </xdr:from>
    <xdr:to>
      <xdr:col>4</xdr:col>
      <xdr:colOff>1066800</xdr:colOff>
      <xdr:row>59</xdr:row>
      <xdr:rowOff>12700</xdr:rowOff>
    </xdr:to>
    <xdr:graphicFrame macro="">
      <xdr:nvGraphicFramePr>
        <xdr:cNvPr id="16974773" name="グラフ 2">
          <a:extLst>
            <a:ext uri="{FF2B5EF4-FFF2-40B4-BE49-F238E27FC236}">
              <a16:creationId xmlns="" xmlns:a16="http://schemas.microsoft.com/office/drawing/2014/main" id="{00000000-0008-0000-0600-0000B5030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1054100</xdr:colOff>
      <xdr:row>30</xdr:row>
      <xdr:rowOff>215900</xdr:rowOff>
    </xdr:from>
    <xdr:to>
      <xdr:col>11</xdr:col>
      <xdr:colOff>25400</xdr:colOff>
      <xdr:row>44</xdr:row>
      <xdr:rowOff>215900</xdr:rowOff>
    </xdr:to>
    <xdr:graphicFrame macro="">
      <xdr:nvGraphicFramePr>
        <xdr:cNvPr id="16974774" name="グラフ 3">
          <a:extLst>
            <a:ext uri="{FF2B5EF4-FFF2-40B4-BE49-F238E27FC236}">
              <a16:creationId xmlns="" xmlns:a16="http://schemas.microsoft.com/office/drawing/2014/main" id="{00000000-0008-0000-0600-0000B6030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914400</xdr:colOff>
      <xdr:row>30</xdr:row>
      <xdr:rowOff>215900</xdr:rowOff>
    </xdr:from>
    <xdr:to>
      <xdr:col>18</xdr:col>
      <xdr:colOff>901700</xdr:colOff>
      <xdr:row>45</xdr:row>
      <xdr:rowOff>12700</xdr:rowOff>
    </xdr:to>
    <xdr:graphicFrame macro="">
      <xdr:nvGraphicFramePr>
        <xdr:cNvPr id="16974775" name="グラフ 4">
          <a:extLst>
            <a:ext uri="{FF2B5EF4-FFF2-40B4-BE49-F238E27FC236}">
              <a16:creationId xmlns="" xmlns:a16="http://schemas.microsoft.com/office/drawing/2014/main" id="{00000000-0008-0000-0600-0000B7030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45</xdr:row>
      <xdr:rowOff>0</xdr:rowOff>
    </xdr:from>
    <xdr:to>
      <xdr:col>19</xdr:col>
      <xdr:colOff>0</xdr:colOff>
      <xdr:row>59</xdr:row>
      <xdr:rowOff>25400</xdr:rowOff>
    </xdr:to>
    <xdr:graphicFrame macro="">
      <xdr:nvGraphicFramePr>
        <xdr:cNvPr id="16974776" name="グラフ 5">
          <a:extLst>
            <a:ext uri="{FF2B5EF4-FFF2-40B4-BE49-F238E27FC236}">
              <a16:creationId xmlns="" xmlns:a16="http://schemas.microsoft.com/office/drawing/2014/main" id="{00000000-0008-0000-0600-0000B8030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30</xdr:row>
      <xdr:rowOff>215900</xdr:rowOff>
    </xdr:from>
    <xdr:to>
      <xdr:col>22</xdr:col>
      <xdr:colOff>800100</xdr:colOff>
      <xdr:row>45</xdr:row>
      <xdr:rowOff>12700</xdr:rowOff>
    </xdr:to>
    <xdr:graphicFrame macro="">
      <xdr:nvGraphicFramePr>
        <xdr:cNvPr id="16974777" name="グラフ 6">
          <a:extLst>
            <a:ext uri="{FF2B5EF4-FFF2-40B4-BE49-F238E27FC236}">
              <a16:creationId xmlns="" xmlns:a16="http://schemas.microsoft.com/office/drawing/2014/main" id="{00000000-0008-0000-0600-0000B9030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901700</xdr:colOff>
      <xdr:row>2</xdr:row>
      <xdr:rowOff>215900</xdr:rowOff>
    </xdr:from>
    <xdr:to>
      <xdr:col>29</xdr:col>
      <xdr:colOff>711200</xdr:colOff>
      <xdr:row>12</xdr:row>
      <xdr:rowOff>139700</xdr:rowOff>
    </xdr:to>
    <xdr:graphicFrame macro="">
      <xdr:nvGraphicFramePr>
        <xdr:cNvPr id="16974778" name="グラフ 7">
          <a:extLst>
            <a:ext uri="{FF2B5EF4-FFF2-40B4-BE49-F238E27FC236}">
              <a16:creationId xmlns="" xmlns:a16="http://schemas.microsoft.com/office/drawing/2014/main" id="{00000000-0008-0000-0600-0000BA030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901700</xdr:colOff>
      <xdr:row>12</xdr:row>
      <xdr:rowOff>165100</xdr:rowOff>
    </xdr:from>
    <xdr:to>
      <xdr:col>29</xdr:col>
      <xdr:colOff>711200</xdr:colOff>
      <xdr:row>22</xdr:row>
      <xdr:rowOff>88900</xdr:rowOff>
    </xdr:to>
    <xdr:graphicFrame macro="">
      <xdr:nvGraphicFramePr>
        <xdr:cNvPr id="16974779" name="グラフ 8">
          <a:extLst>
            <a:ext uri="{FF2B5EF4-FFF2-40B4-BE49-F238E27FC236}">
              <a16:creationId xmlns="" xmlns:a16="http://schemas.microsoft.com/office/drawing/2014/main" id="{00000000-0008-0000-0600-0000BB030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22</xdr:row>
      <xdr:rowOff>101600</xdr:rowOff>
    </xdr:from>
    <xdr:to>
      <xdr:col>29</xdr:col>
      <xdr:colOff>723900</xdr:colOff>
      <xdr:row>32</xdr:row>
      <xdr:rowOff>25400</xdr:rowOff>
    </xdr:to>
    <xdr:graphicFrame macro="">
      <xdr:nvGraphicFramePr>
        <xdr:cNvPr id="16974780" name="グラフ 9">
          <a:extLst>
            <a:ext uri="{FF2B5EF4-FFF2-40B4-BE49-F238E27FC236}">
              <a16:creationId xmlns="" xmlns:a16="http://schemas.microsoft.com/office/drawing/2014/main" id="{00000000-0008-0000-0600-0000BC030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76200</xdr:colOff>
      <xdr:row>46</xdr:row>
      <xdr:rowOff>114300</xdr:rowOff>
    </xdr:from>
    <xdr:to>
      <xdr:col>9</xdr:col>
      <xdr:colOff>673100</xdr:colOff>
      <xdr:row>60</xdr:row>
      <xdr:rowOff>127000</xdr:rowOff>
    </xdr:to>
    <xdr:graphicFrame macro="">
      <xdr:nvGraphicFramePr>
        <xdr:cNvPr id="16974781" name="グラフ 1">
          <a:extLst>
            <a:ext uri="{FF2B5EF4-FFF2-40B4-BE49-F238E27FC236}">
              <a16:creationId xmlns="" xmlns:a16="http://schemas.microsoft.com/office/drawing/2014/main" id="{00000000-0008-0000-0600-0000BD030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0.32244</cdr:x>
      <cdr:y>0.42917</cdr:y>
    </cdr:from>
    <cdr:to>
      <cdr:x>0.5121</cdr:x>
      <cdr:y>0.55222</cdr:y>
    </cdr:to>
    <cdr:sp macro="" textlink="">
      <cdr:nvSpPr>
        <cdr:cNvPr id="2" name="テキスト ボックス 1">
          <a:extLst xmlns:a="http://schemas.openxmlformats.org/drawingml/2006/main"/>
        </cdr:cNvPr>
        <cdr:cNvSpPr txBox="1"/>
      </cdr:nvSpPr>
      <cdr:spPr>
        <a:xfrm xmlns:a="http://schemas.openxmlformats.org/drawingml/2006/main">
          <a:off x="1295400" y="1285875"/>
          <a:ext cx="131445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400"/>
            <a:t>マイワシ</a:t>
          </a:r>
          <a:endParaRPr lang="en-US" altLang="ja-JP" sz="1400"/>
        </a:p>
        <a:p xmlns:a="http://schemas.openxmlformats.org/drawingml/2006/main">
          <a:pPr>
            <a:lnSpc>
              <a:spcPts val="1700"/>
            </a:lnSpc>
          </a:pPr>
          <a:r>
            <a:rPr lang="en-US" altLang="ja-JP" sz="1400"/>
            <a:t>2012</a:t>
          </a:r>
          <a:r>
            <a:rPr lang="ja-JP" altLang="en-US" sz="1400"/>
            <a:t>年</a:t>
          </a:r>
          <a:r>
            <a:rPr lang="en-US" altLang="ja-JP" sz="1400"/>
            <a:t>4</a:t>
          </a:r>
          <a:r>
            <a:rPr lang="ja-JP" altLang="en-US" sz="1400"/>
            <a:t>～</a:t>
          </a:r>
          <a:r>
            <a:rPr lang="en-US" altLang="ja-JP" sz="1400"/>
            <a:t>8</a:t>
          </a:r>
          <a:r>
            <a:rPr lang="ja-JP" altLang="en-US" sz="1400"/>
            <a:t>月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100</xdr:row>
      <xdr:rowOff>12700</xdr:rowOff>
    </xdr:from>
    <xdr:to>
      <xdr:col>26</xdr:col>
      <xdr:colOff>406400</xdr:colOff>
      <xdr:row>116</xdr:row>
      <xdr:rowOff>12700</xdr:rowOff>
    </xdr:to>
    <xdr:graphicFrame macro="">
      <xdr:nvGraphicFramePr>
        <xdr:cNvPr id="18482391" name="グラフ 1">
          <a:extLst>
            <a:ext uri="{FF2B5EF4-FFF2-40B4-BE49-F238E27FC236}">
              <a16:creationId xmlns="" xmlns:a16="http://schemas.microsoft.com/office/drawing/2014/main" id="{00000000-0008-0000-0100-0000D7041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203200</xdr:colOff>
      <xdr:row>127</xdr:row>
      <xdr:rowOff>25400</xdr:rowOff>
    </xdr:from>
    <xdr:to>
      <xdr:col>27</xdr:col>
      <xdr:colOff>508000</xdr:colOff>
      <xdr:row>143</xdr:row>
      <xdr:rowOff>25400</xdr:rowOff>
    </xdr:to>
    <xdr:graphicFrame macro="">
      <xdr:nvGraphicFramePr>
        <xdr:cNvPr id="18482392" name="グラフ 2">
          <a:extLst>
            <a:ext uri="{FF2B5EF4-FFF2-40B4-BE49-F238E27FC236}">
              <a16:creationId xmlns="" xmlns:a16="http://schemas.microsoft.com/office/drawing/2014/main" id="{00000000-0008-0000-0100-0000D8041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723900</xdr:colOff>
      <xdr:row>153</xdr:row>
      <xdr:rowOff>12700</xdr:rowOff>
    </xdr:from>
    <xdr:to>
      <xdr:col>27</xdr:col>
      <xdr:colOff>292100</xdr:colOff>
      <xdr:row>169</xdr:row>
      <xdr:rowOff>12700</xdr:rowOff>
    </xdr:to>
    <xdr:graphicFrame macro="">
      <xdr:nvGraphicFramePr>
        <xdr:cNvPr id="18482393" name="グラフ 3">
          <a:extLst>
            <a:ext uri="{FF2B5EF4-FFF2-40B4-BE49-F238E27FC236}">
              <a16:creationId xmlns="" xmlns:a16="http://schemas.microsoft.com/office/drawing/2014/main" id="{00000000-0008-0000-0100-0000D9041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34</xdr:row>
      <xdr:rowOff>0</xdr:rowOff>
    </xdr:from>
    <xdr:to>
      <xdr:col>11</xdr:col>
      <xdr:colOff>711200</xdr:colOff>
      <xdr:row>34</xdr:row>
      <xdr:rowOff>0</xdr:rowOff>
    </xdr:to>
    <xdr:graphicFrame macro="">
      <xdr:nvGraphicFramePr>
        <xdr:cNvPr id="2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34</xdr:row>
      <xdr:rowOff>0</xdr:rowOff>
    </xdr:from>
    <xdr:to>
      <xdr:col>11</xdr:col>
      <xdr:colOff>444500</xdr:colOff>
      <xdr:row>34</xdr:row>
      <xdr:rowOff>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34</xdr:row>
      <xdr:rowOff>0</xdr:rowOff>
    </xdr:from>
    <xdr:to>
      <xdr:col>11</xdr:col>
      <xdr:colOff>673100</xdr:colOff>
      <xdr:row>34</xdr:row>
      <xdr:rowOff>0</xdr:rowOff>
    </xdr:to>
    <xdr:graphicFrame macro="">
      <xdr:nvGraphicFramePr>
        <xdr:cNvPr id="4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292100</xdr:colOff>
      <xdr:row>34</xdr:row>
      <xdr:rowOff>0</xdr:rowOff>
    </xdr:from>
    <xdr:to>
      <xdr:col>16</xdr:col>
      <xdr:colOff>266700</xdr:colOff>
      <xdr:row>34</xdr:row>
      <xdr:rowOff>0</xdr:rowOff>
    </xdr:to>
    <xdr:graphicFrame macro="">
      <xdr:nvGraphicFramePr>
        <xdr:cNvPr id="5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711200</xdr:colOff>
      <xdr:row>34</xdr:row>
      <xdr:rowOff>0</xdr:rowOff>
    </xdr:from>
    <xdr:to>
      <xdr:col>16</xdr:col>
      <xdr:colOff>25400</xdr:colOff>
      <xdr:row>34</xdr:row>
      <xdr:rowOff>0</xdr:rowOff>
    </xdr:to>
    <xdr:graphicFrame macro="">
      <xdr:nvGraphicFramePr>
        <xdr:cNvPr id="6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279400</xdr:colOff>
      <xdr:row>34</xdr:row>
      <xdr:rowOff>0</xdr:rowOff>
    </xdr:from>
    <xdr:to>
      <xdr:col>16</xdr:col>
      <xdr:colOff>127000</xdr:colOff>
      <xdr:row>34</xdr:row>
      <xdr:rowOff>0</xdr:rowOff>
    </xdr:to>
    <xdr:graphicFrame macro="">
      <xdr:nvGraphicFramePr>
        <xdr:cNvPr id="7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31</xdr:row>
      <xdr:rowOff>4234</xdr:rowOff>
    </xdr:from>
    <xdr:to>
      <xdr:col>5</xdr:col>
      <xdr:colOff>398536</xdr:colOff>
      <xdr:row>43</xdr:row>
      <xdr:rowOff>185169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400-0000B7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44</xdr:row>
      <xdr:rowOff>31514</xdr:rowOff>
    </xdr:from>
    <xdr:to>
      <xdr:col>5</xdr:col>
      <xdr:colOff>398536</xdr:colOff>
      <xdr:row>57</xdr:row>
      <xdr:rowOff>13482</xdr:rowOff>
    </xdr:to>
    <xdr:graphicFrame macro="">
      <xdr:nvGraphicFramePr>
        <xdr:cNvPr id="3" name="グラフ 2">
          <a:extLst>
            <a:ext uri="{FF2B5EF4-FFF2-40B4-BE49-F238E27FC236}">
              <a16:creationId xmlns="" xmlns:a16="http://schemas.microsoft.com/office/drawing/2014/main" id="{00000000-0008-0000-0400-0000B8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354011</xdr:colOff>
      <xdr:row>31</xdr:row>
      <xdr:rowOff>7408</xdr:rowOff>
    </xdr:from>
    <xdr:to>
      <xdr:col>11</xdr:col>
      <xdr:colOff>489092</xdr:colOff>
      <xdr:row>44</xdr:row>
      <xdr:rowOff>2077</xdr:rowOff>
    </xdr:to>
    <xdr:graphicFrame macro="">
      <xdr:nvGraphicFramePr>
        <xdr:cNvPr id="4" name="グラフ 3">
          <a:extLst>
            <a:ext uri="{FF2B5EF4-FFF2-40B4-BE49-F238E27FC236}">
              <a16:creationId xmlns="" xmlns:a16="http://schemas.microsoft.com/office/drawing/2014/main" id="{00000000-0008-0000-0400-0000B9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276227</xdr:colOff>
      <xdr:row>31</xdr:row>
      <xdr:rowOff>15874</xdr:rowOff>
    </xdr:from>
    <xdr:to>
      <xdr:col>18</xdr:col>
      <xdr:colOff>411306</xdr:colOff>
      <xdr:row>44</xdr:row>
      <xdr:rowOff>4597</xdr:rowOff>
    </xdr:to>
    <xdr:graphicFrame macro="">
      <xdr:nvGraphicFramePr>
        <xdr:cNvPr id="5" name="グラフ 4">
          <a:extLst>
            <a:ext uri="{FF2B5EF4-FFF2-40B4-BE49-F238E27FC236}">
              <a16:creationId xmlns="" xmlns:a16="http://schemas.microsoft.com/office/drawing/2014/main" id="{00000000-0008-0000-0400-0000BA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12</xdr:col>
      <xdr:colOff>276227</xdr:colOff>
      <xdr:row>44</xdr:row>
      <xdr:rowOff>31514</xdr:rowOff>
    </xdr:from>
    <xdr:to>
      <xdr:col>18</xdr:col>
      <xdr:colOff>411306</xdr:colOff>
      <xdr:row>57</xdr:row>
      <xdr:rowOff>13482</xdr:rowOff>
    </xdr:to>
    <xdr:graphicFrame macro="">
      <xdr:nvGraphicFramePr>
        <xdr:cNvPr id="6" name="グラフ 5">
          <a:extLst>
            <a:ext uri="{FF2B5EF4-FFF2-40B4-BE49-F238E27FC236}">
              <a16:creationId xmlns="" xmlns:a16="http://schemas.microsoft.com/office/drawing/2014/main" id="{00000000-0008-0000-0400-0000BB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18</xdr:col>
      <xdr:colOff>460746</xdr:colOff>
      <xdr:row>31</xdr:row>
      <xdr:rowOff>1495</xdr:rowOff>
    </xdr:from>
    <xdr:to>
      <xdr:col>22</xdr:col>
      <xdr:colOff>687023</xdr:colOff>
      <xdr:row>44</xdr:row>
      <xdr:rowOff>8864</xdr:rowOff>
    </xdr:to>
    <xdr:graphicFrame macro="">
      <xdr:nvGraphicFramePr>
        <xdr:cNvPr id="7" name="グラフ 6">
          <a:extLst>
            <a:ext uri="{FF2B5EF4-FFF2-40B4-BE49-F238E27FC236}">
              <a16:creationId xmlns="" xmlns:a16="http://schemas.microsoft.com/office/drawing/2014/main" id="{00000000-0008-0000-0400-0000BC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24</xdr:col>
      <xdr:colOff>363537</xdr:colOff>
      <xdr:row>1</xdr:row>
      <xdr:rowOff>76199</xdr:rowOff>
    </xdr:from>
    <xdr:to>
      <xdr:col>28</xdr:col>
      <xdr:colOff>500337</xdr:colOff>
      <xdr:row>11</xdr:row>
      <xdr:rowOff>5492</xdr:rowOff>
    </xdr:to>
    <xdr:graphicFrame macro="">
      <xdr:nvGraphicFramePr>
        <xdr:cNvPr id="8" name="グラフ 7">
          <a:extLst>
            <a:ext uri="{FF2B5EF4-FFF2-40B4-BE49-F238E27FC236}">
              <a16:creationId xmlns="" xmlns:a16="http://schemas.microsoft.com/office/drawing/2014/main" id="{00000000-0008-0000-0400-0000BD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24</xdr:col>
      <xdr:colOff>363537</xdr:colOff>
      <xdr:row>11</xdr:row>
      <xdr:rowOff>6079</xdr:rowOff>
    </xdr:from>
    <xdr:to>
      <xdr:col>28</xdr:col>
      <xdr:colOff>500337</xdr:colOff>
      <xdr:row>20</xdr:row>
      <xdr:rowOff>143874</xdr:rowOff>
    </xdr:to>
    <xdr:graphicFrame macro="">
      <xdr:nvGraphicFramePr>
        <xdr:cNvPr id="9" name="グラフ 8">
          <a:extLst>
            <a:ext uri="{FF2B5EF4-FFF2-40B4-BE49-F238E27FC236}">
              <a16:creationId xmlns="" xmlns:a16="http://schemas.microsoft.com/office/drawing/2014/main" id="{00000000-0008-0000-0400-0000BE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24</xdr:col>
      <xdr:colOff>368299</xdr:colOff>
      <xdr:row>20</xdr:row>
      <xdr:rowOff>134938</xdr:rowOff>
    </xdr:from>
    <xdr:to>
      <xdr:col>28</xdr:col>
      <xdr:colOff>505099</xdr:colOff>
      <xdr:row>30</xdr:row>
      <xdr:rowOff>58738</xdr:rowOff>
    </xdr:to>
    <xdr:graphicFrame macro="">
      <xdr:nvGraphicFramePr>
        <xdr:cNvPr id="10" name="グラフ 9">
          <a:extLst>
            <a:ext uri="{FF2B5EF4-FFF2-40B4-BE49-F238E27FC236}">
              <a16:creationId xmlns="" xmlns:a16="http://schemas.microsoft.com/office/drawing/2014/main" id="{00000000-0008-0000-0400-0000BF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</xdr:col>
      <xdr:colOff>238124</xdr:colOff>
      <xdr:row>45</xdr:row>
      <xdr:rowOff>38099</xdr:rowOff>
    </xdr:from>
    <xdr:to>
      <xdr:col>11</xdr:col>
      <xdr:colOff>338137</xdr:colOff>
      <xdr:row>59</xdr:row>
      <xdr:rowOff>50799</xdr:rowOff>
    </xdr:to>
    <xdr:graphicFrame macro="">
      <xdr:nvGraphicFramePr>
        <xdr:cNvPr id="11" name="グラフ 1">
          <a:extLst>
            <a:ext uri="{FF2B5EF4-FFF2-40B4-BE49-F238E27FC236}">
              <a16:creationId xmlns="" xmlns:a16="http://schemas.microsoft.com/office/drawing/2014/main" id="{00000000-0008-0000-0400-0000C0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30</xdr:col>
      <xdr:colOff>514350</xdr:colOff>
      <xdr:row>1</xdr:row>
      <xdr:rowOff>103187</xdr:rowOff>
    </xdr:from>
    <xdr:to>
      <xdr:col>43</xdr:col>
      <xdr:colOff>238950</xdr:colOff>
      <xdr:row>27</xdr:row>
      <xdr:rowOff>43412</xdr:rowOff>
    </xdr:to>
    <xdr:graphicFrame macro="">
      <xdr:nvGraphicFramePr>
        <xdr:cNvPr id="12" name="グラフ 11">
          <a:extLst>
            <a:ext uri="{FF2B5EF4-FFF2-40B4-BE49-F238E27FC236}">
              <a16:creationId xmlns="" xmlns:a16="http://schemas.microsoft.com/office/drawing/2014/main" id="{00000000-0008-0000-0400-0000C1B7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30</xdr:col>
      <xdr:colOff>514350</xdr:colOff>
      <xdr:row>27</xdr:row>
      <xdr:rowOff>211137</xdr:rowOff>
    </xdr:from>
    <xdr:to>
      <xdr:col>43</xdr:col>
      <xdr:colOff>238950</xdr:colOff>
      <xdr:row>53</xdr:row>
      <xdr:rowOff>151362</xdr:rowOff>
    </xdr:to>
    <xdr:graphicFrame macro="">
      <xdr:nvGraphicFramePr>
        <xdr:cNvPr id="13" name="グラフ 11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30</xdr:col>
      <xdr:colOff>514350</xdr:colOff>
      <xdr:row>54</xdr:row>
      <xdr:rowOff>144463</xdr:rowOff>
    </xdr:from>
    <xdr:to>
      <xdr:col>43</xdr:col>
      <xdr:colOff>238950</xdr:colOff>
      <xdr:row>80</xdr:row>
      <xdr:rowOff>84688</xdr:rowOff>
    </xdr:to>
    <xdr:graphicFrame macro="">
      <xdr:nvGraphicFramePr>
        <xdr:cNvPr id="14" name="グラフ 11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0.32244</cdr:x>
      <cdr:y>0.42917</cdr:y>
    </cdr:from>
    <cdr:to>
      <cdr:x>0.5121</cdr:x>
      <cdr:y>0.55222</cdr:y>
    </cdr:to>
    <cdr:sp macro="" textlink="">
      <cdr:nvSpPr>
        <cdr:cNvPr id="2" name="テキスト ボックス 1">
          <a:extLst xmlns:a="http://schemas.openxmlformats.org/drawingml/2006/main"/>
        </cdr:cNvPr>
        <cdr:cNvSpPr txBox="1"/>
      </cdr:nvSpPr>
      <cdr:spPr>
        <a:xfrm xmlns:a="http://schemas.openxmlformats.org/drawingml/2006/main">
          <a:off x="1295400" y="1285875"/>
          <a:ext cx="131445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400"/>
            <a:t>マイワシ</a:t>
          </a:r>
          <a:endParaRPr lang="en-US" altLang="ja-JP" sz="1400"/>
        </a:p>
        <a:p xmlns:a="http://schemas.openxmlformats.org/drawingml/2006/main">
          <a:pPr>
            <a:lnSpc>
              <a:spcPts val="1700"/>
            </a:lnSpc>
          </a:pPr>
          <a:r>
            <a:rPr lang="en-US" altLang="ja-JP" sz="1400"/>
            <a:t>2012</a:t>
          </a:r>
          <a:r>
            <a:rPr lang="ja-JP" altLang="en-US" sz="1400"/>
            <a:t>年</a:t>
          </a:r>
          <a:r>
            <a:rPr lang="en-US" altLang="ja-JP" sz="1400"/>
            <a:t>4</a:t>
          </a:r>
          <a:r>
            <a:rPr lang="ja-JP" altLang="en-US" sz="1400"/>
            <a:t>～</a:t>
          </a:r>
          <a:r>
            <a:rPr lang="en-US" altLang="ja-JP" sz="1400"/>
            <a:t>8</a:t>
          </a:r>
          <a:r>
            <a:rPr lang="ja-JP" altLang="en-US" sz="1400"/>
            <a:t>月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0.10976</cdr:x>
      <cdr:y>0</cdr:y>
    </cdr:from>
    <cdr:to>
      <cdr:x>0.96236</cdr:x>
      <cdr:y>0.08562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="" xmlns:a16="http://schemas.microsoft.com/office/drawing/2014/main" id="{11E66C36-F463-43F5-BF0D-977C325A5792}"/>
            </a:ext>
          </a:extLst>
        </cdr:cNvPr>
        <cdr:cNvSpPr txBox="1"/>
      </cdr:nvSpPr>
      <cdr:spPr>
        <a:xfrm xmlns:a="http://schemas.openxmlformats.org/drawingml/2006/main">
          <a:off x="948366" y="0"/>
          <a:ext cx="7366464" cy="493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2800" b="1">
              <a:latin typeface="+mn-ea"/>
              <a:ea typeface="+mn-ea"/>
            </a:rPr>
            <a:t>マイワシ（４</a:t>
          </a:r>
          <a:r>
            <a:rPr lang="en-US" altLang="ja-JP" sz="2800" b="1">
              <a:latin typeface="+mn-ea"/>
              <a:ea typeface="+mn-ea"/>
            </a:rPr>
            <a:t>〜</a:t>
          </a:r>
          <a:r>
            <a:rPr lang="ja-JP" altLang="en-US" sz="2800" b="1">
              <a:latin typeface="+mn-ea"/>
              <a:ea typeface="+mn-ea"/>
            </a:rPr>
            <a:t>８月の沿岸漁業による漁獲量）</a:t>
          </a:r>
        </a:p>
      </cdr:txBody>
    </cdr:sp>
  </cdr:relSizeAnchor>
  <cdr:absSizeAnchor xmlns:cdr="http://schemas.openxmlformats.org/drawingml/2006/chartDrawing">
    <cdr:from>
      <cdr:x>0.20431</cdr:x>
      <cdr:y>0.16509</cdr:y>
    </cdr:from>
    <cdr:ext cx="432000" cy="965203"/>
    <cdr:grpSp>
      <cdr:nvGrpSpPr>
        <cdr:cNvPr id="3" name="グループ化 2">
          <a:extLst xmlns:a="http://schemas.openxmlformats.org/drawingml/2006/main">
            <a:ext uri="{FF2B5EF4-FFF2-40B4-BE49-F238E27FC236}">
              <a16:creationId xmlns="" xmlns:a16="http://schemas.microsoft.com/office/drawing/2014/main" id="{D015E084-B9E0-49F6-BC1A-292ED8FF95EF}"/>
            </a:ext>
          </a:extLst>
        </cdr:cNvPr>
        <cdr:cNvGrpSpPr/>
      </cdr:nvGrpSpPr>
      <cdr:grpSpPr>
        <a:xfrm xmlns:a="http://schemas.openxmlformats.org/drawingml/2006/main">
          <a:off x="2372407" y="990929"/>
          <a:ext cx="432000" cy="965203"/>
          <a:chOff x="1746209" y="946141"/>
          <a:chExt cx="432000" cy="965203"/>
        </a:xfrm>
      </cdr:grpSpPr>
      <cdr:sp macro="" textlink="">
        <cdr:nvSpPr>
          <cdr:cNvPr id="13" name="正方形/長方形 12">
            <a:extLst xmlns:a="http://schemas.openxmlformats.org/drawingml/2006/main">
              <a:ext uri="{FF2B5EF4-FFF2-40B4-BE49-F238E27FC236}">
                <a16:creationId xmlns="" xmlns:a16="http://schemas.microsoft.com/office/drawing/2014/main" id="{00000000-0008-0000-0800-00000C000000}"/>
              </a:ext>
            </a:extLst>
          </cdr:cNvPr>
          <cdr:cNvSpPr/>
        </cdr:nvSpPr>
        <cdr:spPr>
          <a:xfrm xmlns:a="http://schemas.openxmlformats.org/drawingml/2006/main">
            <a:off x="1746209" y="946141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14" name="正方形/長方形 13">
            <a:extLst xmlns:a="http://schemas.openxmlformats.org/drawingml/2006/main">
              <a:ext uri="{FF2B5EF4-FFF2-40B4-BE49-F238E27FC236}">
                <a16:creationId xmlns="" xmlns:a16="http://schemas.microsoft.com/office/drawing/2014/main" id="{00000000-0008-0000-0800-00000D000000}"/>
              </a:ext>
            </a:extLst>
          </cdr:cNvPr>
          <cdr:cNvSpPr/>
        </cdr:nvSpPr>
        <cdr:spPr>
          <a:xfrm xmlns:a="http://schemas.openxmlformats.org/drawingml/2006/main">
            <a:off x="1746209" y="1682744"/>
            <a:ext cx="432000" cy="228600"/>
          </a:xfrm>
          <a:prstGeom xmlns:a="http://schemas.openxmlformats.org/drawingml/2006/main" prst="rect">
            <a:avLst/>
          </a:prstGeom>
          <a:pattFill xmlns:a="http://schemas.openxmlformats.org/drawingml/2006/main" prst="wdUpDiag">
            <a:fgClr>
              <a:srgbClr val="00B050"/>
            </a:fgClr>
            <a:bgClr>
              <a:schemeClr val="bg1"/>
            </a:bgClr>
          </a:patt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15" name="正方形/長方形 14">
            <a:extLst xmlns:a="http://schemas.openxmlformats.org/drawingml/2006/main">
              <a:ext uri="{FF2B5EF4-FFF2-40B4-BE49-F238E27FC236}">
                <a16:creationId xmlns="" xmlns:a16="http://schemas.microsoft.com/office/drawing/2014/main" id="{00000000-0008-0000-0800-00000E000000}"/>
              </a:ext>
            </a:extLst>
          </cdr:cNvPr>
          <cdr:cNvSpPr/>
        </cdr:nvSpPr>
        <cdr:spPr>
          <a:xfrm xmlns:a="http://schemas.openxmlformats.org/drawingml/2006/main">
            <a:off x="1746209" y="1314442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</cdr:grpSp>
  </cdr:abs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0.11252</cdr:x>
      <cdr:y>0</cdr:y>
    </cdr:from>
    <cdr:to>
      <cdr:x>0.96512</cdr:x>
      <cdr:y>0.08562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="" xmlns:a16="http://schemas.microsoft.com/office/drawing/2014/main" id="{11E66C36-F463-43F5-BF0D-977C325A5792}"/>
            </a:ext>
          </a:extLst>
        </cdr:cNvPr>
        <cdr:cNvSpPr txBox="1"/>
      </cdr:nvSpPr>
      <cdr:spPr>
        <a:xfrm xmlns:a="http://schemas.openxmlformats.org/drawingml/2006/main">
          <a:off x="972178" y="0"/>
          <a:ext cx="7366464" cy="493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2800" b="1">
              <a:latin typeface="+mn-ea"/>
              <a:ea typeface="+mn-ea"/>
            </a:rPr>
            <a:t>ウルメイワシ（４</a:t>
          </a:r>
          <a:r>
            <a:rPr lang="en-US" altLang="ja-JP" sz="2800" b="1">
              <a:latin typeface="+mn-ea"/>
              <a:ea typeface="+mn-ea"/>
            </a:rPr>
            <a:t>〜</a:t>
          </a:r>
          <a:r>
            <a:rPr lang="ja-JP" altLang="en-US" sz="2800" b="1">
              <a:latin typeface="+mn-ea"/>
              <a:ea typeface="+mn-ea"/>
            </a:rPr>
            <a:t>８月の沿岸漁業による漁獲量）</a:t>
          </a:r>
        </a:p>
        <a:p xmlns:a="http://schemas.openxmlformats.org/drawingml/2006/main">
          <a:endParaRPr lang="ja-JP" altLang="en-US" sz="2800" b="1"/>
        </a:p>
      </cdr:txBody>
    </cdr:sp>
  </cdr:relSizeAnchor>
  <cdr:relSizeAnchor xmlns:cdr="http://schemas.openxmlformats.org/drawingml/2006/chartDrawing">
    <cdr:from>
      <cdr:x>0.20377</cdr:x>
      <cdr:y>0.16509</cdr:y>
    </cdr:from>
    <cdr:to>
      <cdr:x>0.25377</cdr:x>
      <cdr:y>0.33266</cdr:y>
    </cdr:to>
    <cdr:grpSp>
      <cdr:nvGrpSpPr>
        <cdr:cNvPr id="7" name="グループ化 6">
          <a:extLst xmlns:a="http://schemas.openxmlformats.org/drawingml/2006/main">
            <a:ext uri="{FF2B5EF4-FFF2-40B4-BE49-F238E27FC236}">
              <a16:creationId xmlns="" xmlns:a16="http://schemas.microsoft.com/office/drawing/2014/main" id="{0D4FE735-529F-4E58-A394-04A7C46389A1}"/>
            </a:ext>
          </a:extLst>
        </cdr:cNvPr>
        <cdr:cNvGrpSpPr/>
      </cdr:nvGrpSpPr>
      <cdr:grpSpPr>
        <a:xfrm xmlns:a="http://schemas.openxmlformats.org/drawingml/2006/main">
          <a:off x="2366136" y="814811"/>
          <a:ext cx="580590" cy="827052"/>
          <a:chOff x="0" y="0"/>
          <a:chExt cx="432000" cy="965203"/>
        </a:xfrm>
      </cdr:grpSpPr>
      <cdr:sp macro="" textlink="">
        <cdr:nvSpPr>
          <cdr:cNvPr id="8" name="正方形/長方形 7">
            <a:extLst xmlns:a="http://schemas.openxmlformats.org/drawingml/2006/main">
              <a:ext uri="{FF2B5EF4-FFF2-40B4-BE49-F238E27FC236}">
                <a16:creationId xmlns="" xmlns:a16="http://schemas.microsoft.com/office/drawing/2014/main" id="{EEF8F89F-D70E-4AB8-96A8-62FC9DE71AAE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9" name="正方形/長方形 8">
            <a:extLst xmlns:a="http://schemas.openxmlformats.org/drawingml/2006/main">
              <a:ext uri="{FF2B5EF4-FFF2-40B4-BE49-F238E27FC236}">
                <a16:creationId xmlns="" xmlns:a16="http://schemas.microsoft.com/office/drawing/2014/main" id="{784FD77E-673B-45A8-AE62-36076F571B82}"/>
              </a:ext>
            </a:extLst>
          </cdr:cNvPr>
          <cdr:cNvSpPr/>
        </cdr:nvSpPr>
        <cdr:spPr>
          <a:xfrm xmlns:a="http://schemas.openxmlformats.org/drawingml/2006/main">
            <a:off x="0" y="736603"/>
            <a:ext cx="432000" cy="228600"/>
          </a:xfrm>
          <a:prstGeom xmlns:a="http://schemas.openxmlformats.org/drawingml/2006/main" prst="rect">
            <a:avLst/>
          </a:prstGeom>
          <a:pattFill xmlns:a="http://schemas.openxmlformats.org/drawingml/2006/main" prst="wdUpDiag">
            <a:fgClr>
              <a:srgbClr val="00B050"/>
            </a:fgClr>
            <a:bgClr>
              <a:schemeClr val="bg1"/>
            </a:bgClr>
          </a:patt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10" name="正方形/長方形 9">
            <a:extLst xmlns:a="http://schemas.openxmlformats.org/drawingml/2006/main">
              <a:ext uri="{FF2B5EF4-FFF2-40B4-BE49-F238E27FC236}">
                <a16:creationId xmlns="" xmlns:a16="http://schemas.microsoft.com/office/drawing/2014/main" id="{0299422B-66CD-408B-843C-B2A4ACDA6D07}"/>
              </a:ext>
            </a:extLst>
          </cdr:cNvPr>
          <cdr:cNvSpPr/>
        </cdr:nvSpPr>
        <cdr:spPr>
          <a:xfrm xmlns:a="http://schemas.openxmlformats.org/drawingml/2006/main">
            <a:off x="0" y="368301"/>
            <a:ext cx="432000" cy="2286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0.09213</cdr:x>
      <cdr:y>0</cdr:y>
    </cdr:from>
    <cdr:to>
      <cdr:x>0.94473</cdr:x>
      <cdr:y>0.08562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="" xmlns:a16="http://schemas.microsoft.com/office/drawing/2014/main" id="{11E66C36-F463-43F5-BF0D-977C325A5792}"/>
            </a:ext>
          </a:extLst>
        </cdr:cNvPr>
        <cdr:cNvSpPr txBox="1"/>
      </cdr:nvSpPr>
      <cdr:spPr>
        <a:xfrm xmlns:a="http://schemas.openxmlformats.org/drawingml/2006/main">
          <a:off x="795965" y="0"/>
          <a:ext cx="7366464" cy="4931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2800" b="1">
              <a:latin typeface="+mn-ea"/>
              <a:ea typeface="+mn-ea"/>
            </a:rPr>
            <a:t>カタクチイワシ（４</a:t>
          </a:r>
          <a:r>
            <a:rPr lang="en-US" altLang="ja-JP" sz="2800" b="1">
              <a:latin typeface="+mn-ea"/>
              <a:ea typeface="+mn-ea"/>
            </a:rPr>
            <a:t>〜</a:t>
          </a:r>
          <a:r>
            <a:rPr lang="ja-JP" altLang="en-US" sz="2800" b="1">
              <a:latin typeface="+mn-ea"/>
              <a:ea typeface="+mn-ea"/>
            </a:rPr>
            <a:t>８月の沿岸漁業による漁獲量）</a:t>
          </a:r>
        </a:p>
        <a:p xmlns:a="http://schemas.openxmlformats.org/drawingml/2006/main">
          <a:endParaRPr lang="ja-JP" altLang="en-US" sz="2800" b="1"/>
        </a:p>
      </cdr:txBody>
    </cdr:sp>
  </cdr:relSizeAnchor>
  <cdr:relSizeAnchor xmlns:cdr="http://schemas.openxmlformats.org/drawingml/2006/chartDrawing">
    <cdr:from>
      <cdr:x>0.19605</cdr:x>
      <cdr:y>0.16261</cdr:y>
    </cdr:from>
    <cdr:to>
      <cdr:x>0.25195</cdr:x>
      <cdr:y>0.33335</cdr:y>
    </cdr:to>
    <cdr:grpSp>
      <cdr:nvGrpSpPr>
        <cdr:cNvPr id="3" name="図形グループ 14">
          <a:extLst xmlns:a="http://schemas.openxmlformats.org/drawingml/2006/main">
            <a:ext uri="{FF2B5EF4-FFF2-40B4-BE49-F238E27FC236}">
              <a16:creationId xmlns="" xmlns:a16="http://schemas.microsoft.com/office/drawing/2014/main" id="{9B37D4CB-77F3-45DD-ACF8-4A60F384D646}"/>
            </a:ext>
          </a:extLst>
        </cdr:cNvPr>
        <cdr:cNvGrpSpPr/>
      </cdr:nvGrpSpPr>
      <cdr:grpSpPr>
        <a:xfrm xmlns:a="http://schemas.openxmlformats.org/drawingml/2006/main">
          <a:off x="2276493" y="777789"/>
          <a:ext cx="649100" cy="816677"/>
          <a:chOff x="0" y="0"/>
          <a:chExt cx="539898" cy="1002087"/>
        </a:xfrm>
      </cdr:grpSpPr>
      <cdr:sp macro="" textlink="">
        <cdr:nvSpPr>
          <cdr:cNvPr id="4" name="正方形/長方形 3">
            <a:extLst xmlns:a="http://schemas.openxmlformats.org/drawingml/2006/main">
              <a:ext uri="{FF2B5EF4-FFF2-40B4-BE49-F238E27FC236}">
                <a16:creationId xmlns="" xmlns:a16="http://schemas.microsoft.com/office/drawing/2014/main" id="{341B65E6-F3D1-454D-8DE6-5ED8975D50A5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539898" cy="23733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5" name="正方形/長方形 4">
            <a:extLst xmlns:a="http://schemas.openxmlformats.org/drawingml/2006/main">
              <a:ext uri="{FF2B5EF4-FFF2-40B4-BE49-F238E27FC236}">
                <a16:creationId xmlns="" xmlns:a16="http://schemas.microsoft.com/office/drawing/2014/main" id="{1C266608-A4D2-4FF9-B742-BE63D2394C9C}"/>
              </a:ext>
            </a:extLst>
          </cdr:cNvPr>
          <cdr:cNvSpPr/>
        </cdr:nvSpPr>
        <cdr:spPr>
          <a:xfrm xmlns:a="http://schemas.openxmlformats.org/drawingml/2006/main">
            <a:off x="0" y="764751"/>
            <a:ext cx="539898" cy="237336"/>
          </a:xfrm>
          <a:prstGeom xmlns:a="http://schemas.openxmlformats.org/drawingml/2006/main" prst="rect">
            <a:avLst/>
          </a:prstGeom>
          <a:pattFill xmlns:a="http://schemas.openxmlformats.org/drawingml/2006/main" prst="wdUpDiag">
            <a:fgClr>
              <a:srgbClr val="00B050"/>
            </a:fgClr>
            <a:bgClr>
              <a:schemeClr val="bg1"/>
            </a:bgClr>
          </a:patt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  <cdr:sp macro="" textlink="">
        <cdr:nvSpPr>
          <cdr:cNvPr id="6" name="正方形/長方形 5">
            <a:extLst xmlns:a="http://schemas.openxmlformats.org/drawingml/2006/main">
              <a:ext uri="{FF2B5EF4-FFF2-40B4-BE49-F238E27FC236}">
                <a16:creationId xmlns="" xmlns:a16="http://schemas.microsoft.com/office/drawing/2014/main" id="{4C29768D-58FB-4509-ACE8-816278E82E1B}"/>
              </a:ext>
            </a:extLst>
          </cdr:cNvPr>
          <cdr:cNvSpPr/>
        </cdr:nvSpPr>
        <cdr:spPr>
          <a:xfrm xmlns:a="http://schemas.openxmlformats.org/drawingml/2006/main">
            <a:off x="0" y="382375"/>
            <a:ext cx="539898" cy="23733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tx1"/>
          </a:solidFill>
          <a:ln xmlns:a="http://schemas.openxmlformats.org/drawingml/2006/main" w="19050">
            <a:solidFill>
              <a:schemeClr val="tx1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kumimoji="1" lang="ja-JP" altLang="en-US" sz="1100"/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2018Oct/kumamoto/01_H30&#12414;&#12365;&#32178;&#28417;&#29554;&#37327;&#65288;&#29066;&#26412;&#30476;&#65289;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2018Oct/nagasaki/&#20061;&#21313;&#20061;&#23798;&#28417;&#21332;&#65394;&#65436;&#65404;&#39006;(&#20013;&#23567;&#12414;&#12365;)&#12392;&#12426;&#12414;&#12392;&#12417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2018Oct/nagasaki/&#22856;&#30041;&#28417;&#21332;&#65394;&#65436;&#65404;&#39006;&#65288;&#20013;&#23567;&#26059;&#65289;&#12392;&#12426;&#12414;&#12392;&#1241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2018Oct/nagasaki/&#27224;&#28286;&#20013;&#22830;&#28417;&#21332;&#65394;&#65436;&#65404;&#39006;(&#20013;&#23567;&#12414;&#12365;)&#25552;&#20986;&#12392;&#12426;&#12414;&#12392;&#1241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2018Oct/nagasaki/&#38263;&#23822;&#39770;&#24066;&#65394;&#65436;&#65404;&#39006;&#65288;&#20013;&#23567;&#26059;&#65289;&#12392;&#12426;&#12414;&#12392;&#1241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アジ"/>
      <sheetName val="サバ類"/>
      <sheetName val="マイワシ"/>
      <sheetName val="カタクチイワシ"/>
      <sheetName val="ウルメイワシ"/>
      <sheetName val="推移グラフ"/>
      <sheetName val="年度漁獲量"/>
    </sheetNames>
    <sheetDataSet>
      <sheetData sheetId="0" refreshError="1"/>
      <sheetData sheetId="1" refreshError="1"/>
      <sheetData sheetId="2" refreshError="1"/>
      <sheetData sheetId="3">
        <row r="3"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</v>
          </cell>
          <cell r="N3">
            <v>2</v>
          </cell>
          <cell r="O3">
            <v>3</v>
          </cell>
          <cell r="P3" t="str">
            <v>4～9月</v>
          </cell>
          <cell r="Q3" t="str">
            <v>10～3月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4.02-1994.08"/>
      <sheetName val="1994.09-1995.01"/>
      <sheetName val="1995.02-1995.08"/>
      <sheetName val="1995.09-1996.01"/>
      <sheetName val="1996.02-1996.08"/>
      <sheetName val="1996.09-1997.01"/>
      <sheetName val="1997.02-1997.08"/>
      <sheetName val="1997.09-1998.01"/>
      <sheetName val="1998.02-1998.08"/>
      <sheetName val="1998.09-1999.01"/>
      <sheetName val="1999.02-1999.08"/>
      <sheetName val="1999.09-2000.01"/>
      <sheetName val="2000.02-2000.08"/>
      <sheetName val="2000.09-2001.01"/>
      <sheetName val="20001.02-2001.08"/>
      <sheetName val="2001.09-2002.01"/>
      <sheetName val="2002.02-2002.08"/>
      <sheetName val="2002.09-2003.01"/>
      <sheetName val="2003.02-2003.08"/>
      <sheetName val="2003.09-2004.01"/>
      <sheetName val="2004.02-2004.08"/>
      <sheetName val="2004.09-2005.01"/>
      <sheetName val="2005.02-2005.08"/>
      <sheetName val="2005.09-2006.01"/>
      <sheetName val="2006.02-2006.08"/>
      <sheetName val="2006.09-2007.01"/>
      <sheetName val="2007.02-2007.08"/>
      <sheetName val="2007.09-2008.01"/>
      <sheetName val="2008.02-2008.08"/>
      <sheetName val="2008.09-2009.01"/>
      <sheetName val="2009.02-2009.08"/>
      <sheetName val="2009.09-2010.01"/>
      <sheetName val="2010.02-2010.08"/>
      <sheetName val="2010.09-2011.01"/>
      <sheetName val="2011.02-2011.08"/>
      <sheetName val="2011.09-2012.01"/>
      <sheetName val="2012.02-2012.08"/>
      <sheetName val="2012.09-2013.01"/>
      <sheetName val="2013.02-2013.08"/>
      <sheetName val="2013.09-2014.01"/>
      <sheetName val="2014.02-2014.08"/>
      <sheetName val="2014.09-2015.01"/>
      <sheetName val="2015.02-2015.08"/>
      <sheetName val="2015.09-2016.01"/>
      <sheetName val="2016.02-2016.08"/>
      <sheetName val="2016.09-2017.01"/>
      <sheetName val="2017.02-2017.08"/>
      <sheetName val="2017.09-2018.01"/>
      <sheetName val="2018.02-2018.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>
        <row r="31">
          <cell r="Q31">
            <v>1625.4</v>
          </cell>
        </row>
      </sheetData>
      <sheetData sheetId="47" refreshError="1"/>
      <sheetData sheetId="4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6.09-1997.01"/>
      <sheetName val="1997.02-1997.08"/>
      <sheetName val="1997.09-1998.01"/>
      <sheetName val="1998.02-1998.08"/>
      <sheetName val="1998.09-1999.01"/>
      <sheetName val="1999.02-1999.08"/>
      <sheetName val="1999.09.-2000.01"/>
      <sheetName val="2000.02-2000.08"/>
      <sheetName val="2000.09-2001.01"/>
      <sheetName val="2001.02-2001.08"/>
      <sheetName val="2001.09-2002.01"/>
      <sheetName val="2002.02-2002.08"/>
      <sheetName val="2002.09-2003.01"/>
      <sheetName val="2003.02-2003.08"/>
      <sheetName val="2003.09-2004.01"/>
      <sheetName val="2004.02-2004.08"/>
      <sheetName val="2004.09-2005.01"/>
      <sheetName val="2005.02-2005.08"/>
      <sheetName val="2005.09-2006.01"/>
      <sheetName val="2006.02-2006.08"/>
      <sheetName val="2006.09-2007.01"/>
      <sheetName val="2007.02-2007.08"/>
      <sheetName val="2007.09-2008.01"/>
      <sheetName val="2008.02-2008.08"/>
      <sheetName val="2008.09-2009.01"/>
      <sheetName val="2009.02-2009.08"/>
      <sheetName val="2009.09-2010.01"/>
      <sheetName val="2010.02-2010.08"/>
      <sheetName val="2010.09-2011.01"/>
      <sheetName val="2011.02-2011.08"/>
      <sheetName val="2011.09-2012.01"/>
      <sheetName val="2012.02-2012.08"/>
      <sheetName val="2012.09-2013.01"/>
      <sheetName val="2013.02-2013.08"/>
      <sheetName val="2013.09-2014.01"/>
      <sheetName val="2014.02-2014.08"/>
      <sheetName val="2014.09-2015.01"/>
      <sheetName val="2015.02-2015.08"/>
      <sheetName val="2015.09-2016.01"/>
      <sheetName val="2016.02-2016.08"/>
      <sheetName val="2016.09-2017.01"/>
      <sheetName val="2017.02-2017.08"/>
      <sheetName val="2017.09-2018.01"/>
      <sheetName val="2018.02-2018.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8">
          <cell r="T68" t="str">
            <v>13</v>
          </cell>
        </row>
      </sheetData>
      <sheetData sheetId="42"/>
      <sheetData sheetId="4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5.09-1996.01"/>
      <sheetName val="1996.02-1996.08"/>
      <sheetName val="1996.09-1997.01"/>
      <sheetName val="1997.02-1997.08"/>
      <sheetName val="1997.09-1998.01"/>
      <sheetName val="1998.02-1998.08"/>
      <sheetName val="1998.09-1999.01"/>
      <sheetName val="1999.02-1999.08"/>
      <sheetName val="1999.09-2000.01"/>
      <sheetName val="2000.02-2000.08"/>
      <sheetName val="2000.09-2001.01"/>
      <sheetName val="2001.02-2001.08"/>
      <sheetName val="2001.09-2002.01"/>
      <sheetName val="2002.02-2002.08"/>
      <sheetName val="2002.09-2003.01"/>
      <sheetName val="2003.02-2003.08"/>
      <sheetName val="2003.09-2004.01"/>
      <sheetName val="2004.02-2004.08"/>
      <sheetName val="2004.09-2005.01"/>
      <sheetName val="2005.02-2005.08"/>
      <sheetName val="2005.09-2006.01"/>
      <sheetName val="2006.02-2006.08"/>
      <sheetName val="2006.09-2007.01"/>
      <sheetName val="2007.02-2007.08"/>
      <sheetName val="2007.09-2008.01"/>
      <sheetName val="2008.02-2008.08"/>
      <sheetName val="2008.09-2009.01"/>
      <sheetName val="2009.02-2009.08"/>
      <sheetName val="2009.09-2010.01"/>
      <sheetName val="2010.02-2010.08"/>
      <sheetName val="2010.09-2011.01"/>
      <sheetName val="2011.02-2011.08"/>
      <sheetName val="2011.09-2012.01"/>
      <sheetName val="2012.02-2012.08"/>
      <sheetName val="2012.09-2013.01"/>
      <sheetName val="2013.02-2013.08"/>
      <sheetName val="2013.09-2014.01"/>
      <sheetName val="2014.02-2014.08"/>
      <sheetName val="2014.09-2015.01"/>
      <sheetName val="2015.02-2015.08"/>
      <sheetName val="2015.09-2016.01"/>
      <sheetName val="2016.02-2016.08"/>
      <sheetName val="2016.09-2017.01"/>
      <sheetName val="2017.02-2017.08"/>
      <sheetName val="2017.09-2018.01"/>
      <sheetName val="2018.02-2018.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6.09-1997.01"/>
      <sheetName val="1997.02-1997.08"/>
      <sheetName val="1997.09-1998.01"/>
      <sheetName val="1998.02-1998.08"/>
      <sheetName val="1998.09-1999.01"/>
      <sheetName val="1999.02-1999.08"/>
      <sheetName val="1999.09-2000.01"/>
      <sheetName val="2000.02-2000.08"/>
      <sheetName val="2000.09-2001.01"/>
      <sheetName val="2001.02-2001.08"/>
      <sheetName val="2001.09-2002.01"/>
      <sheetName val="2002.02-2002.08"/>
      <sheetName val="2002.09-2003.01"/>
      <sheetName val="2003.02-2003.08"/>
      <sheetName val="2003.09-2004.01"/>
      <sheetName val="2004.02-2004.08"/>
      <sheetName val="2004.09-2005.01"/>
      <sheetName val="2005.02-2005.08"/>
      <sheetName val="2005.09-2006.01"/>
      <sheetName val="2006.02-2006.08"/>
      <sheetName val="2006.09-2007.01"/>
      <sheetName val="2007.02-2007.08"/>
      <sheetName val="2007.09-2008.01"/>
      <sheetName val="2008.02-2008.08"/>
      <sheetName val="2008.09-2009.01"/>
      <sheetName val="2009.02-2009.08"/>
      <sheetName val="2009.09-2010.01"/>
      <sheetName val="2010.02-2010.08"/>
      <sheetName val="2010.09-2011.01"/>
      <sheetName val="2011.02-2011.08"/>
      <sheetName val="2011.09-2012.01"/>
      <sheetName val="2012.02-2012.08"/>
      <sheetName val="2012.09-2013.01"/>
      <sheetName val="2013.02-2013.08"/>
      <sheetName val="2013.09-2014.01"/>
      <sheetName val="2014.02-2014.08"/>
      <sheetName val="2014.09-2015.01"/>
      <sheetName val="2015.02-2015.08"/>
      <sheetName val="2015.09-2016.01"/>
      <sheetName val="2016.02-2016.08"/>
      <sheetName val="2016.09-2017.01"/>
      <sheetName val="2017.02-2017.08"/>
      <sheetName val="2017.09-2018.01"/>
      <sheetName val="2018.02-2018.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AK212"/>
  <sheetViews>
    <sheetView topLeftCell="A186" zoomScale="90" zoomScaleNormal="90" zoomScalePageLayoutView="90" workbookViewId="0">
      <selection activeCell="M125" sqref="M125"/>
    </sheetView>
  </sheetViews>
  <sheetFormatPr baseColWidth="10" defaultColWidth="7.125" defaultRowHeight="14" x14ac:dyDescent="0.15"/>
  <cols>
    <col min="1" max="13" width="7.125" style="4" customWidth="1"/>
    <col min="14" max="14" width="7.75" style="4" customWidth="1"/>
    <col min="15" max="15" width="9.25" style="1" customWidth="1"/>
    <col min="16" max="16" width="9.5" style="4" bestFit="1" customWidth="1"/>
    <col min="17" max="17" width="8.5" style="4" bestFit="1" customWidth="1"/>
    <col min="18" max="18" width="7.5" style="4" bestFit="1" customWidth="1"/>
    <col min="19" max="29" width="7.125" style="4"/>
    <col min="30" max="30" width="7.75" style="4" bestFit="1" customWidth="1"/>
    <col min="31" max="16384" width="7.125" style="4"/>
  </cols>
  <sheetData>
    <row r="1" spans="1:18" x14ac:dyDescent="0.15">
      <c r="G1" s="51" t="s">
        <v>0</v>
      </c>
    </row>
    <row r="2" spans="1:18" x14ac:dyDescent="0.15">
      <c r="A2" s="4" t="s">
        <v>31</v>
      </c>
    </row>
    <row r="3" spans="1:18" x14ac:dyDescent="0.15">
      <c r="A3" s="4" t="s">
        <v>2</v>
      </c>
      <c r="E3" s="20" t="s">
        <v>91</v>
      </c>
      <c r="M3" s="4" t="s">
        <v>3</v>
      </c>
    </row>
    <row r="4" spans="1:18" x14ac:dyDescent="0.15">
      <c r="A4" s="14"/>
      <c r="B4" s="14" t="s">
        <v>4</v>
      </c>
      <c r="C4" s="14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4" t="s">
        <v>16</v>
      </c>
    </row>
    <row r="5" spans="1:18" x14ac:dyDescent="0.15">
      <c r="A5" s="14" t="s">
        <v>17</v>
      </c>
      <c r="B5" s="14">
        <v>0</v>
      </c>
      <c r="C5" s="14">
        <v>0</v>
      </c>
      <c r="D5" s="14">
        <v>0</v>
      </c>
      <c r="E5" s="14">
        <v>0</v>
      </c>
      <c r="F5" s="14">
        <v>0.6</v>
      </c>
      <c r="G5" s="14">
        <v>55.1</v>
      </c>
      <c r="H5" s="14">
        <v>230.8</v>
      </c>
      <c r="I5" s="14">
        <v>377.6</v>
      </c>
      <c r="J5" s="14">
        <v>715.5</v>
      </c>
      <c r="K5" s="14">
        <v>401.6</v>
      </c>
      <c r="L5" s="14">
        <v>0.5</v>
      </c>
      <c r="M5" s="14">
        <v>0</v>
      </c>
      <c r="N5" s="14">
        <f>SUM(B5:M5)</f>
        <v>1781.6999999999998</v>
      </c>
    </row>
    <row r="6" spans="1:18" x14ac:dyDescent="0.15">
      <c r="A6" s="14" t="s">
        <v>18</v>
      </c>
      <c r="B6" s="14">
        <v>0</v>
      </c>
      <c r="C6" s="14">
        <v>0</v>
      </c>
      <c r="D6" s="14">
        <v>0</v>
      </c>
      <c r="E6" s="14">
        <v>0</v>
      </c>
      <c r="F6" s="14">
        <v>1.3</v>
      </c>
      <c r="G6" s="14">
        <v>0.1</v>
      </c>
      <c r="H6" s="14">
        <v>44.4</v>
      </c>
      <c r="I6" s="14">
        <v>90.4</v>
      </c>
      <c r="J6" s="14">
        <v>390.2</v>
      </c>
      <c r="K6" s="14">
        <v>442.2</v>
      </c>
      <c r="L6" s="14">
        <v>148</v>
      </c>
      <c r="M6" s="14">
        <v>5.2</v>
      </c>
      <c r="N6" s="14">
        <f t="shared" ref="N6:N16" si="0">SUM(B6:M6)</f>
        <v>1121.8</v>
      </c>
    </row>
    <row r="7" spans="1:18" x14ac:dyDescent="0.15">
      <c r="A7" s="14" t="s">
        <v>19</v>
      </c>
      <c r="B7" s="14">
        <v>0</v>
      </c>
      <c r="C7" s="14">
        <v>0</v>
      </c>
      <c r="D7" s="14">
        <v>0</v>
      </c>
      <c r="E7" s="14">
        <v>0</v>
      </c>
      <c r="F7" s="14">
        <v>0.4</v>
      </c>
      <c r="G7" s="14">
        <v>10.1</v>
      </c>
      <c r="H7" s="14">
        <v>123.4</v>
      </c>
      <c r="I7" s="14">
        <v>271.3</v>
      </c>
      <c r="J7" s="14">
        <v>674.4</v>
      </c>
      <c r="K7" s="14">
        <v>639.79999999999995</v>
      </c>
      <c r="L7" s="14">
        <v>141.1</v>
      </c>
      <c r="M7" s="14">
        <v>0</v>
      </c>
      <c r="N7" s="14">
        <f t="shared" si="0"/>
        <v>1860.4999999999998</v>
      </c>
    </row>
    <row r="8" spans="1:18" x14ac:dyDescent="0.15">
      <c r="A8" s="14" t="s">
        <v>20</v>
      </c>
      <c r="B8" s="14">
        <v>0</v>
      </c>
      <c r="C8" s="14">
        <v>0</v>
      </c>
      <c r="D8" s="14">
        <v>0</v>
      </c>
      <c r="E8" s="14">
        <v>0</v>
      </c>
      <c r="F8" s="14">
        <v>0.7</v>
      </c>
      <c r="G8" s="14">
        <v>16.399999999999999</v>
      </c>
      <c r="H8" s="14">
        <v>84.6</v>
      </c>
      <c r="I8" s="14">
        <v>305.5</v>
      </c>
      <c r="J8" s="14">
        <v>481.8</v>
      </c>
      <c r="K8" s="14">
        <v>415.8</v>
      </c>
      <c r="L8" s="14">
        <v>0</v>
      </c>
      <c r="M8" s="14">
        <v>0</v>
      </c>
      <c r="N8" s="14">
        <f t="shared" si="0"/>
        <v>1304.8</v>
      </c>
    </row>
    <row r="9" spans="1:18" x14ac:dyDescent="0.15">
      <c r="A9" s="14" t="s">
        <v>21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154.6</v>
      </c>
      <c r="J9" s="14">
        <v>672.2</v>
      </c>
      <c r="K9" s="14">
        <v>538.9</v>
      </c>
      <c r="L9" s="14">
        <v>0</v>
      </c>
      <c r="M9" s="14">
        <v>0</v>
      </c>
      <c r="N9" s="14">
        <f t="shared" si="0"/>
        <v>1365.7</v>
      </c>
    </row>
    <row r="10" spans="1:18" x14ac:dyDescent="0.15">
      <c r="A10" s="14" t="s">
        <v>22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8.1999999999999993</v>
      </c>
      <c r="H10" s="14">
        <v>17.8</v>
      </c>
      <c r="I10" s="14">
        <v>405.3</v>
      </c>
      <c r="J10" s="14"/>
      <c r="K10" s="14">
        <v>913</v>
      </c>
      <c r="L10" s="14">
        <v>3.9</v>
      </c>
      <c r="M10" s="14">
        <v>0</v>
      </c>
      <c r="N10" s="14">
        <f t="shared" si="0"/>
        <v>1348.2</v>
      </c>
      <c r="O10" s="1" t="s">
        <v>43</v>
      </c>
      <c r="P10" s="4" t="s">
        <v>82</v>
      </c>
      <c r="Q10" s="4" t="s">
        <v>83</v>
      </c>
      <c r="R10" s="4" t="s">
        <v>85</v>
      </c>
    </row>
    <row r="11" spans="1:18" x14ac:dyDescent="0.15">
      <c r="A11" s="14" t="s">
        <v>23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151.1</v>
      </c>
      <c r="I11" s="14">
        <v>354.3</v>
      </c>
      <c r="J11" s="14">
        <v>679.8</v>
      </c>
      <c r="K11" s="14">
        <v>939.6</v>
      </c>
      <c r="L11" s="14">
        <v>23.9</v>
      </c>
      <c r="M11" s="14">
        <v>0</v>
      </c>
      <c r="N11" s="14">
        <f t="shared" si="0"/>
        <v>2148.6999999999998</v>
      </c>
      <c r="O11" s="3">
        <f t="shared" ref="O11:O23" si="1">E11+F11+G11+H11+I11</f>
        <v>505.4</v>
      </c>
      <c r="P11" s="3">
        <f>E11+F11+G11+H11+I11+J11</f>
        <v>1185.1999999999998</v>
      </c>
      <c r="Q11" s="3">
        <f>L11+M11+B12</f>
        <v>23.9</v>
      </c>
      <c r="R11" s="1">
        <f>L11+M11+B12+C12+D12</f>
        <v>23.9</v>
      </c>
    </row>
    <row r="12" spans="1:18" x14ac:dyDescent="0.15">
      <c r="A12" s="14" t="s">
        <v>32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59.8</v>
      </c>
      <c r="I12" s="14">
        <v>168.2</v>
      </c>
      <c r="J12" s="14">
        <v>218.3</v>
      </c>
      <c r="K12" s="14">
        <v>200.4</v>
      </c>
      <c r="L12" s="14">
        <v>0</v>
      </c>
      <c r="M12" s="14">
        <v>0</v>
      </c>
      <c r="N12" s="14">
        <f t="shared" si="0"/>
        <v>646.70000000000005</v>
      </c>
      <c r="O12" s="3">
        <f t="shared" si="1"/>
        <v>228</v>
      </c>
      <c r="P12" s="3">
        <f t="shared" ref="P12:P18" si="2">E12+F12+G12+H12+I12+J12</f>
        <v>446.3</v>
      </c>
      <c r="Q12" s="3">
        <f t="shared" ref="Q12:Q18" si="3">L12+M12+B13</f>
        <v>0</v>
      </c>
      <c r="R12" s="1">
        <f t="shared" ref="R12:R20" si="4">L12+M12+B13+C13+D13</f>
        <v>0</v>
      </c>
    </row>
    <row r="13" spans="1:18" x14ac:dyDescent="0.15">
      <c r="A13" s="14" t="s">
        <v>33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29.7</v>
      </c>
      <c r="I13" s="14">
        <v>23.3</v>
      </c>
      <c r="J13" s="14">
        <v>11.6</v>
      </c>
      <c r="K13" s="14">
        <v>78.2</v>
      </c>
      <c r="L13" s="14">
        <v>0</v>
      </c>
      <c r="M13" s="14">
        <v>0</v>
      </c>
      <c r="N13" s="14">
        <f t="shared" si="0"/>
        <v>142.80000000000001</v>
      </c>
      <c r="O13" s="3">
        <f t="shared" si="1"/>
        <v>53</v>
      </c>
      <c r="P13" s="3">
        <f t="shared" si="2"/>
        <v>64.599999999999994</v>
      </c>
      <c r="Q13" s="3">
        <f t="shared" si="3"/>
        <v>0</v>
      </c>
      <c r="R13" s="1">
        <f t="shared" si="4"/>
        <v>0</v>
      </c>
    </row>
    <row r="14" spans="1:18" x14ac:dyDescent="0.15">
      <c r="A14" s="14" t="s">
        <v>34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0.3</v>
      </c>
      <c r="H14" s="14">
        <v>31.1</v>
      </c>
      <c r="I14" s="14">
        <v>277.3</v>
      </c>
      <c r="J14" s="14">
        <v>865.5</v>
      </c>
      <c r="K14" s="14">
        <v>225.6</v>
      </c>
      <c r="L14" s="14">
        <v>108.4</v>
      </c>
      <c r="M14" s="14">
        <v>0</v>
      </c>
      <c r="N14" s="14">
        <f t="shared" si="0"/>
        <v>1508.2</v>
      </c>
      <c r="O14" s="3">
        <f t="shared" si="1"/>
        <v>308.7</v>
      </c>
      <c r="P14" s="3">
        <f t="shared" si="2"/>
        <v>1174.2</v>
      </c>
      <c r="Q14" s="3">
        <f t="shared" si="3"/>
        <v>108.4</v>
      </c>
      <c r="R14" s="1">
        <f t="shared" si="4"/>
        <v>108.4</v>
      </c>
    </row>
    <row r="15" spans="1:18" x14ac:dyDescent="0.15">
      <c r="A15" s="14" t="s">
        <v>36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5.84</v>
      </c>
      <c r="H15" s="14">
        <f>2.535+21.16</f>
        <v>23.695</v>
      </c>
      <c r="I15" s="14">
        <f>173.26+1.365</f>
        <v>174.625</v>
      </c>
      <c r="J15" s="14">
        <v>567.14</v>
      </c>
      <c r="K15" s="14">
        <v>297.39999999999998</v>
      </c>
      <c r="L15" s="14">
        <v>0</v>
      </c>
      <c r="M15" s="14">
        <v>0</v>
      </c>
      <c r="N15" s="14">
        <f t="shared" si="0"/>
        <v>1068.6999999999998</v>
      </c>
      <c r="O15" s="3">
        <f t="shared" si="1"/>
        <v>204.16</v>
      </c>
      <c r="P15" s="3">
        <f t="shared" si="2"/>
        <v>771.3</v>
      </c>
      <c r="Q15" s="3">
        <f t="shared" si="3"/>
        <v>0</v>
      </c>
      <c r="R15" s="1">
        <f t="shared" si="4"/>
        <v>0</v>
      </c>
    </row>
    <row r="16" spans="1:18" x14ac:dyDescent="0.15">
      <c r="A16" s="14" t="s">
        <v>38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0.02</v>
      </c>
      <c r="H16" s="14">
        <v>20.88</v>
      </c>
      <c r="I16" s="14">
        <v>228</v>
      </c>
      <c r="J16" s="14">
        <v>529.54</v>
      </c>
      <c r="K16" s="14">
        <v>597.22</v>
      </c>
      <c r="L16" s="14">
        <v>42.88</v>
      </c>
      <c r="M16" s="14">
        <v>0</v>
      </c>
      <c r="N16" s="14">
        <f t="shared" si="0"/>
        <v>1418.54</v>
      </c>
      <c r="O16" s="3">
        <f t="shared" si="1"/>
        <v>248.9</v>
      </c>
      <c r="P16" s="3">
        <f t="shared" si="2"/>
        <v>778.43999999999994</v>
      </c>
      <c r="Q16" s="3">
        <f t="shared" si="3"/>
        <v>42.88</v>
      </c>
      <c r="R16" s="1">
        <f t="shared" si="4"/>
        <v>42.88</v>
      </c>
    </row>
    <row r="17" spans="1:37" ht="15" x14ac:dyDescent="0.15">
      <c r="A17" s="14" t="s">
        <v>39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1.5029999999999999</v>
      </c>
      <c r="H17" s="14">
        <v>45.8</v>
      </c>
      <c r="I17" s="14">
        <v>238.56</v>
      </c>
      <c r="J17" s="14">
        <v>214.44</v>
      </c>
      <c r="K17" s="14">
        <v>172.06</v>
      </c>
      <c r="L17" s="14">
        <v>0</v>
      </c>
      <c r="M17" s="14">
        <v>0</v>
      </c>
      <c r="N17" s="14">
        <f t="shared" ref="N17:N29" si="5">SUM(B17:M17)</f>
        <v>672.36300000000006</v>
      </c>
      <c r="O17" s="3">
        <f t="shared" si="1"/>
        <v>285.863</v>
      </c>
      <c r="P17" s="3">
        <f t="shared" si="2"/>
        <v>500.303</v>
      </c>
      <c r="Q17" s="3">
        <f t="shared" si="3"/>
        <v>0</v>
      </c>
      <c r="R17" s="1">
        <f t="shared" si="4"/>
        <v>0</v>
      </c>
      <c r="U17" s="111"/>
    </row>
    <row r="18" spans="1:37" ht="15" x14ac:dyDescent="0.15">
      <c r="A18" s="14" t="s">
        <v>40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1.246</v>
      </c>
      <c r="H18" s="14">
        <v>1</v>
      </c>
      <c r="I18" s="14">
        <v>202.64</v>
      </c>
      <c r="J18" s="14">
        <v>623.79999999999995</v>
      </c>
      <c r="K18" s="14">
        <v>378.14</v>
      </c>
      <c r="L18" s="14">
        <v>0</v>
      </c>
      <c r="M18" s="14">
        <v>0</v>
      </c>
      <c r="N18" s="14">
        <f t="shared" si="5"/>
        <v>1206.826</v>
      </c>
      <c r="O18" s="3">
        <f t="shared" si="1"/>
        <v>204.886</v>
      </c>
      <c r="P18" s="3">
        <f t="shared" si="2"/>
        <v>828.68599999999992</v>
      </c>
      <c r="Q18" s="3">
        <f t="shared" si="3"/>
        <v>0</v>
      </c>
      <c r="R18" s="1">
        <f t="shared" si="4"/>
        <v>0</v>
      </c>
      <c r="U18" s="111"/>
    </row>
    <row r="19" spans="1:37" ht="15" x14ac:dyDescent="0.15">
      <c r="A19" s="14" t="s">
        <v>41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2.58</v>
      </c>
      <c r="I19" s="14">
        <v>148.47999999999999</v>
      </c>
      <c r="J19" s="14">
        <v>190.64</v>
      </c>
      <c r="K19" s="14">
        <v>447.96</v>
      </c>
      <c r="L19" s="14">
        <v>0</v>
      </c>
      <c r="M19" s="14">
        <v>0</v>
      </c>
      <c r="N19" s="14">
        <f t="shared" si="5"/>
        <v>789.66</v>
      </c>
      <c r="O19" s="3">
        <f t="shared" si="1"/>
        <v>151.06</v>
      </c>
      <c r="P19" s="3">
        <f t="shared" ref="P19:P25" si="6">E19+F19+G19+H19+I19+J19</f>
        <v>341.7</v>
      </c>
      <c r="Q19" s="3">
        <f t="shared" ref="Q19:Q24" si="7">L19+M19+B20</f>
        <v>0</v>
      </c>
      <c r="R19" s="1">
        <f t="shared" si="4"/>
        <v>0</v>
      </c>
      <c r="U19" s="111"/>
    </row>
    <row r="20" spans="1:37" ht="15" x14ac:dyDescent="0.15">
      <c r="A20" s="14" t="s">
        <v>45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7.1999999999999995E-2</v>
      </c>
      <c r="H20" s="14">
        <v>3.52</v>
      </c>
      <c r="I20" s="14">
        <v>51.4</v>
      </c>
      <c r="J20" s="14">
        <v>302.2</v>
      </c>
      <c r="K20" s="14">
        <v>679.78</v>
      </c>
      <c r="L20" s="14">
        <v>0</v>
      </c>
      <c r="M20" s="14">
        <v>0</v>
      </c>
      <c r="N20" s="14">
        <f t="shared" si="5"/>
        <v>1036.972</v>
      </c>
      <c r="O20" s="3">
        <f t="shared" si="1"/>
        <v>54.991999999999997</v>
      </c>
      <c r="P20" s="3">
        <f t="shared" si="6"/>
        <v>357.19200000000001</v>
      </c>
      <c r="Q20" s="3">
        <f t="shared" si="7"/>
        <v>0</v>
      </c>
      <c r="R20" s="1">
        <f t="shared" si="4"/>
        <v>0</v>
      </c>
      <c r="U20" s="111"/>
    </row>
    <row r="21" spans="1:37" ht="15" x14ac:dyDescent="0.15">
      <c r="A21" s="14" t="s">
        <v>46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7.06</v>
      </c>
      <c r="J21" s="14">
        <v>621.46</v>
      </c>
      <c r="K21" s="14">
        <v>305.36</v>
      </c>
      <c r="L21" s="14">
        <v>0</v>
      </c>
      <c r="M21" s="14">
        <v>0</v>
      </c>
      <c r="N21" s="14">
        <f t="shared" si="5"/>
        <v>933.88</v>
      </c>
      <c r="O21" s="3">
        <f t="shared" si="1"/>
        <v>7.06</v>
      </c>
      <c r="P21" s="3">
        <f t="shared" si="6"/>
        <v>628.52</v>
      </c>
      <c r="Q21" s="3">
        <f t="shared" si="7"/>
        <v>0</v>
      </c>
      <c r="R21" s="1">
        <f t="shared" ref="R21:R26" si="8">L21+M21+B22+C22+D22</f>
        <v>0</v>
      </c>
      <c r="U21" s="111"/>
    </row>
    <row r="22" spans="1:37" ht="15" x14ac:dyDescent="0.15">
      <c r="A22" s="14" t="s">
        <v>57</v>
      </c>
      <c r="B22" s="14">
        <v>0</v>
      </c>
      <c r="C22" s="14">
        <v>0</v>
      </c>
      <c r="D22" s="14">
        <v>0</v>
      </c>
      <c r="E22" s="14">
        <v>0</v>
      </c>
      <c r="F22" s="14">
        <v>20.399999999999999</v>
      </c>
      <c r="G22" s="14">
        <v>91.86</v>
      </c>
      <c r="H22" s="14">
        <v>10.54</v>
      </c>
      <c r="I22" s="14">
        <v>17.86</v>
      </c>
      <c r="J22" s="14">
        <v>107.04</v>
      </c>
      <c r="K22" s="14">
        <v>169.04</v>
      </c>
      <c r="L22" s="14">
        <v>0</v>
      </c>
      <c r="M22" s="14">
        <v>0</v>
      </c>
      <c r="N22" s="14">
        <f t="shared" si="5"/>
        <v>416.74</v>
      </c>
      <c r="O22" s="3">
        <f t="shared" si="1"/>
        <v>140.65999999999997</v>
      </c>
      <c r="P22" s="3">
        <f t="shared" si="6"/>
        <v>247.7</v>
      </c>
      <c r="Q22" s="3">
        <f t="shared" si="7"/>
        <v>0</v>
      </c>
      <c r="R22" s="1">
        <f t="shared" si="8"/>
        <v>0</v>
      </c>
      <c r="U22" s="111"/>
    </row>
    <row r="23" spans="1:37" ht="15" x14ac:dyDescent="0.15">
      <c r="A23" s="14" t="s">
        <v>92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202.26</v>
      </c>
      <c r="J23" s="14">
        <v>493.44</v>
      </c>
      <c r="K23" s="14">
        <v>205.72</v>
      </c>
      <c r="L23" s="14">
        <v>0</v>
      </c>
      <c r="M23" s="14">
        <v>0</v>
      </c>
      <c r="N23" s="14">
        <f t="shared" si="5"/>
        <v>901.42000000000007</v>
      </c>
      <c r="O23" s="3">
        <f t="shared" si="1"/>
        <v>202.26</v>
      </c>
      <c r="P23" s="3">
        <f t="shared" si="6"/>
        <v>695.7</v>
      </c>
      <c r="Q23" s="3">
        <f t="shared" si="7"/>
        <v>0</v>
      </c>
      <c r="R23" s="1">
        <f t="shared" si="8"/>
        <v>0</v>
      </c>
      <c r="U23" s="111"/>
    </row>
    <row r="24" spans="1:37" ht="15" x14ac:dyDescent="0.15">
      <c r="A24" s="14" t="s">
        <v>103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0.06</v>
      </c>
      <c r="H24" s="14">
        <v>0.22</v>
      </c>
      <c r="I24" s="14">
        <v>28.24</v>
      </c>
      <c r="J24" s="14">
        <v>263.74</v>
      </c>
      <c r="K24" s="14">
        <v>168.74</v>
      </c>
      <c r="L24" s="14">
        <v>0</v>
      </c>
      <c r="M24" s="14">
        <v>0</v>
      </c>
      <c r="N24" s="14">
        <f t="shared" si="5"/>
        <v>461</v>
      </c>
      <c r="O24" s="3">
        <f t="shared" ref="O24:O29" si="9">E24+F24+G24+H24+I24</f>
        <v>28.52</v>
      </c>
      <c r="P24" s="3">
        <f t="shared" si="6"/>
        <v>292.26</v>
      </c>
      <c r="Q24" s="3">
        <f t="shared" si="7"/>
        <v>0</v>
      </c>
      <c r="R24" s="1">
        <f t="shared" si="8"/>
        <v>0</v>
      </c>
      <c r="U24" s="111"/>
    </row>
    <row r="25" spans="1:37" ht="15" x14ac:dyDescent="0.15">
      <c r="A25" s="14" t="s">
        <v>121</v>
      </c>
      <c r="B25" s="14">
        <v>0</v>
      </c>
      <c r="C25" s="14">
        <v>0</v>
      </c>
      <c r="D25" s="14">
        <v>0</v>
      </c>
      <c r="E25" s="14">
        <v>0</v>
      </c>
      <c r="F25" s="14">
        <v>0.26</v>
      </c>
      <c r="G25" s="14">
        <v>0.52</v>
      </c>
      <c r="H25" s="14">
        <v>4.0599999999999996</v>
      </c>
      <c r="I25" s="14">
        <v>1.9</v>
      </c>
      <c r="J25" s="14">
        <v>99.08</v>
      </c>
      <c r="K25" s="14">
        <v>128.78</v>
      </c>
      <c r="L25" s="14">
        <v>0</v>
      </c>
      <c r="M25" s="14">
        <v>0</v>
      </c>
      <c r="N25" s="14">
        <f t="shared" si="5"/>
        <v>234.6</v>
      </c>
      <c r="O25" s="3">
        <f t="shared" si="9"/>
        <v>6.74</v>
      </c>
      <c r="P25" s="3">
        <f t="shared" si="6"/>
        <v>105.82</v>
      </c>
      <c r="Q25" s="3">
        <f t="shared" ref="Q25:Q30" si="10">L25+M25+B26</f>
        <v>0</v>
      </c>
      <c r="R25" s="1">
        <f t="shared" si="8"/>
        <v>0</v>
      </c>
      <c r="U25" s="111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 spans="1:37" ht="15" x14ac:dyDescent="0.15">
      <c r="A26" s="14" t="s">
        <v>129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152.5</v>
      </c>
      <c r="K26" s="14">
        <v>190.62</v>
      </c>
      <c r="L26" s="14">
        <v>27.5</v>
      </c>
      <c r="M26" s="14">
        <v>0</v>
      </c>
      <c r="N26" s="14">
        <f t="shared" si="5"/>
        <v>370.62</v>
      </c>
      <c r="O26" s="3">
        <f t="shared" si="9"/>
        <v>0</v>
      </c>
      <c r="P26" s="3">
        <f>E26+F26+G26+H26+I26+J26</f>
        <v>152.5</v>
      </c>
      <c r="Q26" s="3">
        <f t="shared" si="10"/>
        <v>27.5</v>
      </c>
      <c r="R26" s="1">
        <f t="shared" si="8"/>
        <v>27.5</v>
      </c>
      <c r="U26" s="113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ht="15" x14ac:dyDescent="0.15">
      <c r="A27" s="14" t="s">
        <v>136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0.16</v>
      </c>
      <c r="H27" s="14">
        <v>2.4</v>
      </c>
      <c r="I27" s="14">
        <v>94.52</v>
      </c>
      <c r="J27" s="14">
        <v>245.12</v>
      </c>
      <c r="K27" s="14">
        <v>74.58</v>
      </c>
      <c r="L27" s="14">
        <v>0</v>
      </c>
      <c r="M27" s="14">
        <v>0</v>
      </c>
      <c r="N27" s="14">
        <f t="shared" si="5"/>
        <v>416.78</v>
      </c>
      <c r="O27" s="3">
        <f t="shared" si="9"/>
        <v>97.08</v>
      </c>
      <c r="P27" s="3">
        <f>E27+F27+G27+H27+I27+J27</f>
        <v>342.2</v>
      </c>
      <c r="Q27" s="3">
        <f t="shared" si="10"/>
        <v>0</v>
      </c>
      <c r="R27" s="1">
        <f>L27+M27+B28+C28+D28</f>
        <v>0</v>
      </c>
      <c r="U27" s="113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 spans="1:37" ht="15" x14ac:dyDescent="0.15">
      <c r="A28" s="14" t="s">
        <v>140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25.66</v>
      </c>
      <c r="J28" s="14">
        <v>30.98</v>
      </c>
      <c r="K28" s="14">
        <v>41.26</v>
      </c>
      <c r="L28" s="14">
        <v>13.04</v>
      </c>
      <c r="M28" s="14">
        <v>0</v>
      </c>
      <c r="N28" s="14">
        <f t="shared" si="5"/>
        <v>110.94</v>
      </c>
      <c r="O28" s="3">
        <f t="shared" si="9"/>
        <v>25.66</v>
      </c>
      <c r="P28" s="3">
        <f>E28+F28+G28+H28+I28+J28</f>
        <v>56.64</v>
      </c>
      <c r="Q28" s="3">
        <f t="shared" si="10"/>
        <v>13.04</v>
      </c>
      <c r="R28" s="1">
        <f>L28+M28+B29+C29+D29</f>
        <v>13.04</v>
      </c>
      <c r="U28" s="113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ht="15" x14ac:dyDescent="0.15">
      <c r="A29" s="14" t="s">
        <v>143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0.02</v>
      </c>
      <c r="I29" s="14">
        <v>33.96</v>
      </c>
      <c r="J29" s="14">
        <v>1.4</v>
      </c>
      <c r="K29" s="14">
        <v>10.84</v>
      </c>
      <c r="L29" s="14">
        <v>0</v>
      </c>
      <c r="M29" s="14">
        <v>0</v>
      </c>
      <c r="N29" s="14">
        <f t="shared" si="5"/>
        <v>46.22</v>
      </c>
      <c r="O29" s="3">
        <f t="shared" si="9"/>
        <v>33.980000000000004</v>
      </c>
      <c r="P29" s="3">
        <f>E29+F29+G29+H29+I29+J29</f>
        <v>35.380000000000003</v>
      </c>
      <c r="Q29" s="3">
        <f t="shared" si="10"/>
        <v>0</v>
      </c>
      <c r="R29" s="1">
        <f>L29+M29+B30+C30+D30</f>
        <v>0</v>
      </c>
      <c r="U29" s="113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 spans="1:37" ht="15" x14ac:dyDescent="0.15">
      <c r="A30" s="14" t="s">
        <v>149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0.12</v>
      </c>
      <c r="I30" s="14">
        <v>13.62</v>
      </c>
      <c r="J30" s="23">
        <v>11.16</v>
      </c>
      <c r="K30" s="23">
        <v>4.9000000000000004</v>
      </c>
      <c r="L30" s="23">
        <v>0</v>
      </c>
      <c r="M30" s="23">
        <v>0</v>
      </c>
      <c r="N30" s="14">
        <f>SUM(B30:M30)</f>
        <v>29.799999999999997</v>
      </c>
      <c r="O30" s="3">
        <f>E30+F30+G30+H30+I30</f>
        <v>13.739999999999998</v>
      </c>
      <c r="P30" s="3">
        <f>E30+F30+G30+H30+I30+J30</f>
        <v>24.9</v>
      </c>
      <c r="Q30" s="154">
        <f t="shared" si="10"/>
        <v>0</v>
      </c>
      <c r="R30" s="20">
        <f>L30+M30+B31+C31+D31</f>
        <v>0</v>
      </c>
      <c r="U30" s="113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ht="15" x14ac:dyDescent="0.15">
      <c r="A31" s="14" t="s">
        <v>158</v>
      </c>
      <c r="B31" s="23">
        <v>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4"/>
      <c r="P31" s="154"/>
      <c r="Q31" s="154"/>
      <c r="U31" s="113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ht="1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4">
        <f>AVERAGE(O26:O30)</f>
        <v>34.091999999999999</v>
      </c>
      <c r="P32" s="24">
        <f>AVERAGE(P26:P30)</f>
        <v>122.324</v>
      </c>
      <c r="Q32" s="24">
        <f>AVERAGE(Q25:Q29)</f>
        <v>8.1080000000000005</v>
      </c>
      <c r="R32" s="24">
        <f>AVERAGE(R25:R29)</f>
        <v>8.1080000000000005</v>
      </c>
      <c r="S32" s="1" t="s">
        <v>164</v>
      </c>
      <c r="U32" s="111"/>
    </row>
    <row r="33" spans="1:21" ht="15" x14ac:dyDescent="0.15">
      <c r="A33" s="4" t="s">
        <v>24</v>
      </c>
      <c r="F33" s="4" t="s">
        <v>102</v>
      </c>
      <c r="M33" s="4" t="s">
        <v>3</v>
      </c>
      <c r="U33" s="111"/>
    </row>
    <row r="34" spans="1:21" ht="15" x14ac:dyDescent="0.15">
      <c r="A34" s="14"/>
      <c r="B34" s="14" t="s">
        <v>4</v>
      </c>
      <c r="C34" s="14" t="s">
        <v>5</v>
      </c>
      <c r="D34" s="14" t="s">
        <v>6</v>
      </c>
      <c r="E34" s="14" t="s">
        <v>7</v>
      </c>
      <c r="F34" s="14" t="s">
        <v>8</v>
      </c>
      <c r="G34" s="14" t="s">
        <v>9</v>
      </c>
      <c r="H34" s="14" t="s">
        <v>10</v>
      </c>
      <c r="I34" s="14" t="s">
        <v>11</v>
      </c>
      <c r="J34" s="14" t="s">
        <v>12</v>
      </c>
      <c r="K34" s="14" t="s">
        <v>13</v>
      </c>
      <c r="L34" s="14" t="s">
        <v>14</v>
      </c>
      <c r="M34" s="14" t="s">
        <v>15</v>
      </c>
      <c r="N34" s="14" t="s">
        <v>16</v>
      </c>
      <c r="U34" s="111"/>
    </row>
    <row r="35" spans="1:21" x14ac:dyDescent="0.15">
      <c r="A35" s="14" t="s">
        <v>17</v>
      </c>
      <c r="B35" s="14">
        <v>0</v>
      </c>
      <c r="C35" s="14">
        <v>0</v>
      </c>
      <c r="D35" s="14">
        <v>0</v>
      </c>
      <c r="E35" s="14">
        <v>8.6999999999999993</v>
      </c>
      <c r="F35" s="14">
        <v>66</v>
      </c>
      <c r="G35" s="14">
        <v>79.400000000000006</v>
      </c>
      <c r="H35" s="14">
        <v>45.3</v>
      </c>
      <c r="I35" s="14">
        <v>44.3</v>
      </c>
      <c r="J35" s="14">
        <v>11.5</v>
      </c>
      <c r="K35" s="14">
        <v>1.6</v>
      </c>
      <c r="L35" s="14">
        <v>0</v>
      </c>
      <c r="M35" s="14">
        <v>0</v>
      </c>
      <c r="N35" s="14">
        <f>SUM(B35:M35)</f>
        <v>256.80000000000007</v>
      </c>
    </row>
    <row r="36" spans="1:21" x14ac:dyDescent="0.15">
      <c r="A36" s="14" t="s">
        <v>18</v>
      </c>
      <c r="B36" s="14">
        <v>0</v>
      </c>
      <c r="C36" s="14">
        <v>0</v>
      </c>
      <c r="D36" s="14">
        <v>0</v>
      </c>
      <c r="E36" s="14">
        <v>1.5</v>
      </c>
      <c r="F36" s="14">
        <v>155</v>
      </c>
      <c r="G36" s="14">
        <v>133</v>
      </c>
      <c r="H36" s="14">
        <v>59.8</v>
      </c>
      <c r="I36" s="14">
        <v>11.9</v>
      </c>
      <c r="J36" s="14">
        <v>0.3</v>
      </c>
      <c r="K36" s="14">
        <v>0</v>
      </c>
      <c r="L36" s="14">
        <v>0.3</v>
      </c>
      <c r="M36" s="14">
        <v>28.9</v>
      </c>
      <c r="N36" s="14">
        <f t="shared" ref="N36:N46" si="11">SUM(B36:M36)</f>
        <v>390.7</v>
      </c>
    </row>
    <row r="37" spans="1:21" x14ac:dyDescent="0.15">
      <c r="A37" s="14" t="s">
        <v>19</v>
      </c>
      <c r="B37" s="14">
        <v>0</v>
      </c>
      <c r="C37" s="14">
        <v>0</v>
      </c>
      <c r="D37" s="14">
        <v>0</v>
      </c>
      <c r="E37" s="14">
        <v>1.7</v>
      </c>
      <c r="F37" s="14">
        <v>35.6</v>
      </c>
      <c r="G37" s="14">
        <v>98.9</v>
      </c>
      <c r="H37" s="14">
        <v>173.5</v>
      </c>
      <c r="I37" s="14">
        <v>7</v>
      </c>
      <c r="J37" s="14">
        <v>0.8</v>
      </c>
      <c r="K37" s="14">
        <v>0</v>
      </c>
      <c r="L37" s="14">
        <v>0.3</v>
      </c>
      <c r="M37" s="14">
        <v>0</v>
      </c>
      <c r="N37" s="14">
        <f t="shared" si="11"/>
        <v>317.80000000000007</v>
      </c>
    </row>
    <row r="38" spans="1:21" x14ac:dyDescent="0.15">
      <c r="A38" s="14" t="s">
        <v>20</v>
      </c>
      <c r="B38" s="14">
        <v>0</v>
      </c>
      <c r="C38" s="14">
        <v>0</v>
      </c>
      <c r="D38" s="14">
        <v>0</v>
      </c>
      <c r="E38" s="14">
        <v>0</v>
      </c>
      <c r="F38" s="14">
        <v>33.200000000000003</v>
      </c>
      <c r="G38" s="14">
        <v>8</v>
      </c>
      <c r="H38" s="14">
        <v>1.1000000000000001</v>
      </c>
      <c r="I38" s="14">
        <v>1.1000000000000001</v>
      </c>
      <c r="J38" s="14">
        <v>0</v>
      </c>
      <c r="K38" s="14">
        <v>0</v>
      </c>
      <c r="L38" s="14">
        <v>0.3</v>
      </c>
      <c r="M38" s="14">
        <v>0</v>
      </c>
      <c r="N38" s="14">
        <f t="shared" si="11"/>
        <v>43.7</v>
      </c>
    </row>
    <row r="39" spans="1:21" x14ac:dyDescent="0.15">
      <c r="A39" s="14" t="s">
        <v>21</v>
      </c>
      <c r="B39" s="14">
        <v>0</v>
      </c>
      <c r="C39" s="14">
        <v>0</v>
      </c>
      <c r="D39" s="14">
        <v>0</v>
      </c>
      <c r="E39" s="14">
        <v>0</v>
      </c>
      <c r="F39" s="14">
        <v>5.0999999999999996</v>
      </c>
      <c r="G39" s="14">
        <v>7.9</v>
      </c>
      <c r="H39" s="14">
        <v>1.5</v>
      </c>
      <c r="I39" s="14">
        <v>7</v>
      </c>
      <c r="J39" s="14">
        <v>0</v>
      </c>
      <c r="K39" s="14">
        <v>1.3</v>
      </c>
      <c r="L39" s="14">
        <v>0</v>
      </c>
      <c r="M39" s="14">
        <v>0</v>
      </c>
      <c r="N39" s="14">
        <f t="shared" si="11"/>
        <v>22.8</v>
      </c>
    </row>
    <row r="40" spans="1:21" x14ac:dyDescent="0.15">
      <c r="A40" s="14" t="s">
        <v>22</v>
      </c>
      <c r="B40" s="14">
        <v>0</v>
      </c>
      <c r="C40" s="14">
        <v>0</v>
      </c>
      <c r="D40" s="14">
        <v>0</v>
      </c>
      <c r="E40" s="14">
        <v>0</v>
      </c>
      <c r="F40" s="14">
        <v>0.3</v>
      </c>
      <c r="G40" s="14">
        <v>0.1</v>
      </c>
      <c r="H40" s="14">
        <v>0</v>
      </c>
      <c r="I40" s="14">
        <v>0</v>
      </c>
      <c r="J40" s="14">
        <v>0</v>
      </c>
      <c r="K40" s="14">
        <v>0.4</v>
      </c>
      <c r="L40" s="14">
        <v>0.8</v>
      </c>
      <c r="M40" s="14">
        <v>0</v>
      </c>
      <c r="N40" s="14">
        <f t="shared" si="11"/>
        <v>1.6</v>
      </c>
      <c r="O40" s="4" t="s">
        <v>43</v>
      </c>
      <c r="P40" s="4" t="s">
        <v>82</v>
      </c>
      <c r="Q40" s="4" t="s">
        <v>83</v>
      </c>
      <c r="R40" s="4" t="s">
        <v>85</v>
      </c>
    </row>
    <row r="41" spans="1:21" x14ac:dyDescent="0.15">
      <c r="A41" s="14" t="s">
        <v>23</v>
      </c>
      <c r="B41" s="14">
        <v>0</v>
      </c>
      <c r="C41" s="14">
        <v>0</v>
      </c>
      <c r="D41" s="14"/>
      <c r="E41" s="14">
        <v>5.0999999999999996</v>
      </c>
      <c r="F41" s="14">
        <v>41.5</v>
      </c>
      <c r="G41" s="14">
        <v>10.3</v>
      </c>
      <c r="H41" s="14">
        <v>7.1</v>
      </c>
      <c r="I41" s="14">
        <v>2.6</v>
      </c>
      <c r="J41" s="14">
        <v>0</v>
      </c>
      <c r="K41" s="14">
        <v>0.2</v>
      </c>
      <c r="L41" s="14">
        <v>4.9000000000000004</v>
      </c>
      <c r="M41" s="14">
        <v>0.5</v>
      </c>
      <c r="N41" s="14">
        <f t="shared" si="11"/>
        <v>72.2</v>
      </c>
      <c r="O41" s="3">
        <f t="shared" ref="O41:O54" si="12">E41+F41+G41+H41+I41</f>
        <v>66.599999999999994</v>
      </c>
      <c r="P41" s="3">
        <f>E41+F41+G41+H41+I41+J41</f>
        <v>66.599999999999994</v>
      </c>
      <c r="Q41" s="3">
        <f>L41+M41+B42</f>
        <v>5.4</v>
      </c>
      <c r="R41" s="1">
        <f>L41+M41+B42+C42+D42</f>
        <v>5.4</v>
      </c>
    </row>
    <row r="42" spans="1:21" x14ac:dyDescent="0.15">
      <c r="A42" s="14" t="s">
        <v>32</v>
      </c>
      <c r="B42" s="14"/>
      <c r="C42" s="14"/>
      <c r="D42" s="14"/>
      <c r="E42" s="14"/>
      <c r="F42" s="14">
        <v>65.540000000000006</v>
      </c>
      <c r="G42" s="14">
        <v>4.75</v>
      </c>
      <c r="H42" s="14">
        <v>1.08</v>
      </c>
      <c r="I42" s="14">
        <v>0.56000000000000005</v>
      </c>
      <c r="J42" s="14">
        <v>12.89</v>
      </c>
      <c r="K42" s="14">
        <v>4.0049999999999999</v>
      </c>
      <c r="L42" s="14">
        <v>0.495</v>
      </c>
      <c r="M42" s="14">
        <v>0</v>
      </c>
      <c r="N42" s="14">
        <f t="shared" si="11"/>
        <v>89.320000000000007</v>
      </c>
      <c r="O42" s="3">
        <f t="shared" si="12"/>
        <v>71.930000000000007</v>
      </c>
      <c r="P42" s="3">
        <f t="shared" ref="P42:P47" si="13">E42+F42+G42+H42+I42+J42</f>
        <v>84.820000000000007</v>
      </c>
      <c r="Q42" s="3">
        <f t="shared" ref="Q42:Q48" si="14">L42+M42+B43</f>
        <v>0.495</v>
      </c>
      <c r="R42" s="1">
        <f t="shared" ref="R42:R50" si="15">L42+M42+B43+C43+D43</f>
        <v>0.495</v>
      </c>
    </row>
    <row r="43" spans="1:21" x14ac:dyDescent="0.15">
      <c r="A43" s="14" t="s">
        <v>33</v>
      </c>
      <c r="B43" s="14">
        <v>0</v>
      </c>
      <c r="C43" s="14">
        <v>0</v>
      </c>
      <c r="D43" s="14">
        <v>0</v>
      </c>
      <c r="E43" s="14">
        <v>0.7</v>
      </c>
      <c r="F43" s="14">
        <v>90.2</v>
      </c>
      <c r="G43" s="14">
        <v>21.7</v>
      </c>
      <c r="H43" s="14">
        <v>0.5</v>
      </c>
      <c r="I43" s="14">
        <v>6.9</v>
      </c>
      <c r="J43" s="14">
        <v>0</v>
      </c>
      <c r="K43" s="14">
        <v>0</v>
      </c>
      <c r="L43" s="14">
        <v>0</v>
      </c>
      <c r="M43" s="14">
        <v>0</v>
      </c>
      <c r="N43" s="14">
        <f t="shared" si="11"/>
        <v>120.00000000000001</v>
      </c>
      <c r="O43" s="3">
        <f t="shared" si="12"/>
        <v>120.00000000000001</v>
      </c>
      <c r="P43" s="3">
        <f t="shared" si="13"/>
        <v>120.00000000000001</v>
      </c>
      <c r="Q43" s="3">
        <f t="shared" si="14"/>
        <v>0</v>
      </c>
      <c r="R43" s="1">
        <f t="shared" si="15"/>
        <v>0</v>
      </c>
    </row>
    <row r="44" spans="1:21" x14ac:dyDescent="0.15">
      <c r="A44" s="14" t="s">
        <v>34</v>
      </c>
      <c r="B44" s="14">
        <v>0</v>
      </c>
      <c r="C44" s="14">
        <v>0</v>
      </c>
      <c r="D44" s="14">
        <v>0</v>
      </c>
      <c r="E44" s="14">
        <v>0</v>
      </c>
      <c r="F44" s="14">
        <v>25.2</v>
      </c>
      <c r="G44" s="14">
        <v>0</v>
      </c>
      <c r="H44" s="14">
        <v>0.1</v>
      </c>
      <c r="I44" s="14">
        <v>0.3</v>
      </c>
      <c r="J44" s="14">
        <v>0</v>
      </c>
      <c r="K44" s="14">
        <v>0</v>
      </c>
      <c r="L44" s="14">
        <v>0</v>
      </c>
      <c r="M44" s="14">
        <v>0.2</v>
      </c>
      <c r="N44" s="14">
        <f t="shared" si="11"/>
        <v>25.8</v>
      </c>
      <c r="O44" s="3">
        <f t="shared" si="12"/>
        <v>25.6</v>
      </c>
      <c r="P44" s="3">
        <f t="shared" si="13"/>
        <v>25.6</v>
      </c>
      <c r="Q44" s="3">
        <f t="shared" si="14"/>
        <v>0.2</v>
      </c>
      <c r="R44" s="1">
        <f t="shared" si="15"/>
        <v>0.2</v>
      </c>
    </row>
    <row r="45" spans="1:21" x14ac:dyDescent="0.15">
      <c r="A45" s="14" t="s">
        <v>35</v>
      </c>
      <c r="B45" s="14">
        <v>0</v>
      </c>
      <c r="C45" s="14">
        <v>0</v>
      </c>
      <c r="D45" s="14">
        <v>0</v>
      </c>
      <c r="E45" s="14">
        <v>0</v>
      </c>
      <c r="F45" s="14">
        <f>(30+540)/1000</f>
        <v>0.56999999999999995</v>
      </c>
      <c r="G45" s="14">
        <v>0</v>
      </c>
      <c r="H45" s="14">
        <v>1.1100000000000001</v>
      </c>
      <c r="I45" s="14">
        <v>0.12</v>
      </c>
      <c r="J45" s="14">
        <v>0</v>
      </c>
      <c r="K45" s="14">
        <v>5.01</v>
      </c>
      <c r="L45" s="14">
        <v>0.19500000000000001</v>
      </c>
      <c r="M45" s="14">
        <v>0.09</v>
      </c>
      <c r="N45" s="14">
        <f t="shared" si="11"/>
        <v>7.0950000000000006</v>
      </c>
      <c r="O45" s="3">
        <f t="shared" si="12"/>
        <v>1.8000000000000003</v>
      </c>
      <c r="P45" s="3">
        <f t="shared" si="13"/>
        <v>1.8000000000000003</v>
      </c>
      <c r="Q45" s="3">
        <f t="shared" si="14"/>
        <v>0.28500000000000003</v>
      </c>
      <c r="R45" s="1">
        <f t="shared" si="15"/>
        <v>0.28500000000000003</v>
      </c>
    </row>
    <row r="46" spans="1:21" ht="15" x14ac:dyDescent="0.15">
      <c r="A46" s="14" t="s">
        <v>37</v>
      </c>
      <c r="B46" s="14">
        <v>0</v>
      </c>
      <c r="C46" s="14">
        <v>0</v>
      </c>
      <c r="D46" s="14">
        <v>0</v>
      </c>
      <c r="E46" s="14">
        <v>0.12</v>
      </c>
      <c r="F46" s="14">
        <f>17.559+9.61</f>
        <v>27.169</v>
      </c>
      <c r="G46" s="14">
        <f>17.241+6.795</f>
        <v>24.036000000000001</v>
      </c>
      <c r="H46" s="14">
        <v>2.3929999999999998</v>
      </c>
      <c r="I46" s="14">
        <f>2.393+0.035</f>
        <v>2.4279999999999999</v>
      </c>
      <c r="J46" s="14">
        <v>3.62</v>
      </c>
      <c r="K46" s="14">
        <v>0.15</v>
      </c>
      <c r="L46" s="14">
        <v>0.12</v>
      </c>
      <c r="M46" s="14">
        <v>3.1E-2</v>
      </c>
      <c r="N46" s="14">
        <f t="shared" si="11"/>
        <v>60.066999999999993</v>
      </c>
      <c r="O46" s="3">
        <f t="shared" si="12"/>
        <v>56.146000000000001</v>
      </c>
      <c r="P46" s="3">
        <f t="shared" si="13"/>
        <v>59.765999999999998</v>
      </c>
      <c r="Q46" s="3">
        <f t="shared" si="14"/>
        <v>0.151</v>
      </c>
      <c r="R46" s="1">
        <f t="shared" si="15"/>
        <v>0.151</v>
      </c>
      <c r="U46" s="114"/>
    </row>
    <row r="47" spans="1:21" ht="15" x14ac:dyDescent="0.15">
      <c r="A47" s="14" t="s">
        <v>39</v>
      </c>
      <c r="B47" s="14">
        <v>0</v>
      </c>
      <c r="C47" s="14">
        <v>0</v>
      </c>
      <c r="D47" s="14">
        <v>0</v>
      </c>
      <c r="E47" s="14">
        <v>9.5000000000000001E-2</v>
      </c>
      <c r="F47" s="14">
        <v>42.087000000000003</v>
      </c>
      <c r="G47" s="14">
        <v>128.67500000000001</v>
      </c>
      <c r="H47" s="14">
        <v>117.90400000000001</v>
      </c>
      <c r="I47" s="14">
        <v>2.6179999999999999</v>
      </c>
      <c r="J47" s="14">
        <v>1.1679999999999999</v>
      </c>
      <c r="K47" s="14">
        <v>0.21</v>
      </c>
      <c r="L47" s="14">
        <v>2.82</v>
      </c>
      <c r="M47" s="14">
        <v>1.23</v>
      </c>
      <c r="N47" s="14">
        <f t="shared" ref="N47:N52" si="16">SUM(B47:M47)</f>
        <v>296.80700000000002</v>
      </c>
      <c r="O47" s="3">
        <f t="shared" si="12"/>
        <v>291.37900000000002</v>
      </c>
      <c r="P47" s="3">
        <f t="shared" si="13"/>
        <v>292.54700000000003</v>
      </c>
      <c r="Q47" s="3">
        <f t="shared" si="14"/>
        <v>4.05</v>
      </c>
      <c r="R47" s="1">
        <f t="shared" si="15"/>
        <v>4.05</v>
      </c>
      <c r="U47" s="114"/>
    </row>
    <row r="48" spans="1:21" ht="15" x14ac:dyDescent="0.15">
      <c r="A48" s="14" t="s">
        <v>40</v>
      </c>
      <c r="B48" s="14">
        <v>0</v>
      </c>
      <c r="C48" s="14">
        <v>0</v>
      </c>
      <c r="D48" s="14">
        <v>0</v>
      </c>
      <c r="E48" s="14">
        <v>0</v>
      </c>
      <c r="F48" s="14">
        <v>79.134</v>
      </c>
      <c r="G48" s="14">
        <v>56.847999999999999</v>
      </c>
      <c r="H48" s="14">
        <v>0.125</v>
      </c>
      <c r="I48" s="14">
        <v>0.29599999999999999</v>
      </c>
      <c r="J48" s="14">
        <v>10.651</v>
      </c>
      <c r="K48" s="14">
        <v>4.5599999999999996</v>
      </c>
      <c r="L48" s="14">
        <v>12.978</v>
      </c>
      <c r="M48" s="14">
        <v>0.18</v>
      </c>
      <c r="N48" s="14">
        <f t="shared" si="16"/>
        <v>164.77200000000002</v>
      </c>
      <c r="O48" s="3">
        <f t="shared" si="12"/>
        <v>136.40299999999999</v>
      </c>
      <c r="P48" s="3">
        <f t="shared" ref="P48:P53" si="17">E48+F48+G48+H48+I48+J48</f>
        <v>147.054</v>
      </c>
      <c r="Q48" s="3">
        <f t="shared" si="14"/>
        <v>13.157999999999999</v>
      </c>
      <c r="R48" s="1">
        <f t="shared" si="15"/>
        <v>13.157999999999999</v>
      </c>
      <c r="U48" s="114"/>
    </row>
    <row r="49" spans="1:21" ht="15" x14ac:dyDescent="0.15">
      <c r="A49" s="14" t="s">
        <v>41</v>
      </c>
      <c r="B49" s="14">
        <v>0</v>
      </c>
      <c r="C49" s="14">
        <v>0</v>
      </c>
      <c r="D49" s="14">
        <v>0</v>
      </c>
      <c r="E49" s="14">
        <v>0</v>
      </c>
      <c r="F49" s="14">
        <v>61.947499999999998</v>
      </c>
      <c r="G49" s="14">
        <v>20.047999999999998</v>
      </c>
      <c r="H49" s="14">
        <v>102.533</v>
      </c>
      <c r="I49" s="14">
        <v>61.057000000000002</v>
      </c>
      <c r="J49" s="14">
        <v>0</v>
      </c>
      <c r="K49" s="14">
        <v>0.46500000000000002</v>
      </c>
      <c r="L49" s="14">
        <v>1.3180000000000001</v>
      </c>
      <c r="M49" s="14">
        <v>4.6479999999999997</v>
      </c>
      <c r="N49" s="14">
        <f t="shared" si="16"/>
        <v>252.01650000000004</v>
      </c>
      <c r="O49" s="3">
        <f t="shared" si="12"/>
        <v>245.58550000000002</v>
      </c>
      <c r="P49" s="3">
        <f t="shared" si="17"/>
        <v>245.58550000000002</v>
      </c>
      <c r="Q49" s="3">
        <f t="shared" ref="Q49:Q54" si="18">L49+M49+B50</f>
        <v>5.9659999999999993</v>
      </c>
      <c r="R49" s="1">
        <f t="shared" si="15"/>
        <v>5.9659999999999993</v>
      </c>
      <c r="U49" s="114"/>
    </row>
    <row r="50" spans="1:21" ht="15" x14ac:dyDescent="0.15">
      <c r="A50" s="14" t="s">
        <v>45</v>
      </c>
      <c r="B50" s="14">
        <v>0</v>
      </c>
      <c r="C50" s="14"/>
      <c r="D50" s="14"/>
      <c r="E50" s="14">
        <v>0.96</v>
      </c>
      <c r="F50" s="14">
        <v>35.920999999999999</v>
      </c>
      <c r="G50" s="14">
        <v>33.067</v>
      </c>
      <c r="H50" s="14">
        <v>25.437999999999999</v>
      </c>
      <c r="I50" s="14">
        <v>21.919</v>
      </c>
      <c r="J50" s="14">
        <v>1.155</v>
      </c>
      <c r="K50" s="14">
        <v>1.3029999999999999</v>
      </c>
      <c r="L50" s="14">
        <v>0.2515</v>
      </c>
      <c r="M50" s="14">
        <v>0.03</v>
      </c>
      <c r="N50" s="14">
        <f t="shared" si="16"/>
        <v>120.0445</v>
      </c>
      <c r="O50" s="3">
        <f t="shared" si="12"/>
        <v>117.30500000000001</v>
      </c>
      <c r="P50" s="3">
        <f t="shared" si="17"/>
        <v>118.46000000000001</v>
      </c>
      <c r="Q50" s="3">
        <f t="shared" si="18"/>
        <v>0.28149999999999997</v>
      </c>
      <c r="R50" s="1">
        <f t="shared" si="15"/>
        <v>0.28149999999999997</v>
      </c>
      <c r="U50" s="114"/>
    </row>
    <row r="51" spans="1:21" ht="15" x14ac:dyDescent="0.15">
      <c r="A51" s="14" t="s">
        <v>46</v>
      </c>
      <c r="B51" s="14">
        <v>0</v>
      </c>
      <c r="C51" s="14">
        <v>0</v>
      </c>
      <c r="D51" s="14">
        <v>0</v>
      </c>
      <c r="E51" s="14">
        <v>5.0000000000000001E-3</v>
      </c>
      <c r="F51" s="14">
        <v>202.89500000000001</v>
      </c>
      <c r="G51" s="14">
        <v>111.964</v>
      </c>
      <c r="H51" s="14">
        <v>59.578000000000003</v>
      </c>
      <c r="I51" s="14">
        <v>0.504</v>
      </c>
      <c r="J51" s="14">
        <v>0.30649999999999999</v>
      </c>
      <c r="K51" s="14">
        <v>4.4999999999999998E-2</v>
      </c>
      <c r="L51" s="14">
        <v>0</v>
      </c>
      <c r="M51" s="14">
        <v>0</v>
      </c>
      <c r="N51" s="14">
        <f t="shared" si="16"/>
        <v>375.29750000000007</v>
      </c>
      <c r="O51" s="3">
        <f t="shared" si="12"/>
        <v>374.94600000000003</v>
      </c>
      <c r="P51" s="3">
        <f t="shared" si="17"/>
        <v>375.25250000000005</v>
      </c>
      <c r="Q51" s="3">
        <f t="shared" si="18"/>
        <v>0</v>
      </c>
      <c r="R51" s="1">
        <f t="shared" ref="R51:R58" si="19">L51+M51+B52+C52+D52</f>
        <v>0</v>
      </c>
      <c r="U51" s="114"/>
    </row>
    <row r="52" spans="1:21" ht="15" x14ac:dyDescent="0.15">
      <c r="A52" s="14" t="s">
        <v>56</v>
      </c>
      <c r="B52" s="14">
        <v>0</v>
      </c>
      <c r="C52" s="14">
        <v>0</v>
      </c>
      <c r="D52" s="14">
        <v>0</v>
      </c>
      <c r="E52" s="14">
        <v>0</v>
      </c>
      <c r="F52" s="14">
        <v>34.713000000000001</v>
      </c>
      <c r="G52" s="14">
        <v>12.620200000000001</v>
      </c>
      <c r="H52" s="14">
        <v>0.82929999999999993</v>
      </c>
      <c r="I52" s="14">
        <v>19.565999999999999</v>
      </c>
      <c r="J52" s="14">
        <v>18.584499999999998</v>
      </c>
      <c r="K52" s="14">
        <v>9.7500000000000003E-2</v>
      </c>
      <c r="L52" s="14">
        <v>1.5E-3</v>
      </c>
      <c r="M52" s="14">
        <v>0</v>
      </c>
      <c r="N52" s="14">
        <f t="shared" si="16"/>
        <v>86.412000000000006</v>
      </c>
      <c r="O52" s="3">
        <f t="shared" si="12"/>
        <v>67.728500000000011</v>
      </c>
      <c r="P52" s="3">
        <f t="shared" si="17"/>
        <v>86.313000000000017</v>
      </c>
      <c r="Q52" s="3">
        <f t="shared" si="18"/>
        <v>1.5E-3</v>
      </c>
      <c r="R52" s="1">
        <f t="shared" si="19"/>
        <v>1.5E-3</v>
      </c>
      <c r="U52" s="114"/>
    </row>
    <row r="53" spans="1:21" ht="15" x14ac:dyDescent="0.15">
      <c r="A53" s="14" t="s">
        <v>92</v>
      </c>
      <c r="B53" s="14">
        <v>0</v>
      </c>
      <c r="C53" s="14">
        <v>0</v>
      </c>
      <c r="D53" s="14">
        <v>0</v>
      </c>
      <c r="E53" s="14">
        <v>0</v>
      </c>
      <c r="F53" s="14">
        <v>37.954999999999998</v>
      </c>
      <c r="G53" s="14">
        <v>26.687999999999999</v>
      </c>
      <c r="H53" s="14">
        <v>4.4560000000000004</v>
      </c>
      <c r="I53" s="14">
        <v>0.27</v>
      </c>
      <c r="J53" s="14">
        <v>1.1499999999999999</v>
      </c>
      <c r="K53" s="14">
        <v>0.104</v>
      </c>
      <c r="L53" s="14">
        <v>1.4999999999999999E-2</v>
      </c>
      <c r="M53" s="14">
        <v>0.24</v>
      </c>
      <c r="N53" s="14">
        <f t="shared" ref="N53:N58" si="20">SUM(B53:M53)</f>
        <v>70.878</v>
      </c>
      <c r="O53" s="3">
        <f t="shared" si="12"/>
        <v>69.369</v>
      </c>
      <c r="P53" s="3">
        <f t="shared" si="17"/>
        <v>70.519000000000005</v>
      </c>
      <c r="Q53" s="3">
        <f t="shared" si="18"/>
        <v>0.255</v>
      </c>
      <c r="R53" s="1">
        <f t="shared" si="19"/>
        <v>0.255</v>
      </c>
      <c r="U53" s="114"/>
    </row>
    <row r="54" spans="1:21" ht="15" x14ac:dyDescent="0.15">
      <c r="A54" s="14" t="s">
        <v>103</v>
      </c>
      <c r="B54" s="14">
        <v>0</v>
      </c>
      <c r="C54" s="14">
        <v>0</v>
      </c>
      <c r="D54" s="14">
        <v>0</v>
      </c>
      <c r="E54" s="14">
        <v>0</v>
      </c>
      <c r="F54" s="14">
        <v>0.42399999999999999</v>
      </c>
      <c r="G54" s="14">
        <v>12.737</v>
      </c>
      <c r="H54" s="14">
        <v>15.2935</v>
      </c>
      <c r="I54" s="14">
        <v>1.4013</v>
      </c>
      <c r="J54" s="14">
        <v>7.4974999999999996</v>
      </c>
      <c r="K54" s="14">
        <v>9.9920000000000009</v>
      </c>
      <c r="L54" s="14">
        <v>9.9949999999999992</v>
      </c>
      <c r="M54" s="14">
        <v>15.164999999999999</v>
      </c>
      <c r="N54" s="14">
        <f t="shared" si="20"/>
        <v>72.505299999999991</v>
      </c>
      <c r="O54" s="3">
        <f t="shared" si="12"/>
        <v>29.855799999999999</v>
      </c>
      <c r="P54" s="3">
        <f t="shared" ref="P54:P59" si="21">E54+F54+G54+H54+I54+J54</f>
        <v>37.353299999999997</v>
      </c>
      <c r="Q54" s="3">
        <f t="shared" si="18"/>
        <v>25.159999999999997</v>
      </c>
      <c r="R54" s="1">
        <f t="shared" si="19"/>
        <v>25.159999999999997</v>
      </c>
      <c r="U54" s="114"/>
    </row>
    <row r="55" spans="1:21" ht="15" x14ac:dyDescent="0.15">
      <c r="A55" s="14" t="s">
        <v>121</v>
      </c>
      <c r="B55" s="14">
        <v>0</v>
      </c>
      <c r="C55" s="14">
        <v>0</v>
      </c>
      <c r="D55" s="14">
        <v>0</v>
      </c>
      <c r="E55" s="14">
        <v>0</v>
      </c>
      <c r="F55" s="14">
        <v>19.68</v>
      </c>
      <c r="G55" s="14">
        <v>3.7869999999999999</v>
      </c>
      <c r="H55" s="14">
        <v>85.204999999999998</v>
      </c>
      <c r="I55" s="14">
        <v>26.473500000000001</v>
      </c>
      <c r="J55" s="14">
        <v>5.8889999999999993</v>
      </c>
      <c r="K55" s="14">
        <v>0.03</v>
      </c>
      <c r="L55" s="14">
        <v>0</v>
      </c>
      <c r="M55" s="14">
        <v>0</v>
      </c>
      <c r="N55" s="14">
        <f t="shared" si="20"/>
        <v>141.06450000000001</v>
      </c>
      <c r="O55" s="3">
        <f t="shared" ref="O55:O60" si="22">E55+F55+G55+H55+I55</f>
        <v>135.1455</v>
      </c>
      <c r="P55" s="3">
        <f t="shared" si="21"/>
        <v>141.03450000000001</v>
      </c>
      <c r="Q55" s="3">
        <f t="shared" ref="Q55:Q60" si="23">L55+M55+B56</f>
        <v>0</v>
      </c>
      <c r="R55" s="1">
        <f t="shared" si="19"/>
        <v>0</v>
      </c>
      <c r="U55" s="114"/>
    </row>
    <row r="56" spans="1:21" ht="15" x14ac:dyDescent="0.15">
      <c r="A56" s="14" t="s">
        <v>129</v>
      </c>
      <c r="B56" s="14">
        <v>0</v>
      </c>
      <c r="C56" s="14">
        <v>0</v>
      </c>
      <c r="D56" s="14">
        <v>0</v>
      </c>
      <c r="E56" s="14">
        <v>0</v>
      </c>
      <c r="F56" s="14">
        <v>1.17</v>
      </c>
      <c r="G56" s="14">
        <v>11.551500000000001</v>
      </c>
      <c r="H56" s="14">
        <v>38.721499999999999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f t="shared" si="20"/>
        <v>51.442999999999998</v>
      </c>
      <c r="O56" s="3">
        <f t="shared" si="22"/>
        <v>51.442999999999998</v>
      </c>
      <c r="P56" s="3">
        <f t="shared" si="21"/>
        <v>51.442999999999998</v>
      </c>
      <c r="Q56" s="3">
        <f t="shared" si="23"/>
        <v>0</v>
      </c>
      <c r="R56" s="1">
        <f t="shared" si="19"/>
        <v>0</v>
      </c>
      <c r="U56" s="120"/>
    </row>
    <row r="57" spans="1:21" ht="15" x14ac:dyDescent="0.15">
      <c r="A57" s="14" t="s">
        <v>136</v>
      </c>
      <c r="B57" s="14">
        <v>0</v>
      </c>
      <c r="C57" s="14">
        <v>0</v>
      </c>
      <c r="D57" s="14">
        <v>0</v>
      </c>
      <c r="E57" s="14">
        <v>0</v>
      </c>
      <c r="F57" s="14">
        <v>1.875</v>
      </c>
      <c r="G57" s="14">
        <v>3.4049999999999998</v>
      </c>
      <c r="H57" s="14">
        <v>90.355000000000004</v>
      </c>
      <c r="I57" s="14">
        <v>12.315</v>
      </c>
      <c r="J57" s="14">
        <v>0</v>
      </c>
      <c r="K57" s="14">
        <v>7.4999999999999997E-2</v>
      </c>
      <c r="L57" s="14">
        <v>0.09</v>
      </c>
      <c r="M57" s="14">
        <v>0</v>
      </c>
      <c r="N57" s="14">
        <f t="shared" si="20"/>
        <v>108.11500000000001</v>
      </c>
      <c r="O57" s="3">
        <f t="shared" si="22"/>
        <v>107.95</v>
      </c>
      <c r="P57" s="3">
        <f t="shared" si="21"/>
        <v>107.95</v>
      </c>
      <c r="Q57" s="3">
        <f t="shared" si="23"/>
        <v>0.09</v>
      </c>
      <c r="R57" s="1">
        <f t="shared" si="19"/>
        <v>0.09</v>
      </c>
      <c r="U57" s="120"/>
    </row>
    <row r="58" spans="1:21" ht="15" x14ac:dyDescent="0.15">
      <c r="A58" s="14" t="s">
        <v>140</v>
      </c>
      <c r="B58" s="14">
        <v>0</v>
      </c>
      <c r="C58" s="14">
        <v>0</v>
      </c>
      <c r="D58" s="14">
        <v>0</v>
      </c>
      <c r="E58" s="14">
        <v>0</v>
      </c>
      <c r="F58" s="14">
        <v>31.335000000000001</v>
      </c>
      <c r="G58" s="14">
        <v>7.53</v>
      </c>
      <c r="H58" s="14">
        <v>15.345000000000001</v>
      </c>
      <c r="I58" s="14">
        <v>7.8689999999999998</v>
      </c>
      <c r="J58" s="14">
        <v>0.19500000000000001</v>
      </c>
      <c r="K58" s="14">
        <v>0</v>
      </c>
      <c r="L58" s="14">
        <v>0</v>
      </c>
      <c r="M58" s="14">
        <v>0</v>
      </c>
      <c r="N58" s="14">
        <f t="shared" si="20"/>
        <v>62.274000000000001</v>
      </c>
      <c r="O58" s="3">
        <f t="shared" si="22"/>
        <v>62.079000000000001</v>
      </c>
      <c r="P58" s="1">
        <f t="shared" si="21"/>
        <v>62.274000000000001</v>
      </c>
      <c r="Q58" s="3">
        <f t="shared" si="23"/>
        <v>0</v>
      </c>
      <c r="R58" s="1">
        <f t="shared" si="19"/>
        <v>0</v>
      </c>
      <c r="U58" s="120"/>
    </row>
    <row r="59" spans="1:21" ht="15" x14ac:dyDescent="0.15">
      <c r="A59" s="14" t="s">
        <v>143</v>
      </c>
      <c r="B59" s="14">
        <v>0</v>
      </c>
      <c r="C59" s="14">
        <v>0</v>
      </c>
      <c r="D59" s="14">
        <v>0</v>
      </c>
      <c r="E59" s="14">
        <v>2.2799999999999998</v>
      </c>
      <c r="F59" s="14">
        <v>22.965</v>
      </c>
      <c r="G59" s="14">
        <v>34.83</v>
      </c>
      <c r="H59" s="14">
        <v>4.74</v>
      </c>
      <c r="I59" s="14">
        <v>4.4999999999999998E-2</v>
      </c>
      <c r="J59" s="14">
        <v>0</v>
      </c>
      <c r="K59" s="14">
        <v>0</v>
      </c>
      <c r="L59" s="14">
        <v>0.54</v>
      </c>
      <c r="M59" s="14">
        <v>0</v>
      </c>
      <c r="N59" s="14">
        <f>SUM(B59:M59)</f>
        <v>65.400000000000006</v>
      </c>
      <c r="O59" s="3">
        <f t="shared" si="22"/>
        <v>64.86</v>
      </c>
      <c r="P59" s="1">
        <f t="shared" si="21"/>
        <v>64.86</v>
      </c>
      <c r="Q59" s="3">
        <f t="shared" si="23"/>
        <v>0.54</v>
      </c>
      <c r="R59" s="1">
        <f>L59+M59+B60+C60+D60</f>
        <v>0.54</v>
      </c>
      <c r="U59" s="120"/>
    </row>
    <row r="60" spans="1:21" ht="15" x14ac:dyDescent="0.15">
      <c r="A60" s="14" t="s">
        <v>149</v>
      </c>
      <c r="B60" s="14">
        <v>0</v>
      </c>
      <c r="C60" s="14">
        <v>0</v>
      </c>
      <c r="D60" s="14">
        <v>0</v>
      </c>
      <c r="E60" s="14">
        <v>0.13500000000000001</v>
      </c>
      <c r="F60" s="14">
        <v>3.2549999999999999</v>
      </c>
      <c r="G60" s="14">
        <v>0.81</v>
      </c>
      <c r="H60" s="14">
        <v>1.98</v>
      </c>
      <c r="I60" s="14">
        <v>0.63</v>
      </c>
      <c r="J60" s="23">
        <v>0.105</v>
      </c>
      <c r="K60" s="23">
        <v>0.12</v>
      </c>
      <c r="L60" s="23">
        <v>0.03</v>
      </c>
      <c r="M60" s="23">
        <v>0</v>
      </c>
      <c r="N60" s="14">
        <f>SUM(B60:M60)</f>
        <v>7.0650000000000004</v>
      </c>
      <c r="O60" s="3">
        <f t="shared" si="22"/>
        <v>6.81</v>
      </c>
      <c r="P60" s="1">
        <f>E60+F60+G60+H60+I60+J60</f>
        <v>6.915</v>
      </c>
      <c r="Q60" s="154">
        <f t="shared" si="23"/>
        <v>0.03</v>
      </c>
      <c r="R60" s="20">
        <f>L60+M60+B61+C61+D61</f>
        <v>0.03</v>
      </c>
      <c r="U60" s="120"/>
    </row>
    <row r="61" spans="1:21" ht="15" x14ac:dyDescent="0.15">
      <c r="A61" s="14" t="s">
        <v>158</v>
      </c>
      <c r="B61" s="23">
        <v>0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54"/>
      <c r="P61" s="20"/>
      <c r="U61" s="120"/>
    </row>
    <row r="62" spans="1:21" ht="1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24">
        <f>AVERAGE(O56:O60)</f>
        <v>58.628399999999999</v>
      </c>
      <c r="P62" s="24">
        <f>AVERAGE(P56:P60)</f>
        <v>58.688400000000001</v>
      </c>
      <c r="Q62" s="24">
        <f>AVERAGE(Q55:Q59)</f>
        <v>0.126</v>
      </c>
      <c r="R62" s="24">
        <f>AVERAGE(R55:R59)</f>
        <v>0.126</v>
      </c>
      <c r="U62" s="114"/>
    </row>
    <row r="63" spans="1:21" ht="15" x14ac:dyDescent="0.15">
      <c r="A63" s="4" t="s">
        <v>50</v>
      </c>
      <c r="M63" s="4" t="s">
        <v>3</v>
      </c>
      <c r="U63" s="114"/>
    </row>
    <row r="64" spans="1:21" x14ac:dyDescent="0.15">
      <c r="A64" s="14"/>
      <c r="B64" s="14" t="s">
        <v>4</v>
      </c>
      <c r="C64" s="14" t="s">
        <v>5</v>
      </c>
      <c r="D64" s="14" t="s">
        <v>6</v>
      </c>
      <c r="E64" s="14" t="s">
        <v>7</v>
      </c>
      <c r="F64" s="14" t="s">
        <v>8</v>
      </c>
      <c r="G64" s="14" t="s">
        <v>9</v>
      </c>
      <c r="H64" s="14" t="s">
        <v>10</v>
      </c>
      <c r="I64" s="14" t="s">
        <v>11</v>
      </c>
      <c r="J64" s="14" t="s">
        <v>12</v>
      </c>
      <c r="K64" s="14" t="s">
        <v>13</v>
      </c>
      <c r="L64" s="14" t="s">
        <v>14</v>
      </c>
      <c r="M64" s="14" t="s">
        <v>15</v>
      </c>
      <c r="N64" s="14" t="s">
        <v>16</v>
      </c>
    </row>
    <row r="65" spans="1:18" x14ac:dyDescent="0.15">
      <c r="A65" s="14" t="s">
        <v>17</v>
      </c>
      <c r="B65" s="14">
        <v>0</v>
      </c>
      <c r="C65" s="14">
        <v>1.4999999999999999E-2</v>
      </c>
      <c r="D65" s="14">
        <v>6.4050000000000002</v>
      </c>
      <c r="E65" s="14">
        <v>31.59</v>
      </c>
      <c r="F65" s="14">
        <v>116.911</v>
      </c>
      <c r="G65" s="14">
        <v>211.696</v>
      </c>
      <c r="H65" s="14">
        <v>71.423000000000002</v>
      </c>
      <c r="I65" s="14">
        <v>37.703000000000003</v>
      </c>
      <c r="J65" s="14">
        <v>23.7</v>
      </c>
      <c r="K65" s="14">
        <v>4.1399999999999997</v>
      </c>
      <c r="L65" s="14">
        <v>0</v>
      </c>
      <c r="M65" s="14">
        <v>0</v>
      </c>
      <c r="N65" s="14">
        <f>SUM(B65:M65)</f>
        <v>503.58299999999991</v>
      </c>
    </row>
    <row r="66" spans="1:18" x14ac:dyDescent="0.15">
      <c r="A66" s="14" t="s">
        <v>18</v>
      </c>
      <c r="B66" s="14">
        <v>0</v>
      </c>
      <c r="C66" s="14">
        <v>0</v>
      </c>
      <c r="D66" s="14">
        <v>0.93</v>
      </c>
      <c r="E66" s="14">
        <v>125.895</v>
      </c>
      <c r="F66" s="14">
        <v>184.8</v>
      </c>
      <c r="G66" s="14">
        <v>97.15</v>
      </c>
      <c r="H66" s="14">
        <v>29.462</v>
      </c>
      <c r="I66" s="14">
        <v>6.9610000000000003</v>
      </c>
      <c r="J66" s="14">
        <v>28.65</v>
      </c>
      <c r="K66" s="14">
        <v>20.145</v>
      </c>
      <c r="L66" s="14">
        <v>0.308</v>
      </c>
      <c r="M66" s="14">
        <v>0</v>
      </c>
      <c r="N66" s="14">
        <f t="shared" ref="N66:N76" si="24">SUM(B66:M66)</f>
        <v>494.30099999999993</v>
      </c>
    </row>
    <row r="67" spans="1:18" x14ac:dyDescent="0.15">
      <c r="A67" s="14" t="s">
        <v>19</v>
      </c>
      <c r="B67" s="14">
        <v>0</v>
      </c>
      <c r="C67" s="14">
        <v>0</v>
      </c>
      <c r="D67" s="14">
        <v>0</v>
      </c>
      <c r="E67" s="14">
        <v>32.055</v>
      </c>
      <c r="F67" s="14">
        <v>112.44799999999999</v>
      </c>
      <c r="G67" s="14">
        <v>138.15100000000001</v>
      </c>
      <c r="H67" s="14">
        <v>41.543999999999997</v>
      </c>
      <c r="I67" s="14">
        <v>11.31</v>
      </c>
      <c r="J67" s="14">
        <v>17.827999999999999</v>
      </c>
      <c r="K67" s="14">
        <v>3.09</v>
      </c>
      <c r="L67" s="14">
        <v>2.82</v>
      </c>
      <c r="M67" s="14">
        <v>0.9</v>
      </c>
      <c r="N67" s="14">
        <f t="shared" si="24"/>
        <v>360.1459999999999</v>
      </c>
    </row>
    <row r="68" spans="1:18" x14ac:dyDescent="0.15">
      <c r="A68" s="14" t="s">
        <v>20</v>
      </c>
      <c r="B68" s="14">
        <v>0.105</v>
      </c>
      <c r="C68" s="14">
        <v>0</v>
      </c>
      <c r="D68" s="14">
        <v>1.4999999999999999E-2</v>
      </c>
      <c r="E68" s="14">
        <v>0</v>
      </c>
      <c r="F68" s="14">
        <v>0.18</v>
      </c>
      <c r="G68" s="14">
        <v>0.46500000000000002</v>
      </c>
      <c r="H68" s="14">
        <v>2.633</v>
      </c>
      <c r="I68" s="14">
        <v>52.238</v>
      </c>
      <c r="J68" s="14">
        <v>73.388000000000005</v>
      </c>
      <c r="K68" s="14">
        <v>13.92</v>
      </c>
      <c r="L68" s="14">
        <v>0</v>
      </c>
      <c r="M68" s="14">
        <v>0.03</v>
      </c>
      <c r="N68" s="14">
        <f t="shared" si="24"/>
        <v>142.97399999999999</v>
      </c>
    </row>
    <row r="69" spans="1:18" x14ac:dyDescent="0.15">
      <c r="A69" s="14" t="s">
        <v>21</v>
      </c>
      <c r="B69" s="14">
        <v>0</v>
      </c>
      <c r="C69" s="14">
        <v>0</v>
      </c>
      <c r="D69" s="14">
        <v>0</v>
      </c>
      <c r="E69" s="14">
        <v>0.03</v>
      </c>
      <c r="F69" s="14">
        <v>2.25</v>
      </c>
      <c r="G69" s="14">
        <v>5.0999999999999996</v>
      </c>
      <c r="H69" s="14">
        <v>2.1150000000000002</v>
      </c>
      <c r="I69" s="14">
        <v>3.0230000000000001</v>
      </c>
      <c r="J69" s="14">
        <v>63.465000000000003</v>
      </c>
      <c r="K69" s="14">
        <v>3.33</v>
      </c>
      <c r="L69" s="14">
        <v>0</v>
      </c>
      <c r="M69" s="14">
        <v>0</v>
      </c>
      <c r="N69" s="14">
        <f t="shared" si="24"/>
        <v>79.313000000000002</v>
      </c>
    </row>
    <row r="70" spans="1:18" x14ac:dyDescent="0.15">
      <c r="A70" s="14" t="s">
        <v>22</v>
      </c>
      <c r="B70" s="14">
        <v>0</v>
      </c>
      <c r="C70" s="14">
        <v>0</v>
      </c>
      <c r="D70" s="14">
        <v>0</v>
      </c>
      <c r="E70" s="14">
        <v>0</v>
      </c>
      <c r="F70" s="14">
        <v>1.4999999999999999E-2</v>
      </c>
      <c r="G70" s="14">
        <v>0.40500000000000003</v>
      </c>
      <c r="H70" s="14">
        <v>6.06</v>
      </c>
      <c r="I70" s="14">
        <v>60.9</v>
      </c>
      <c r="J70" s="14">
        <v>29.753</v>
      </c>
      <c r="K70" s="14">
        <v>11.108000000000001</v>
      </c>
      <c r="L70" s="14">
        <v>0.75</v>
      </c>
      <c r="M70" s="14">
        <v>0</v>
      </c>
      <c r="N70" s="14">
        <f t="shared" si="24"/>
        <v>108.991</v>
      </c>
      <c r="O70" s="4" t="s">
        <v>43</v>
      </c>
      <c r="P70" s="4" t="s">
        <v>82</v>
      </c>
      <c r="Q70" s="4" t="s">
        <v>83</v>
      </c>
      <c r="R70" s="4" t="s">
        <v>85</v>
      </c>
    </row>
    <row r="71" spans="1:18" x14ac:dyDescent="0.15">
      <c r="A71" s="14" t="s">
        <v>23</v>
      </c>
      <c r="B71" s="14">
        <v>0</v>
      </c>
      <c r="C71" s="14">
        <v>0</v>
      </c>
      <c r="D71" s="14">
        <v>0</v>
      </c>
      <c r="E71" s="14">
        <v>4.3499999999999996</v>
      </c>
      <c r="F71" s="14">
        <v>28.035</v>
      </c>
      <c r="G71" s="14">
        <v>0.26300000000000001</v>
      </c>
      <c r="H71" s="14">
        <v>1.0049999999999999</v>
      </c>
      <c r="I71" s="14">
        <v>8.1530000000000005</v>
      </c>
      <c r="J71" s="14">
        <v>0.52500000000000002</v>
      </c>
      <c r="K71" s="14">
        <v>0</v>
      </c>
      <c r="L71" s="14">
        <v>0</v>
      </c>
      <c r="M71" s="14">
        <v>0</v>
      </c>
      <c r="N71" s="14">
        <f t="shared" si="24"/>
        <v>42.330999999999996</v>
      </c>
      <c r="O71" s="1">
        <f t="shared" ref="O71:O89" si="25">E71+F71+G71+H71+I71</f>
        <v>41.805999999999997</v>
      </c>
      <c r="P71" s="3">
        <f>E71+F71+G71+H71+I71+J71</f>
        <v>42.330999999999996</v>
      </c>
      <c r="Q71" s="3">
        <f>L71+M71+B72</f>
        <v>0</v>
      </c>
      <c r="R71" s="1">
        <f>L71+M71+B72+C72+D72</f>
        <v>0</v>
      </c>
    </row>
    <row r="72" spans="1:18" x14ac:dyDescent="0.15">
      <c r="A72" s="14" t="s">
        <v>32</v>
      </c>
      <c r="B72" s="14">
        <v>0</v>
      </c>
      <c r="C72" s="14">
        <v>0</v>
      </c>
      <c r="D72" s="14">
        <v>0</v>
      </c>
      <c r="E72" s="14">
        <v>0.105</v>
      </c>
      <c r="F72" s="14">
        <v>0.435</v>
      </c>
      <c r="G72" s="14">
        <v>32.049999999999997</v>
      </c>
      <c r="H72" s="14">
        <v>6.1159999999999997</v>
      </c>
      <c r="I72" s="14">
        <v>16.433</v>
      </c>
      <c r="J72" s="14">
        <v>32.445999999999998</v>
      </c>
      <c r="K72" s="14">
        <v>0</v>
      </c>
      <c r="L72" s="14">
        <v>0</v>
      </c>
      <c r="M72" s="14">
        <v>0</v>
      </c>
      <c r="N72" s="14">
        <f t="shared" si="24"/>
        <v>87.584999999999994</v>
      </c>
      <c r="O72" s="1">
        <f t="shared" si="25"/>
        <v>55.138999999999996</v>
      </c>
      <c r="P72" s="3">
        <f t="shared" ref="P72:P78" si="26">E72+F72+G72+H72+I72+J72</f>
        <v>87.584999999999994</v>
      </c>
      <c r="Q72" s="3">
        <f t="shared" ref="Q72:Q78" si="27">L72+M72+B73</f>
        <v>0</v>
      </c>
      <c r="R72" s="1">
        <f t="shared" ref="R72:R80" si="28">L72+M72+B73+C73+D73</f>
        <v>0</v>
      </c>
    </row>
    <row r="73" spans="1:18" x14ac:dyDescent="0.15">
      <c r="A73" s="14" t="s">
        <v>33</v>
      </c>
      <c r="B73" s="14">
        <v>0</v>
      </c>
      <c r="C73" s="14">
        <v>0</v>
      </c>
      <c r="D73" s="14">
        <v>0</v>
      </c>
      <c r="E73" s="14">
        <v>0</v>
      </c>
      <c r="F73" s="14">
        <v>0.18099999999999999</v>
      </c>
      <c r="G73" s="14">
        <v>1.2909999999999999</v>
      </c>
      <c r="H73" s="14">
        <v>0.72799999999999998</v>
      </c>
      <c r="I73" s="14">
        <v>17.681999999999999</v>
      </c>
      <c r="J73" s="14">
        <v>0.376</v>
      </c>
      <c r="K73" s="14">
        <v>0</v>
      </c>
      <c r="L73" s="14">
        <v>0</v>
      </c>
      <c r="M73" s="14">
        <v>0</v>
      </c>
      <c r="N73" s="14">
        <f t="shared" si="24"/>
        <v>20.257999999999999</v>
      </c>
      <c r="O73" s="1">
        <f t="shared" si="25"/>
        <v>19.881999999999998</v>
      </c>
      <c r="P73" s="3">
        <f t="shared" si="26"/>
        <v>20.257999999999999</v>
      </c>
      <c r="Q73" s="3">
        <f t="shared" si="27"/>
        <v>0</v>
      </c>
      <c r="R73" s="1">
        <f t="shared" si="28"/>
        <v>0</v>
      </c>
    </row>
    <row r="74" spans="1:18" x14ac:dyDescent="0.15">
      <c r="A74" s="14" t="s">
        <v>34</v>
      </c>
      <c r="B74" s="14">
        <v>0</v>
      </c>
      <c r="C74" s="14">
        <v>0</v>
      </c>
      <c r="D74" s="14">
        <v>0</v>
      </c>
      <c r="E74" s="14">
        <v>0.03</v>
      </c>
      <c r="F74" s="14">
        <v>0.09</v>
      </c>
      <c r="G74" s="14">
        <v>0.06</v>
      </c>
      <c r="H74" s="14">
        <v>3.8479999999999999</v>
      </c>
      <c r="I74" s="14">
        <v>6.0449999999999999</v>
      </c>
      <c r="J74" s="14">
        <v>0</v>
      </c>
      <c r="K74" s="14">
        <v>0</v>
      </c>
      <c r="L74" s="14">
        <v>0</v>
      </c>
      <c r="M74" s="14">
        <v>0</v>
      </c>
      <c r="N74" s="14">
        <f t="shared" si="24"/>
        <v>10.073</v>
      </c>
      <c r="O74" s="1">
        <f t="shared" si="25"/>
        <v>10.073</v>
      </c>
      <c r="P74" s="3">
        <f t="shared" si="26"/>
        <v>10.073</v>
      </c>
      <c r="Q74" s="3">
        <f t="shared" si="27"/>
        <v>0</v>
      </c>
      <c r="R74" s="1">
        <f t="shared" si="28"/>
        <v>0</v>
      </c>
    </row>
    <row r="75" spans="1:18" x14ac:dyDescent="0.15">
      <c r="A75" s="14" t="s">
        <v>35</v>
      </c>
      <c r="B75" s="14">
        <v>0</v>
      </c>
      <c r="C75" s="14">
        <v>0</v>
      </c>
      <c r="D75" s="14">
        <v>0</v>
      </c>
      <c r="E75" s="14">
        <v>0</v>
      </c>
      <c r="F75" s="14">
        <v>1.6E-2</v>
      </c>
      <c r="G75" s="14">
        <v>0</v>
      </c>
      <c r="H75" s="14">
        <v>3.294</v>
      </c>
      <c r="I75" s="14">
        <v>0.62</v>
      </c>
      <c r="J75" s="14">
        <v>0</v>
      </c>
      <c r="K75" s="14">
        <v>0</v>
      </c>
      <c r="L75" s="14">
        <v>0</v>
      </c>
      <c r="M75" s="14">
        <v>0</v>
      </c>
      <c r="N75" s="14">
        <f>SUM(B75:M75)</f>
        <v>3.93</v>
      </c>
      <c r="O75" s="1">
        <f t="shared" si="25"/>
        <v>3.93</v>
      </c>
      <c r="P75" s="3">
        <f t="shared" si="26"/>
        <v>3.93</v>
      </c>
      <c r="Q75" s="3">
        <f t="shared" si="27"/>
        <v>0</v>
      </c>
      <c r="R75" s="1">
        <f t="shared" si="28"/>
        <v>8.0000000000000002E-3</v>
      </c>
    </row>
    <row r="76" spans="1:18" x14ac:dyDescent="0.15">
      <c r="A76" s="14" t="s">
        <v>37</v>
      </c>
      <c r="B76" s="14">
        <v>0</v>
      </c>
      <c r="C76" s="14">
        <v>0</v>
      </c>
      <c r="D76" s="14">
        <v>8.0000000000000002E-3</v>
      </c>
      <c r="E76" s="14">
        <v>1.3280000000000001</v>
      </c>
      <c r="F76" s="14">
        <v>2.5640000000000001</v>
      </c>
      <c r="G76" s="14">
        <v>9.7210000000000001</v>
      </c>
      <c r="H76" s="14">
        <v>2.3420000000000001</v>
      </c>
      <c r="I76" s="14">
        <v>0.98699999999999999</v>
      </c>
      <c r="J76" s="14">
        <v>0</v>
      </c>
      <c r="K76" s="14">
        <v>0</v>
      </c>
      <c r="L76" s="14">
        <v>0</v>
      </c>
      <c r="M76" s="14">
        <v>0</v>
      </c>
      <c r="N76" s="14">
        <f t="shared" si="24"/>
        <v>16.95</v>
      </c>
      <c r="O76" s="1">
        <f t="shared" si="25"/>
        <v>16.942</v>
      </c>
      <c r="P76" s="3">
        <f t="shared" si="26"/>
        <v>16.942</v>
      </c>
      <c r="Q76" s="3">
        <f t="shared" si="27"/>
        <v>0</v>
      </c>
      <c r="R76" s="1">
        <f t="shared" si="28"/>
        <v>0</v>
      </c>
    </row>
    <row r="77" spans="1:18" x14ac:dyDescent="0.15">
      <c r="A77" s="14" t="s">
        <v>39</v>
      </c>
      <c r="B77" s="14">
        <v>0</v>
      </c>
      <c r="C77" s="14">
        <v>0</v>
      </c>
      <c r="D77" s="14">
        <v>0</v>
      </c>
      <c r="E77" s="14">
        <v>0</v>
      </c>
      <c r="F77" s="14">
        <v>0.63</v>
      </c>
      <c r="G77" s="14">
        <v>6.258</v>
      </c>
      <c r="H77" s="14">
        <v>2.5259999999999998</v>
      </c>
      <c r="I77" s="14">
        <v>0.12</v>
      </c>
      <c r="J77" s="14">
        <v>5.0000000000000001E-3</v>
      </c>
      <c r="K77" s="14">
        <v>0</v>
      </c>
      <c r="L77" s="14">
        <v>0</v>
      </c>
      <c r="M77" s="14">
        <v>0</v>
      </c>
      <c r="N77" s="14">
        <f t="shared" ref="N77:N91" si="29">SUM(B77:M77)</f>
        <v>9.5389999999999997</v>
      </c>
      <c r="O77" s="1">
        <f t="shared" si="25"/>
        <v>9.5339999999999989</v>
      </c>
      <c r="P77" s="3">
        <f t="shared" si="26"/>
        <v>9.5389999999999997</v>
      </c>
      <c r="Q77" s="3">
        <f t="shared" si="27"/>
        <v>0</v>
      </c>
      <c r="R77" s="1">
        <f t="shared" si="28"/>
        <v>0</v>
      </c>
    </row>
    <row r="78" spans="1:18" x14ac:dyDescent="0.15">
      <c r="A78" s="14" t="s">
        <v>40</v>
      </c>
      <c r="B78" s="14">
        <v>0</v>
      </c>
      <c r="C78" s="14">
        <v>0</v>
      </c>
      <c r="D78" s="14">
        <v>0</v>
      </c>
      <c r="E78" s="14">
        <v>0</v>
      </c>
      <c r="F78" s="14">
        <v>0.9536</v>
      </c>
      <c r="G78" s="14">
        <v>4.1539999999999999</v>
      </c>
      <c r="H78" s="14">
        <v>2.7120000000000002</v>
      </c>
      <c r="I78" s="14">
        <v>5.1669999999999998</v>
      </c>
      <c r="J78" s="14">
        <v>3.36</v>
      </c>
      <c r="K78" s="14">
        <v>0</v>
      </c>
      <c r="L78" s="14">
        <v>0</v>
      </c>
      <c r="M78" s="14">
        <v>0</v>
      </c>
      <c r="N78" s="14">
        <f t="shared" si="29"/>
        <v>16.346599999999999</v>
      </c>
      <c r="O78" s="1">
        <f t="shared" si="25"/>
        <v>12.986599999999999</v>
      </c>
      <c r="P78" s="3">
        <f t="shared" si="26"/>
        <v>16.346599999999999</v>
      </c>
      <c r="Q78" s="3">
        <f t="shared" si="27"/>
        <v>0</v>
      </c>
      <c r="R78" s="1">
        <f t="shared" si="28"/>
        <v>0</v>
      </c>
    </row>
    <row r="79" spans="1:18" x14ac:dyDescent="0.15">
      <c r="A79" s="14" t="s">
        <v>41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0.65600000000000003</v>
      </c>
      <c r="I79" s="14">
        <v>2.496</v>
      </c>
      <c r="J79" s="14">
        <v>0</v>
      </c>
      <c r="K79" s="14">
        <v>0</v>
      </c>
      <c r="L79" s="14">
        <v>0</v>
      </c>
      <c r="M79" s="14">
        <v>0</v>
      </c>
      <c r="N79" s="14">
        <f t="shared" si="29"/>
        <v>3.1520000000000001</v>
      </c>
      <c r="O79" s="1">
        <f t="shared" si="25"/>
        <v>3.1520000000000001</v>
      </c>
      <c r="P79" s="3">
        <f t="shared" ref="P79:P84" si="30">E79+F79+G79+H79+I79+J79</f>
        <v>3.1520000000000001</v>
      </c>
      <c r="Q79" s="3">
        <f t="shared" ref="Q79:Q84" si="31">L79+M79+B80</f>
        <v>0</v>
      </c>
      <c r="R79" s="1">
        <f t="shared" si="28"/>
        <v>0</v>
      </c>
    </row>
    <row r="80" spans="1:18" x14ac:dyDescent="0.15">
      <c r="A80" s="14" t="s">
        <v>45</v>
      </c>
      <c r="B80" s="14">
        <v>0</v>
      </c>
      <c r="C80" s="14">
        <v>0</v>
      </c>
      <c r="D80" s="14">
        <v>0</v>
      </c>
      <c r="E80" s="14">
        <v>0</v>
      </c>
      <c r="F80" s="14">
        <v>0</v>
      </c>
      <c r="G80" s="14">
        <v>1.2529999999999999</v>
      </c>
      <c r="H80" s="14">
        <v>9.7119999999999997</v>
      </c>
      <c r="I80" s="14">
        <v>11.462</v>
      </c>
      <c r="J80" s="14">
        <v>4.5823999999999998</v>
      </c>
      <c r="K80" s="14">
        <v>0.128</v>
      </c>
      <c r="L80" s="14">
        <v>0</v>
      </c>
      <c r="M80" s="14">
        <v>0</v>
      </c>
      <c r="N80" s="14">
        <f t="shared" si="29"/>
        <v>27.1374</v>
      </c>
      <c r="O80" s="1">
        <f t="shared" si="25"/>
        <v>22.427</v>
      </c>
      <c r="P80" s="3">
        <f t="shared" si="30"/>
        <v>27.009399999999999</v>
      </c>
      <c r="Q80" s="3">
        <f t="shared" si="31"/>
        <v>0</v>
      </c>
      <c r="R80" s="1">
        <f t="shared" si="28"/>
        <v>0</v>
      </c>
    </row>
    <row r="81" spans="1:29" x14ac:dyDescent="0.15">
      <c r="A81" s="14" t="s">
        <v>46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0.64800000000000002</v>
      </c>
      <c r="I81" s="14">
        <v>0</v>
      </c>
      <c r="J81" s="14">
        <v>0.432</v>
      </c>
      <c r="K81" s="14">
        <v>0</v>
      </c>
      <c r="L81" s="14">
        <v>0</v>
      </c>
      <c r="M81" s="14">
        <v>1.6E-2</v>
      </c>
      <c r="N81" s="14">
        <f t="shared" si="29"/>
        <v>1.0960000000000001</v>
      </c>
      <c r="O81" s="1">
        <f t="shared" si="25"/>
        <v>0.64800000000000002</v>
      </c>
      <c r="P81" s="3">
        <f t="shared" si="30"/>
        <v>1.08</v>
      </c>
      <c r="Q81" s="3">
        <f t="shared" si="31"/>
        <v>1.6E-2</v>
      </c>
      <c r="R81" s="1">
        <f t="shared" ref="R81:R88" si="32">L81+M81+B82+C82+D82</f>
        <v>0.25600000000000001</v>
      </c>
    </row>
    <row r="82" spans="1:29" x14ac:dyDescent="0.15">
      <c r="A82" s="14" t="s">
        <v>56</v>
      </c>
      <c r="B82" s="14">
        <v>0</v>
      </c>
      <c r="C82" s="14">
        <v>0</v>
      </c>
      <c r="D82" s="14">
        <v>0.24</v>
      </c>
      <c r="E82" s="14">
        <v>6.4000000000000001E-2</v>
      </c>
      <c r="F82" s="14">
        <v>3.2000000000000001E-2</v>
      </c>
      <c r="G82" s="14">
        <v>0.83499999999999996</v>
      </c>
      <c r="H82" s="14">
        <v>0.872</v>
      </c>
      <c r="I82" s="14">
        <v>1.4239999999999999</v>
      </c>
      <c r="J82" s="14">
        <v>0.56000000000000005</v>
      </c>
      <c r="K82" s="14">
        <v>0</v>
      </c>
      <c r="L82" s="14">
        <v>0</v>
      </c>
      <c r="M82" s="14">
        <v>0</v>
      </c>
      <c r="N82" s="14">
        <f t="shared" si="29"/>
        <v>4.0269999999999992</v>
      </c>
      <c r="O82" s="1">
        <f t="shared" si="25"/>
        <v>3.2269999999999999</v>
      </c>
      <c r="P82" s="3">
        <f t="shared" si="30"/>
        <v>3.7869999999999999</v>
      </c>
      <c r="Q82" s="3">
        <f t="shared" si="31"/>
        <v>0</v>
      </c>
      <c r="R82" s="1">
        <f t="shared" si="32"/>
        <v>0</v>
      </c>
    </row>
    <row r="83" spans="1:29" x14ac:dyDescent="0.15">
      <c r="A83" s="14" t="s">
        <v>92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1.6E-2</v>
      </c>
      <c r="H83" s="14">
        <v>0.20050000000000001</v>
      </c>
      <c r="I83" s="14">
        <v>6.4899999999999999E-2</v>
      </c>
      <c r="J83" s="14">
        <v>0</v>
      </c>
      <c r="K83" s="14">
        <v>0</v>
      </c>
      <c r="L83" s="14">
        <v>0</v>
      </c>
      <c r="M83" s="14">
        <v>8.0000000000000002E-3</v>
      </c>
      <c r="N83" s="14">
        <f t="shared" si="29"/>
        <v>0.28940000000000005</v>
      </c>
      <c r="O83" s="1">
        <f t="shared" si="25"/>
        <v>0.28140000000000004</v>
      </c>
      <c r="P83" s="3">
        <f t="shared" si="30"/>
        <v>0.28140000000000004</v>
      </c>
      <c r="Q83" s="3">
        <f t="shared" si="31"/>
        <v>0.01</v>
      </c>
      <c r="R83" s="1">
        <f t="shared" si="32"/>
        <v>0.01</v>
      </c>
    </row>
    <row r="84" spans="1:29" ht="15" x14ac:dyDescent="0.15">
      <c r="A84" s="14" t="s">
        <v>103</v>
      </c>
      <c r="B84" s="14">
        <v>2E-3</v>
      </c>
      <c r="C84" s="14">
        <v>0</v>
      </c>
      <c r="D84" s="14">
        <v>0</v>
      </c>
      <c r="E84" s="14">
        <v>4.8000000000000001E-2</v>
      </c>
      <c r="F84" s="14">
        <v>0</v>
      </c>
      <c r="G84" s="14">
        <v>0</v>
      </c>
      <c r="H84" s="14">
        <v>5.0000000000000001E-3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f t="shared" si="29"/>
        <v>5.5E-2</v>
      </c>
      <c r="O84" s="1">
        <f t="shared" si="25"/>
        <v>5.2999999999999999E-2</v>
      </c>
      <c r="P84" s="3">
        <f t="shared" si="30"/>
        <v>5.2999999999999999E-2</v>
      </c>
      <c r="Q84" s="3">
        <f t="shared" si="31"/>
        <v>0</v>
      </c>
      <c r="R84" s="1">
        <f t="shared" si="32"/>
        <v>0</v>
      </c>
      <c r="U84" s="118"/>
      <c r="V84" s="118"/>
      <c r="W84" s="118"/>
      <c r="X84" s="118"/>
      <c r="Y84" s="118"/>
      <c r="Z84" s="118"/>
      <c r="AA84" s="118"/>
      <c r="AB84" s="118"/>
      <c r="AC84" s="118"/>
    </row>
    <row r="85" spans="1:29" x14ac:dyDescent="0.15">
      <c r="A85" s="14" t="s">
        <v>121</v>
      </c>
      <c r="B85" s="14">
        <v>0</v>
      </c>
      <c r="C85" s="14">
        <v>0</v>
      </c>
      <c r="D85" s="14">
        <v>0</v>
      </c>
      <c r="E85" s="14">
        <v>0</v>
      </c>
      <c r="F85" s="14">
        <v>1.295E-2</v>
      </c>
      <c r="G85" s="14">
        <v>0.55195000000000005</v>
      </c>
      <c r="H85" s="14">
        <v>0</v>
      </c>
      <c r="I85" s="14">
        <v>9.7000000000000003E-2</v>
      </c>
      <c r="J85" s="14">
        <v>1.9E-2</v>
      </c>
      <c r="K85" s="14">
        <v>0</v>
      </c>
      <c r="L85" s="14">
        <v>1.8080000000000001</v>
      </c>
      <c r="M85" s="14">
        <v>0</v>
      </c>
      <c r="N85" s="14">
        <f t="shared" si="29"/>
        <v>2.4889000000000001</v>
      </c>
      <c r="O85" s="1">
        <f t="shared" si="25"/>
        <v>0.66190000000000004</v>
      </c>
      <c r="P85" s="3">
        <f t="shared" ref="P85:P90" si="33">E85+F85+G85+H85+I85+J85</f>
        <v>0.68090000000000006</v>
      </c>
      <c r="Q85" s="3">
        <f t="shared" ref="Q85:Q90" si="34">L85+M85+B86</f>
        <v>1.8160000000000001</v>
      </c>
      <c r="R85" s="1">
        <f t="shared" si="32"/>
        <v>1.8160000000000001</v>
      </c>
    </row>
    <row r="86" spans="1:29" x14ac:dyDescent="0.15">
      <c r="A86" s="14" t="s">
        <v>129</v>
      </c>
      <c r="B86" s="14">
        <v>8.0000000000000002E-3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6.4000000000000001E-2</v>
      </c>
      <c r="N86" s="14">
        <f t="shared" si="29"/>
        <v>7.2000000000000008E-2</v>
      </c>
      <c r="O86" s="1">
        <f t="shared" si="25"/>
        <v>0</v>
      </c>
      <c r="P86" s="3">
        <f t="shared" si="33"/>
        <v>0</v>
      </c>
      <c r="Q86" s="3">
        <f t="shared" si="34"/>
        <v>6.4000000000000001E-2</v>
      </c>
      <c r="R86" s="1">
        <f t="shared" si="32"/>
        <v>0.112</v>
      </c>
    </row>
    <row r="87" spans="1:29" x14ac:dyDescent="0.15">
      <c r="A87" s="14" t="s">
        <v>136</v>
      </c>
      <c r="B87" s="14">
        <v>0</v>
      </c>
      <c r="C87" s="14">
        <v>0</v>
      </c>
      <c r="D87" s="14">
        <v>4.8000000000000001E-2</v>
      </c>
      <c r="E87" s="14">
        <v>0.14399999999999999</v>
      </c>
      <c r="F87" s="14">
        <v>0</v>
      </c>
      <c r="G87" s="14">
        <v>0.33600000000000002</v>
      </c>
      <c r="H87" s="14">
        <v>0.44800000000000001</v>
      </c>
      <c r="I87" s="14">
        <v>0</v>
      </c>
      <c r="J87" s="14">
        <v>0</v>
      </c>
      <c r="K87" s="14">
        <v>0</v>
      </c>
      <c r="L87" s="14">
        <v>0</v>
      </c>
      <c r="M87" s="14">
        <v>0.128</v>
      </c>
      <c r="N87" s="14">
        <f t="shared" si="29"/>
        <v>1.1040000000000001</v>
      </c>
      <c r="O87" s="1">
        <f t="shared" si="25"/>
        <v>0.92799999999999994</v>
      </c>
      <c r="P87" s="3">
        <f t="shared" si="33"/>
        <v>0.92799999999999994</v>
      </c>
      <c r="Q87" s="3">
        <f t="shared" si="34"/>
        <v>0.14400000000000002</v>
      </c>
      <c r="R87" s="1">
        <f t="shared" si="32"/>
        <v>0.14400000000000002</v>
      </c>
    </row>
    <row r="88" spans="1:29" x14ac:dyDescent="0.15">
      <c r="A88" s="14" t="s">
        <v>140</v>
      </c>
      <c r="B88" s="14">
        <v>1.6E-2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6.4000000000000001E-2</v>
      </c>
      <c r="K88" s="14">
        <v>0</v>
      </c>
      <c r="L88" s="14">
        <v>0</v>
      </c>
      <c r="M88" s="14">
        <v>1.6E-2</v>
      </c>
      <c r="N88" s="14">
        <f t="shared" si="29"/>
        <v>9.6000000000000002E-2</v>
      </c>
      <c r="O88" s="1">
        <f t="shared" si="25"/>
        <v>0</v>
      </c>
      <c r="P88" s="3">
        <f t="shared" si="33"/>
        <v>6.4000000000000001E-2</v>
      </c>
      <c r="Q88" s="3">
        <f t="shared" si="34"/>
        <v>1.6E-2</v>
      </c>
      <c r="R88" s="1">
        <f t="shared" si="32"/>
        <v>2.6720000000000002</v>
      </c>
    </row>
    <row r="89" spans="1:29" x14ac:dyDescent="0.15">
      <c r="A89" s="14" t="s">
        <v>143</v>
      </c>
      <c r="B89" s="14">
        <v>0</v>
      </c>
      <c r="C89" s="14">
        <v>0</v>
      </c>
      <c r="D89" s="14">
        <v>2.6560000000000001</v>
      </c>
      <c r="E89" s="14">
        <v>0</v>
      </c>
      <c r="F89" s="14">
        <v>3.2000000000000001E-2</v>
      </c>
      <c r="G89" s="14">
        <v>0</v>
      </c>
      <c r="H89" s="14">
        <v>0</v>
      </c>
      <c r="I89" s="14">
        <v>0.30499999999999999</v>
      </c>
      <c r="J89" s="14">
        <v>1.6E-2</v>
      </c>
      <c r="K89" s="14">
        <v>0</v>
      </c>
      <c r="L89" s="14">
        <v>0</v>
      </c>
      <c r="M89" s="14">
        <v>0</v>
      </c>
      <c r="N89" s="14">
        <f t="shared" si="29"/>
        <v>3.0090000000000003</v>
      </c>
      <c r="O89" s="1">
        <f t="shared" si="25"/>
        <v>0.33699999999999997</v>
      </c>
      <c r="P89" s="3">
        <f t="shared" si="33"/>
        <v>0.35299999999999998</v>
      </c>
      <c r="Q89" s="3">
        <f t="shared" si="34"/>
        <v>0</v>
      </c>
      <c r="R89" s="20">
        <f>L89+M89+B90+C90+D90</f>
        <v>6.4000000000000003E-3</v>
      </c>
    </row>
    <row r="90" spans="1:29" x14ac:dyDescent="0.15">
      <c r="A90" s="14" t="s">
        <v>149</v>
      </c>
      <c r="B90" s="14">
        <v>0</v>
      </c>
      <c r="C90" s="14">
        <v>6.4000000000000003E-3</v>
      </c>
      <c r="D90" s="14">
        <v>0</v>
      </c>
      <c r="E90" s="14">
        <v>0</v>
      </c>
      <c r="F90" s="14">
        <v>0</v>
      </c>
      <c r="G90" s="14">
        <v>3.2000000000000001E-2</v>
      </c>
      <c r="H90" s="14">
        <v>0</v>
      </c>
      <c r="I90" s="14">
        <v>0</v>
      </c>
      <c r="J90" s="23">
        <v>0.97699999999999998</v>
      </c>
      <c r="K90" s="23">
        <v>0.48</v>
      </c>
      <c r="L90" s="23">
        <v>6.4000000000000001E-2</v>
      </c>
      <c r="M90" s="23">
        <v>3.024</v>
      </c>
      <c r="N90" s="14">
        <f t="shared" si="29"/>
        <v>4.5834000000000001</v>
      </c>
      <c r="O90" s="20">
        <f>E90+F90+G90+H90+I90</f>
        <v>3.2000000000000001E-2</v>
      </c>
      <c r="P90" s="154">
        <f t="shared" si="33"/>
        <v>1.0089999999999999</v>
      </c>
      <c r="Q90" s="3">
        <f t="shared" si="34"/>
        <v>4.2720000000000002</v>
      </c>
      <c r="R90" s="20">
        <f>L90+M90+B91+C91+D91</f>
        <v>4.2720000000000002</v>
      </c>
    </row>
    <row r="91" spans="1:29" x14ac:dyDescent="0.15">
      <c r="A91" s="14" t="s">
        <v>158</v>
      </c>
      <c r="B91" s="23">
        <v>1.1839999999999999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>
        <f t="shared" si="29"/>
        <v>1.1839999999999999</v>
      </c>
      <c r="O91" s="20"/>
      <c r="P91" s="154"/>
    </row>
    <row r="92" spans="1:29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24">
        <f>AVERAGE(O86:O90)</f>
        <v>0.25939999999999996</v>
      </c>
      <c r="P92" s="24">
        <f>AVERAGE(P86:P90)</f>
        <v>0.4708</v>
      </c>
      <c r="Q92" s="24">
        <f>AVERAGE(Q85:Q89)</f>
        <v>0.40800000000000003</v>
      </c>
      <c r="R92" s="24">
        <f>AVERAGE(R85:R89)</f>
        <v>0.95008000000000004</v>
      </c>
    </row>
    <row r="93" spans="1:29" x14ac:dyDescent="0.15">
      <c r="A93" s="4" t="s">
        <v>26</v>
      </c>
      <c r="M93" s="4" t="s">
        <v>3</v>
      </c>
    </row>
    <row r="94" spans="1:29" x14ac:dyDescent="0.15">
      <c r="A94" s="14"/>
      <c r="B94" s="14" t="s">
        <v>4</v>
      </c>
      <c r="C94" s="14" t="s">
        <v>5</v>
      </c>
      <c r="D94" s="14" t="s">
        <v>6</v>
      </c>
      <c r="E94" s="14" t="s">
        <v>7</v>
      </c>
      <c r="F94" s="14" t="s">
        <v>8</v>
      </c>
      <c r="G94" s="14" t="s">
        <v>9</v>
      </c>
      <c r="H94" s="14" t="s">
        <v>10</v>
      </c>
      <c r="I94" s="14" t="s">
        <v>11</v>
      </c>
      <c r="J94" s="14" t="s">
        <v>12</v>
      </c>
      <c r="K94" s="14" t="s">
        <v>13</v>
      </c>
      <c r="L94" s="14" t="s">
        <v>14</v>
      </c>
      <c r="M94" s="14" t="s">
        <v>15</v>
      </c>
      <c r="N94" s="14" t="s">
        <v>16</v>
      </c>
    </row>
    <row r="95" spans="1:29" x14ac:dyDescent="0.15">
      <c r="A95" s="14" t="s">
        <v>17</v>
      </c>
      <c r="B95" s="14">
        <v>3.4</v>
      </c>
      <c r="C95" s="14">
        <v>0.6</v>
      </c>
      <c r="D95" s="14">
        <v>0</v>
      </c>
      <c r="E95" s="14">
        <v>22</v>
      </c>
      <c r="F95" s="14">
        <v>432.6</v>
      </c>
      <c r="G95" s="14">
        <v>264.3</v>
      </c>
      <c r="H95" s="14">
        <v>99.2</v>
      </c>
      <c r="I95" s="14">
        <v>32.6</v>
      </c>
      <c r="J95" s="14">
        <v>432.79999999999995</v>
      </c>
      <c r="K95" s="14">
        <v>289.20000000000005</v>
      </c>
      <c r="L95" s="14">
        <v>12</v>
      </c>
      <c r="M95" s="14">
        <v>4.5999999999999996</v>
      </c>
      <c r="N95" s="14">
        <f>SUM(B95:M95)</f>
        <v>1593.3</v>
      </c>
    </row>
    <row r="96" spans="1:29" x14ac:dyDescent="0.15">
      <c r="A96" s="14" t="s">
        <v>18</v>
      </c>
      <c r="B96" s="14">
        <v>0</v>
      </c>
      <c r="C96" s="14">
        <v>0.6</v>
      </c>
      <c r="D96" s="14">
        <v>47.7</v>
      </c>
      <c r="E96" s="14">
        <v>233.1</v>
      </c>
      <c r="F96" s="14">
        <v>882.5</v>
      </c>
      <c r="G96" s="14">
        <v>247</v>
      </c>
      <c r="H96" s="14">
        <v>178.9</v>
      </c>
      <c r="I96" s="14">
        <v>129.5</v>
      </c>
      <c r="J96" s="14">
        <v>237.7</v>
      </c>
      <c r="K96" s="14">
        <v>586.79999999999995</v>
      </c>
      <c r="L96" s="14">
        <v>150.5</v>
      </c>
      <c r="M96" s="14">
        <v>154.5</v>
      </c>
      <c r="N96" s="14">
        <f t="shared" ref="N96:N107" si="35">SUM(B96:M96)</f>
        <v>2848.8</v>
      </c>
    </row>
    <row r="97" spans="1:23" x14ac:dyDescent="0.15">
      <c r="A97" s="14" t="s">
        <v>19</v>
      </c>
      <c r="B97" s="14">
        <v>403.2</v>
      </c>
      <c r="C97" s="14">
        <v>3.7</v>
      </c>
      <c r="D97" s="14">
        <v>19.600000000000001</v>
      </c>
      <c r="E97" s="14">
        <v>664.8</v>
      </c>
      <c r="F97" s="14">
        <v>959.9</v>
      </c>
      <c r="G97" s="14">
        <v>1162.7</v>
      </c>
      <c r="H97" s="14">
        <v>813</v>
      </c>
      <c r="I97" s="14">
        <v>371.4</v>
      </c>
      <c r="J97" s="14">
        <v>391.79999999999995</v>
      </c>
      <c r="K97" s="14">
        <v>365.9</v>
      </c>
      <c r="L97" s="14">
        <v>57.7</v>
      </c>
      <c r="M97" s="14">
        <v>86</v>
      </c>
      <c r="N97" s="14">
        <f t="shared" si="35"/>
        <v>5299.6999999999989</v>
      </c>
    </row>
    <row r="98" spans="1:23" x14ac:dyDescent="0.15">
      <c r="A98" s="14" t="s">
        <v>20</v>
      </c>
      <c r="B98" s="14">
        <v>8.1999999999999993</v>
      </c>
      <c r="C98" s="14">
        <v>77.400000000000006</v>
      </c>
      <c r="D98" s="14">
        <v>264.39999999999998</v>
      </c>
      <c r="E98" s="14">
        <v>2203.4</v>
      </c>
      <c r="F98" s="14">
        <v>251.1</v>
      </c>
      <c r="G98" s="14">
        <v>42.6</v>
      </c>
      <c r="H98" s="14">
        <v>609.20000000000005</v>
      </c>
      <c r="I98" s="14">
        <v>1249.9000000000001</v>
      </c>
      <c r="J98" s="14">
        <v>1549.7</v>
      </c>
      <c r="K98" s="14">
        <v>536.9</v>
      </c>
      <c r="L98" s="14">
        <v>284.10000000000002</v>
      </c>
      <c r="M98" s="14">
        <v>206.9</v>
      </c>
      <c r="N98" s="14">
        <f t="shared" si="35"/>
        <v>7283.8</v>
      </c>
    </row>
    <row r="99" spans="1:23" x14ac:dyDescent="0.15">
      <c r="A99" s="14" t="s">
        <v>21</v>
      </c>
      <c r="B99" s="14">
        <v>0.2</v>
      </c>
      <c r="C99" s="14">
        <v>1.2</v>
      </c>
      <c r="D99" s="14">
        <v>195.7</v>
      </c>
      <c r="E99" s="14">
        <v>505.3</v>
      </c>
      <c r="F99" s="14">
        <v>1369.8</v>
      </c>
      <c r="G99" s="14">
        <v>17.100000000000001</v>
      </c>
      <c r="H99" s="14">
        <v>31.5</v>
      </c>
      <c r="I99" s="14">
        <v>520</v>
      </c>
      <c r="J99" s="14">
        <v>227.5</v>
      </c>
      <c r="K99" s="14">
        <v>82.3</v>
      </c>
      <c r="L99" s="14">
        <v>44.5</v>
      </c>
      <c r="M99" s="14">
        <v>11.3</v>
      </c>
      <c r="N99" s="14">
        <f t="shared" si="35"/>
        <v>3006.4</v>
      </c>
    </row>
    <row r="100" spans="1:23" x14ac:dyDescent="0.15">
      <c r="A100" s="14" t="s">
        <v>22</v>
      </c>
      <c r="B100" s="14">
        <v>2.5</v>
      </c>
      <c r="C100" s="14">
        <v>74.3</v>
      </c>
      <c r="D100" s="14">
        <v>4.5999999999999996</v>
      </c>
      <c r="E100" s="14">
        <v>8.1999999999999993</v>
      </c>
      <c r="F100" s="14">
        <v>6.1999999999999993</v>
      </c>
      <c r="G100" s="14">
        <v>37.1</v>
      </c>
      <c r="H100" s="14">
        <v>249.1</v>
      </c>
      <c r="I100" s="14">
        <v>919.4</v>
      </c>
      <c r="J100" s="14">
        <v>191.3</v>
      </c>
      <c r="K100" s="14">
        <v>275.8</v>
      </c>
      <c r="L100" s="14">
        <v>747.1</v>
      </c>
      <c r="M100" s="14">
        <v>7</v>
      </c>
      <c r="N100" s="14">
        <f t="shared" si="35"/>
        <v>2522.6</v>
      </c>
      <c r="O100" s="4" t="s">
        <v>43</v>
      </c>
      <c r="P100" s="4" t="s">
        <v>82</v>
      </c>
      <c r="Q100" s="4" t="s">
        <v>83</v>
      </c>
      <c r="R100" s="4" t="s">
        <v>85</v>
      </c>
    </row>
    <row r="101" spans="1:23" ht="15" x14ac:dyDescent="0.15">
      <c r="A101" s="14" t="s">
        <v>23</v>
      </c>
      <c r="B101" s="14">
        <v>20.399999999999999</v>
      </c>
      <c r="C101" s="14">
        <v>13.1</v>
      </c>
      <c r="D101" s="14">
        <v>335</v>
      </c>
      <c r="E101" s="14">
        <v>195.8</v>
      </c>
      <c r="F101" s="14">
        <v>62.5</v>
      </c>
      <c r="G101" s="14">
        <v>47.8</v>
      </c>
      <c r="H101" s="14">
        <v>174.95</v>
      </c>
      <c r="I101" s="14">
        <v>31.9</v>
      </c>
      <c r="J101" s="14">
        <v>122.30000000000001</v>
      </c>
      <c r="K101" s="14">
        <v>73.3</v>
      </c>
      <c r="L101" s="14">
        <v>70.7</v>
      </c>
      <c r="M101" s="14">
        <v>0.6</v>
      </c>
      <c r="N101" s="14">
        <f t="shared" si="35"/>
        <v>1148.3499999999999</v>
      </c>
      <c r="O101" s="72">
        <f t="shared" ref="O101:O114" si="36">E101+F101+G101+H101+I101</f>
        <v>512.95000000000005</v>
      </c>
      <c r="P101" s="3">
        <f>E101+F101+G101+H101+I101+J101</f>
        <v>635.25</v>
      </c>
      <c r="Q101" s="3">
        <f>L101+M101+B102</f>
        <v>86.2</v>
      </c>
      <c r="R101" s="1">
        <f>L101+M101+B102+C102+D102</f>
        <v>118.82000000000001</v>
      </c>
      <c r="W101" s="80"/>
    </row>
    <row r="102" spans="1:23" ht="15" x14ac:dyDescent="0.15">
      <c r="A102" s="14" t="s">
        <v>32</v>
      </c>
      <c r="B102" s="14">
        <v>14.9</v>
      </c>
      <c r="C102" s="14">
        <v>21.12</v>
      </c>
      <c r="D102" s="14">
        <v>11.5</v>
      </c>
      <c r="E102" s="14">
        <v>177.65</v>
      </c>
      <c r="F102" s="14">
        <v>0.15</v>
      </c>
      <c r="G102" s="14">
        <v>26.5</v>
      </c>
      <c r="H102" s="14">
        <v>41.39</v>
      </c>
      <c r="I102" s="14">
        <v>240.58499999999998</v>
      </c>
      <c r="J102" s="14">
        <v>172.63499999999999</v>
      </c>
      <c r="K102" s="14">
        <v>116.43</v>
      </c>
      <c r="L102" s="14">
        <v>68.239999999999995</v>
      </c>
      <c r="M102" s="14">
        <v>92.69</v>
      </c>
      <c r="N102" s="14">
        <f t="shared" si="35"/>
        <v>983.79000000000019</v>
      </c>
      <c r="O102" s="72">
        <f t="shared" si="36"/>
        <v>486.27499999999998</v>
      </c>
      <c r="P102" s="3">
        <f t="shared" ref="P102:P108" si="37">E102+F102+G102+H102+I102+J102</f>
        <v>658.91</v>
      </c>
      <c r="Q102" s="3">
        <f t="shared" ref="Q102:Q108" si="38">L102+M102+B103</f>
        <v>166.93</v>
      </c>
      <c r="R102" s="1">
        <f t="shared" ref="R102:R110" si="39">L102+M102+B103+C103+D103</f>
        <v>175.33</v>
      </c>
      <c r="V102" s="124"/>
      <c r="W102" s="80"/>
    </row>
    <row r="103" spans="1:23" ht="15" x14ac:dyDescent="0.15">
      <c r="A103" s="14" t="s">
        <v>33</v>
      </c>
      <c r="B103" s="14">
        <v>6</v>
      </c>
      <c r="C103" s="14">
        <v>1.5</v>
      </c>
      <c r="D103" s="14">
        <v>6.9</v>
      </c>
      <c r="E103" s="14">
        <v>3</v>
      </c>
      <c r="F103" s="14">
        <v>60.8</v>
      </c>
      <c r="G103" s="14">
        <v>3.25</v>
      </c>
      <c r="H103" s="14">
        <v>17.2</v>
      </c>
      <c r="I103" s="14">
        <v>54.375</v>
      </c>
      <c r="J103" s="14">
        <v>10.275</v>
      </c>
      <c r="K103" s="14">
        <v>9.25</v>
      </c>
      <c r="L103" s="14">
        <v>23.3</v>
      </c>
      <c r="M103" s="14">
        <v>1</v>
      </c>
      <c r="N103" s="14">
        <f t="shared" si="35"/>
        <v>196.85</v>
      </c>
      <c r="O103" s="72">
        <f t="shared" si="36"/>
        <v>138.625</v>
      </c>
      <c r="P103" s="3">
        <f t="shared" si="37"/>
        <v>148.9</v>
      </c>
      <c r="Q103" s="3">
        <f t="shared" si="38"/>
        <v>26.3</v>
      </c>
      <c r="R103" s="1">
        <f t="shared" si="39"/>
        <v>45.53</v>
      </c>
      <c r="V103" s="124"/>
      <c r="W103" s="80"/>
    </row>
    <row r="104" spans="1:23" ht="15" x14ac:dyDescent="0.15">
      <c r="A104" s="14" t="s">
        <v>34</v>
      </c>
      <c r="B104" s="14">
        <v>2</v>
      </c>
      <c r="C104" s="14">
        <v>8.27</v>
      </c>
      <c r="D104" s="14">
        <v>10.96</v>
      </c>
      <c r="E104" s="14">
        <v>285.24</v>
      </c>
      <c r="F104" s="14">
        <v>6.22</v>
      </c>
      <c r="G104" s="14">
        <v>5.23</v>
      </c>
      <c r="H104" s="14">
        <v>45.629999999999995</v>
      </c>
      <c r="I104" s="14">
        <v>69.765000000000001</v>
      </c>
      <c r="J104" s="14">
        <f>(105.5+266.9)+67.2</f>
        <v>439.59999999999997</v>
      </c>
      <c r="K104" s="14">
        <f>(12.9+48.9)+0</f>
        <v>61.8</v>
      </c>
      <c r="L104" s="14">
        <f>(56.9+107.3)+0</f>
        <v>164.2</v>
      </c>
      <c r="M104" s="14">
        <f>(0+2.3)+0</f>
        <v>2.2999999999999998</v>
      </c>
      <c r="N104" s="14">
        <f t="shared" si="35"/>
        <v>1101.2149999999999</v>
      </c>
      <c r="O104" s="72">
        <f t="shared" si="36"/>
        <v>412.08500000000004</v>
      </c>
      <c r="P104" s="3">
        <f t="shared" si="37"/>
        <v>851.68499999999995</v>
      </c>
      <c r="Q104" s="3">
        <f t="shared" si="38"/>
        <v>174.3</v>
      </c>
      <c r="R104" s="1">
        <f t="shared" si="39"/>
        <v>295.26800000000003</v>
      </c>
      <c r="V104" s="124"/>
      <c r="W104" s="80"/>
    </row>
    <row r="105" spans="1:23" ht="15" x14ac:dyDescent="0.15">
      <c r="A105" s="14" t="s">
        <v>35</v>
      </c>
      <c r="B105" s="14">
        <v>7.8</v>
      </c>
      <c r="C105" s="14">
        <f>(32.913+0.12)+0</f>
        <v>33.032999999999994</v>
      </c>
      <c r="D105" s="14">
        <f>(65.435+4.875)+17.625</f>
        <v>87.935000000000002</v>
      </c>
      <c r="E105" s="14">
        <f>(0.828+1.95)+28.275</f>
        <v>31.052999999999997</v>
      </c>
      <c r="F105" s="14">
        <f>(34.4+9.225)+0</f>
        <v>43.625</v>
      </c>
      <c r="G105" s="14">
        <f>(2.32+5.91)+0.9</f>
        <v>9.1300000000000008</v>
      </c>
      <c r="H105" s="14">
        <f>(63.1+21.87)+0</f>
        <v>84.97</v>
      </c>
      <c r="I105" s="14">
        <f>(201.852+32)+242.625</f>
        <v>476.47699999999998</v>
      </c>
      <c r="J105" s="14">
        <f>(308.9+124.6)+70.95</f>
        <v>504.45</v>
      </c>
      <c r="K105" s="14">
        <f>(153.6+106.9)+5.85</f>
        <v>266.35000000000002</v>
      </c>
      <c r="L105" s="14">
        <f>(8+12.4)+11.85</f>
        <v>32.25</v>
      </c>
      <c r="M105" s="14">
        <f>(8.5+13)+5.25</f>
        <v>26.75</v>
      </c>
      <c r="N105" s="14">
        <f t="shared" si="35"/>
        <v>1603.8229999999999</v>
      </c>
      <c r="O105" s="72">
        <f t="shared" si="36"/>
        <v>645.255</v>
      </c>
      <c r="P105" s="3">
        <f t="shared" si="37"/>
        <v>1149.7049999999999</v>
      </c>
      <c r="Q105" s="3">
        <f t="shared" si="38"/>
        <v>61.1</v>
      </c>
      <c r="R105" s="1">
        <f t="shared" si="39"/>
        <v>144.99799999999999</v>
      </c>
      <c r="V105" s="124"/>
      <c r="W105" s="80"/>
    </row>
    <row r="106" spans="1:23" ht="15" x14ac:dyDescent="0.15">
      <c r="A106" s="14" t="s">
        <v>37</v>
      </c>
      <c r="B106" s="14">
        <v>2.1</v>
      </c>
      <c r="C106" s="14">
        <v>41.526000000000003</v>
      </c>
      <c r="D106" s="14">
        <v>42.372</v>
      </c>
      <c r="E106" s="14">
        <v>35.885999999999996</v>
      </c>
      <c r="F106" s="14">
        <v>5.5979999999999999</v>
      </c>
      <c r="G106" s="14">
        <v>71.617000000000004</v>
      </c>
      <c r="H106" s="14">
        <v>17.765999999999998</v>
      </c>
      <c r="I106" s="14">
        <v>518.09699999999998</v>
      </c>
      <c r="J106" s="16">
        <v>276.61699999999996</v>
      </c>
      <c r="K106" s="16">
        <v>24.479999999999997</v>
      </c>
      <c r="L106" s="16">
        <v>74.828999999999994</v>
      </c>
      <c r="M106" s="16">
        <v>11.870999999999999</v>
      </c>
      <c r="N106" s="14">
        <f t="shared" si="35"/>
        <v>1122.759</v>
      </c>
      <c r="O106" s="72">
        <f t="shared" si="36"/>
        <v>648.96399999999994</v>
      </c>
      <c r="P106" s="3">
        <f t="shared" si="37"/>
        <v>925.5809999999999</v>
      </c>
      <c r="Q106" s="3">
        <f t="shared" si="38"/>
        <v>97.661999999999992</v>
      </c>
      <c r="R106" s="1">
        <f t="shared" si="39"/>
        <v>111.999</v>
      </c>
      <c r="V106" s="124"/>
      <c r="W106" s="80"/>
    </row>
    <row r="107" spans="1:23" ht="15" x14ac:dyDescent="0.15">
      <c r="A107" s="14" t="s">
        <v>39</v>
      </c>
      <c r="B107" s="16">
        <v>10.962</v>
      </c>
      <c r="C107" s="14">
        <v>0.40200000000000002</v>
      </c>
      <c r="D107" s="14">
        <v>13.935</v>
      </c>
      <c r="E107" s="14">
        <v>54.24</v>
      </c>
      <c r="F107" s="14">
        <v>5.6189999999999998</v>
      </c>
      <c r="G107" s="14">
        <v>198.976</v>
      </c>
      <c r="H107" s="14">
        <v>117.52500000000001</v>
      </c>
      <c r="I107" s="14">
        <v>705.024</v>
      </c>
      <c r="J107" s="14">
        <v>464.36699999999996</v>
      </c>
      <c r="K107" s="14">
        <v>134.45099999999999</v>
      </c>
      <c r="L107" s="14">
        <v>16.902000000000001</v>
      </c>
      <c r="M107" s="14">
        <v>3.681</v>
      </c>
      <c r="N107" s="14">
        <f t="shared" si="35"/>
        <v>1726.0840000000001</v>
      </c>
      <c r="O107" s="72">
        <f t="shared" si="36"/>
        <v>1081.384</v>
      </c>
      <c r="P107" s="3">
        <f t="shared" si="37"/>
        <v>1545.751</v>
      </c>
      <c r="Q107" s="3">
        <f t="shared" si="38"/>
        <v>27.942</v>
      </c>
      <c r="R107" s="1">
        <f t="shared" si="39"/>
        <v>32.667000000000002</v>
      </c>
      <c r="S107" s="1"/>
      <c r="T107" s="9"/>
      <c r="V107" s="124"/>
      <c r="W107" s="80"/>
    </row>
    <row r="108" spans="1:23" ht="15" x14ac:dyDescent="0.15">
      <c r="A108" s="14" t="s">
        <v>40</v>
      </c>
      <c r="B108" s="16">
        <v>7.359</v>
      </c>
      <c r="C108" s="14">
        <v>1.3</v>
      </c>
      <c r="D108" s="14">
        <v>3.4249999999999998</v>
      </c>
      <c r="E108" s="14">
        <v>64.915000000000006</v>
      </c>
      <c r="F108" s="14">
        <v>4.6400000000000006</v>
      </c>
      <c r="G108" s="14">
        <v>40.645000000000003</v>
      </c>
      <c r="H108" s="14">
        <v>51.234999999999999</v>
      </c>
      <c r="I108" s="14">
        <v>173.73000000000002</v>
      </c>
      <c r="J108" s="14">
        <v>179.13600000000002</v>
      </c>
      <c r="K108" s="14">
        <v>54.966000000000001</v>
      </c>
      <c r="L108" s="14">
        <v>24.591000000000001</v>
      </c>
      <c r="M108" s="14">
        <v>7.0289999999999999</v>
      </c>
      <c r="N108" s="14">
        <f t="shared" ref="N108:N118" si="40">SUM(B108:M108)</f>
        <v>612.971</v>
      </c>
      <c r="O108" s="72">
        <f t="shared" si="36"/>
        <v>335.16500000000002</v>
      </c>
      <c r="P108" s="3">
        <f t="shared" si="37"/>
        <v>514.30100000000004</v>
      </c>
      <c r="Q108" s="3">
        <f t="shared" si="38"/>
        <v>32.826000000000001</v>
      </c>
      <c r="R108" s="1">
        <f t="shared" si="39"/>
        <v>165.57899999999998</v>
      </c>
      <c r="S108" s="1"/>
      <c r="T108" s="9"/>
      <c r="V108" s="124"/>
      <c r="W108" s="80"/>
    </row>
    <row r="109" spans="1:23" ht="15" x14ac:dyDescent="0.15">
      <c r="A109" s="14" t="s">
        <v>41</v>
      </c>
      <c r="B109" s="16">
        <v>1.206</v>
      </c>
      <c r="C109" s="14">
        <v>4.0529999999999999</v>
      </c>
      <c r="D109" s="14">
        <v>128.69999999999999</v>
      </c>
      <c r="E109" s="14">
        <v>131.46</v>
      </c>
      <c r="F109" s="14">
        <v>2.7450000000000001</v>
      </c>
      <c r="G109" s="14">
        <v>6.0780000000000003</v>
      </c>
      <c r="H109" s="14">
        <v>126.426</v>
      </c>
      <c r="I109" s="14">
        <v>717</v>
      </c>
      <c r="J109" s="14">
        <v>30.314999999999998</v>
      </c>
      <c r="K109" s="14">
        <v>8.5410000000000004</v>
      </c>
      <c r="L109" s="14">
        <v>7.65</v>
      </c>
      <c r="M109" s="14">
        <v>18.807000000000002</v>
      </c>
      <c r="N109" s="14">
        <f t="shared" si="40"/>
        <v>1182.981</v>
      </c>
      <c r="O109" s="72">
        <f t="shared" si="36"/>
        <v>983.70900000000006</v>
      </c>
      <c r="P109" s="3">
        <f t="shared" ref="P109:P114" si="41">E109+F109+G109+H109+I109+J109</f>
        <v>1014.0240000000001</v>
      </c>
      <c r="Q109" s="3">
        <f t="shared" ref="Q109:Q114" si="42">L109+M109+B110</f>
        <v>38.337000000000003</v>
      </c>
      <c r="R109" s="1">
        <f t="shared" si="39"/>
        <v>205.881</v>
      </c>
      <c r="V109" s="124"/>
      <c r="W109" s="81"/>
    </row>
    <row r="110" spans="1:23" ht="15" x14ac:dyDescent="0.15">
      <c r="A110" s="14" t="s">
        <v>45</v>
      </c>
      <c r="B110" s="16">
        <v>11.88</v>
      </c>
      <c r="C110" s="14">
        <v>14.604000000000001</v>
      </c>
      <c r="D110" s="14">
        <v>152.94</v>
      </c>
      <c r="E110" s="14">
        <v>156</v>
      </c>
      <c r="F110" s="14">
        <v>571.15200000000004</v>
      </c>
      <c r="G110" s="14">
        <v>134.59800000000001</v>
      </c>
      <c r="H110" s="14">
        <v>38.786999999999999</v>
      </c>
      <c r="I110" s="14">
        <v>443.09100000000001</v>
      </c>
      <c r="J110" s="14">
        <v>85.730999999999995</v>
      </c>
      <c r="K110" s="14">
        <v>1168.26</v>
      </c>
      <c r="L110" s="14">
        <v>945.39300000000003</v>
      </c>
      <c r="M110" s="14">
        <v>5.8860000000000001</v>
      </c>
      <c r="N110" s="14">
        <f t="shared" si="40"/>
        <v>3728.3220000000001</v>
      </c>
      <c r="O110" s="72">
        <f t="shared" si="36"/>
        <v>1343.6280000000002</v>
      </c>
      <c r="P110" s="3">
        <f t="shared" si="41"/>
        <v>1429.3590000000002</v>
      </c>
      <c r="Q110" s="3">
        <f t="shared" si="42"/>
        <v>1000.2089999999999</v>
      </c>
      <c r="R110" s="1">
        <f t="shared" si="39"/>
        <v>1244.6489999999999</v>
      </c>
      <c r="V110" s="124"/>
      <c r="W110" s="85"/>
    </row>
    <row r="111" spans="1:23" ht="15" x14ac:dyDescent="0.15">
      <c r="A111" s="14" t="s">
        <v>46</v>
      </c>
      <c r="B111" s="14">
        <v>48.93</v>
      </c>
      <c r="C111" s="14">
        <v>3.0779999999999998</v>
      </c>
      <c r="D111" s="14">
        <v>241.36199999999999</v>
      </c>
      <c r="E111" s="14">
        <v>481.01099999999997</v>
      </c>
      <c r="F111" s="14">
        <v>136.59300000000002</v>
      </c>
      <c r="G111" s="14">
        <v>50.783999999999999</v>
      </c>
      <c r="H111" s="14">
        <v>256.08600000000001</v>
      </c>
      <c r="I111" s="14">
        <v>485.39700000000005</v>
      </c>
      <c r="J111" s="14">
        <v>202.071</v>
      </c>
      <c r="K111" s="14">
        <v>35.436</v>
      </c>
      <c r="L111" s="14">
        <v>17.463000000000001</v>
      </c>
      <c r="M111" s="14">
        <v>1.44</v>
      </c>
      <c r="N111" s="14">
        <f t="shared" si="40"/>
        <v>1959.6509999999998</v>
      </c>
      <c r="O111" s="72">
        <f t="shared" si="36"/>
        <v>1409.8710000000001</v>
      </c>
      <c r="P111" s="3">
        <f t="shared" si="41"/>
        <v>1611.942</v>
      </c>
      <c r="Q111" s="3">
        <f t="shared" si="42"/>
        <v>26.967000000000002</v>
      </c>
      <c r="R111" s="1">
        <f t="shared" ref="R111:R119" si="43">L111+M111+B112+C112+D112</f>
        <v>335.91300000000001</v>
      </c>
      <c r="V111" s="124"/>
      <c r="W111" s="85"/>
    </row>
    <row r="112" spans="1:23" ht="15" x14ac:dyDescent="0.15">
      <c r="A112" s="14" t="s">
        <v>57</v>
      </c>
      <c r="B112" s="14">
        <v>8.0640000000000001</v>
      </c>
      <c r="C112" s="14">
        <v>16.295999999999999</v>
      </c>
      <c r="D112" s="14">
        <v>292.64999999999998</v>
      </c>
      <c r="E112" s="14">
        <v>9.2460000000000004</v>
      </c>
      <c r="F112" s="14">
        <v>42.627000000000002</v>
      </c>
      <c r="G112" s="14">
        <v>173.54400000000001</v>
      </c>
      <c r="H112" s="14">
        <v>214.971</v>
      </c>
      <c r="I112" s="14">
        <v>625.29299999999989</v>
      </c>
      <c r="J112" s="14">
        <v>478.64400000000001</v>
      </c>
      <c r="K112" s="14">
        <v>248.82900000000001</v>
      </c>
      <c r="L112" s="14">
        <v>41.363999999999997</v>
      </c>
      <c r="M112" s="14">
        <v>88.010999999999996</v>
      </c>
      <c r="N112" s="14">
        <f t="shared" si="40"/>
        <v>2239.5389999999998</v>
      </c>
      <c r="O112" s="72">
        <f t="shared" si="36"/>
        <v>1065.681</v>
      </c>
      <c r="P112" s="3">
        <f t="shared" si="41"/>
        <v>1544.325</v>
      </c>
      <c r="Q112" s="3">
        <f t="shared" si="42"/>
        <v>158.98500000000001</v>
      </c>
      <c r="R112" s="1">
        <f t="shared" si="43"/>
        <v>410.77200000000005</v>
      </c>
      <c r="V112" s="124"/>
      <c r="W112" s="85"/>
    </row>
    <row r="113" spans="1:23" ht="15" x14ac:dyDescent="0.15">
      <c r="A113" s="14" t="s">
        <v>92</v>
      </c>
      <c r="B113" s="14">
        <v>29.61</v>
      </c>
      <c r="C113" s="14">
        <v>107.556</v>
      </c>
      <c r="D113" s="14">
        <v>144.23100000000002</v>
      </c>
      <c r="E113" s="14">
        <v>74.759999999999991</v>
      </c>
      <c r="F113" s="14">
        <v>178.227</v>
      </c>
      <c r="G113" s="14">
        <v>96.49799999999999</v>
      </c>
      <c r="H113" s="14">
        <v>132.642</v>
      </c>
      <c r="I113" s="14">
        <v>187.75200000000001</v>
      </c>
      <c r="J113" s="14">
        <v>679.25099999999998</v>
      </c>
      <c r="K113" s="14">
        <v>730.65300000000002</v>
      </c>
      <c r="L113" s="14">
        <v>27.081</v>
      </c>
      <c r="M113" s="14">
        <v>6.4619999999999997</v>
      </c>
      <c r="N113" s="14">
        <f t="shared" si="40"/>
        <v>2394.7230000000004</v>
      </c>
      <c r="O113" s="72">
        <f t="shared" si="36"/>
        <v>669.87900000000002</v>
      </c>
      <c r="P113" s="3">
        <f t="shared" si="41"/>
        <v>1349.13</v>
      </c>
      <c r="Q113" s="3">
        <f t="shared" si="42"/>
        <v>58.491</v>
      </c>
      <c r="R113" s="1">
        <f t="shared" si="43"/>
        <v>191.721</v>
      </c>
      <c r="V113" s="124"/>
      <c r="W113" s="85"/>
    </row>
    <row r="114" spans="1:23" ht="15" x14ac:dyDescent="0.15">
      <c r="A114" s="14" t="s">
        <v>103</v>
      </c>
      <c r="B114" s="14">
        <v>24.948</v>
      </c>
      <c r="C114" s="14">
        <v>71.543999999999997</v>
      </c>
      <c r="D114" s="14">
        <v>61.686</v>
      </c>
      <c r="E114" s="14">
        <v>18.489000000000001</v>
      </c>
      <c r="F114" s="14">
        <v>435.71999999999997</v>
      </c>
      <c r="G114" s="14">
        <v>190.33799999999999</v>
      </c>
      <c r="H114" s="14">
        <v>23.82</v>
      </c>
      <c r="I114" s="14">
        <v>627.399</v>
      </c>
      <c r="J114" s="14">
        <v>731.274</v>
      </c>
      <c r="K114" s="14">
        <v>1373.7</v>
      </c>
      <c r="L114" s="14">
        <v>356.339</v>
      </c>
      <c r="M114" s="14">
        <v>21.581</v>
      </c>
      <c r="N114" s="14">
        <f t="shared" si="40"/>
        <v>3936.8379999999997</v>
      </c>
      <c r="O114" s="72">
        <f t="shared" si="36"/>
        <v>1295.7660000000001</v>
      </c>
      <c r="P114" s="3">
        <f t="shared" si="41"/>
        <v>2027.04</v>
      </c>
      <c r="Q114" s="3">
        <f t="shared" si="42"/>
        <v>467.04100000000005</v>
      </c>
      <c r="R114" s="1">
        <f t="shared" si="43"/>
        <v>703.00900000000001</v>
      </c>
      <c r="V114" s="124"/>
      <c r="W114" s="85"/>
    </row>
    <row r="115" spans="1:23" ht="15" x14ac:dyDescent="0.15">
      <c r="A115" s="14" t="s">
        <v>120</v>
      </c>
      <c r="B115" s="14">
        <v>89.121000000000009</v>
      </c>
      <c r="C115" s="14">
        <v>184.50900000000001</v>
      </c>
      <c r="D115" s="14">
        <v>51.459000000000003</v>
      </c>
      <c r="E115" s="14">
        <v>208.74299999999999</v>
      </c>
      <c r="F115" s="14">
        <v>67.158000000000001</v>
      </c>
      <c r="G115" s="14">
        <v>460.59900000000005</v>
      </c>
      <c r="H115" s="14">
        <v>541.80600000000004</v>
      </c>
      <c r="I115" s="14">
        <v>1836.7469999999998</v>
      </c>
      <c r="J115" s="14">
        <v>2920.047</v>
      </c>
      <c r="K115" s="14">
        <v>1220.3220000000001</v>
      </c>
      <c r="L115" s="14">
        <v>144.417</v>
      </c>
      <c r="M115" s="14">
        <v>48.239999999999995</v>
      </c>
      <c r="N115" s="14">
        <f t="shared" si="40"/>
        <v>7773.1680000000006</v>
      </c>
      <c r="O115" s="72">
        <f t="shared" ref="O115:O120" si="44">E115+F115+G115+H115+I115</f>
        <v>3115.0529999999999</v>
      </c>
      <c r="P115" s="3">
        <f t="shared" ref="P115:P120" si="45">E115+F115+G115+H115+I115+J115</f>
        <v>6035.1</v>
      </c>
      <c r="Q115" s="3">
        <f t="shared" ref="Q115:Q120" si="46">L115+M115+B116</f>
        <v>295.98699999999997</v>
      </c>
      <c r="R115" s="1">
        <f t="shared" si="43"/>
        <v>680.35299999999995</v>
      </c>
      <c r="W115" s="85"/>
    </row>
    <row r="116" spans="1:23" ht="15" x14ac:dyDescent="0.15">
      <c r="A116" s="14" t="s">
        <v>129</v>
      </c>
      <c r="B116" s="14">
        <v>103.33</v>
      </c>
      <c r="C116" s="14">
        <v>105.288</v>
      </c>
      <c r="D116" s="14">
        <v>279.07799999999997</v>
      </c>
      <c r="E116" s="14">
        <v>225.54900000000001</v>
      </c>
      <c r="F116" s="14">
        <v>879.45600000000002</v>
      </c>
      <c r="G116" s="14">
        <v>87.074999999999989</v>
      </c>
      <c r="H116" s="14">
        <v>283.96199999999999</v>
      </c>
      <c r="I116" s="14">
        <v>630.58500000000004</v>
      </c>
      <c r="J116" s="14">
        <v>1731.5040000000001</v>
      </c>
      <c r="K116" s="14">
        <v>1366.413</v>
      </c>
      <c r="L116" s="14">
        <v>863.85599999999999</v>
      </c>
      <c r="M116" s="14">
        <v>899.80200000000002</v>
      </c>
      <c r="N116" s="14">
        <f t="shared" si="40"/>
        <v>7455.8979999999992</v>
      </c>
      <c r="O116" s="72">
        <f t="shared" si="44"/>
        <v>2106.6270000000004</v>
      </c>
      <c r="P116" s="3">
        <f t="shared" si="45"/>
        <v>3838.1310000000003</v>
      </c>
      <c r="Q116" s="3">
        <f t="shared" si="46"/>
        <v>1781.646</v>
      </c>
      <c r="R116" s="1">
        <f t="shared" si="43"/>
        <v>2145.3119999999999</v>
      </c>
      <c r="W116" s="85"/>
    </row>
    <row r="117" spans="1:23" ht="15" x14ac:dyDescent="0.15">
      <c r="A117" s="14" t="s">
        <v>137</v>
      </c>
      <c r="B117" s="14">
        <v>17.988</v>
      </c>
      <c r="C117" s="14">
        <v>301.33199999999999</v>
      </c>
      <c r="D117" s="14">
        <v>62.334000000000003</v>
      </c>
      <c r="E117" s="14">
        <v>56.862000000000002</v>
      </c>
      <c r="F117" s="14">
        <v>385.029</v>
      </c>
      <c r="G117" s="14">
        <v>408.48299999999995</v>
      </c>
      <c r="H117" s="14">
        <v>778.19100000000003</v>
      </c>
      <c r="I117" s="14">
        <v>718.34400000000005</v>
      </c>
      <c r="J117" s="14">
        <v>1077.402</v>
      </c>
      <c r="K117" s="14">
        <v>285.71699999999998</v>
      </c>
      <c r="L117" s="14">
        <v>1394.1479999999999</v>
      </c>
      <c r="M117" s="14">
        <v>40.575000000000003</v>
      </c>
      <c r="N117" s="14">
        <f t="shared" si="40"/>
        <v>5526.4049999999997</v>
      </c>
      <c r="O117" s="72">
        <f t="shared" si="44"/>
        <v>2346.9090000000001</v>
      </c>
      <c r="P117" s="3">
        <f t="shared" si="45"/>
        <v>3424.3110000000001</v>
      </c>
      <c r="Q117" s="3">
        <f t="shared" si="46"/>
        <v>1448.511</v>
      </c>
      <c r="R117" s="1">
        <f t="shared" si="43"/>
        <v>1693.999</v>
      </c>
      <c r="W117" s="85"/>
    </row>
    <row r="118" spans="1:23" ht="15" x14ac:dyDescent="0.15">
      <c r="A118" s="14" t="s">
        <v>140</v>
      </c>
      <c r="B118" s="14">
        <v>13.788</v>
      </c>
      <c r="C118" s="14">
        <v>165.53399999999999</v>
      </c>
      <c r="D118" s="14">
        <v>79.954000000000008</v>
      </c>
      <c r="E118" s="14">
        <v>372.67200000000003</v>
      </c>
      <c r="F118" s="14">
        <v>233.51399999999998</v>
      </c>
      <c r="G118" s="14">
        <v>409.899</v>
      </c>
      <c r="H118" s="14">
        <v>36.521999999999998</v>
      </c>
      <c r="I118" s="14">
        <v>52.631999999999998</v>
      </c>
      <c r="J118" s="14">
        <v>332.30999999999995</v>
      </c>
      <c r="K118" s="14">
        <v>2111.4059999999999</v>
      </c>
      <c r="L118" s="14">
        <v>3153.8339999999998</v>
      </c>
      <c r="M118" s="14">
        <v>2002.1789999999999</v>
      </c>
      <c r="N118" s="14">
        <f t="shared" si="40"/>
        <v>8964.2439999999988</v>
      </c>
      <c r="O118" s="72">
        <f t="shared" si="44"/>
        <v>1105.239</v>
      </c>
      <c r="P118" s="3">
        <f t="shared" si="45"/>
        <v>1437.549</v>
      </c>
      <c r="Q118" s="3">
        <f t="shared" si="46"/>
        <v>5812.6120000000001</v>
      </c>
      <c r="R118" s="1">
        <f t="shared" si="43"/>
        <v>8745.4710000000014</v>
      </c>
      <c r="W118" s="85"/>
    </row>
    <row r="119" spans="1:23" ht="15" x14ac:dyDescent="0.15">
      <c r="A119" s="14" t="s">
        <v>143</v>
      </c>
      <c r="B119" s="14">
        <v>656.59900000000005</v>
      </c>
      <c r="C119" s="14">
        <v>301.827</v>
      </c>
      <c r="D119" s="14">
        <v>2631.0320000000002</v>
      </c>
      <c r="E119" s="14">
        <v>2190.549</v>
      </c>
      <c r="F119" s="14">
        <v>1214.5140000000001</v>
      </c>
      <c r="G119" s="14">
        <v>1331.67</v>
      </c>
      <c r="H119" s="14">
        <v>2453.5349999999999</v>
      </c>
      <c r="I119" s="14">
        <v>625.27200000000005</v>
      </c>
      <c r="J119" s="14">
        <v>225.53099999999998</v>
      </c>
      <c r="K119" s="14">
        <v>685.923</v>
      </c>
      <c r="L119" s="14">
        <v>2935.4580000000001</v>
      </c>
      <c r="M119" s="14">
        <v>2860.4580000000001</v>
      </c>
      <c r="N119" s="14">
        <f>SUM(B119:M119)</f>
        <v>18112.368000000002</v>
      </c>
      <c r="O119" s="72">
        <f t="shared" si="44"/>
        <v>7815.54</v>
      </c>
      <c r="P119" s="3">
        <f t="shared" si="45"/>
        <v>8041.0709999999999</v>
      </c>
      <c r="Q119" s="3">
        <f t="shared" si="46"/>
        <v>6765.3600000000006</v>
      </c>
      <c r="R119" s="1">
        <f t="shared" si="43"/>
        <v>9069.1409999999996</v>
      </c>
      <c r="W119" s="85"/>
    </row>
    <row r="120" spans="1:23" ht="15" x14ac:dyDescent="0.15">
      <c r="A120" s="14" t="s">
        <v>149</v>
      </c>
      <c r="B120" s="14">
        <v>969.44399999999996</v>
      </c>
      <c r="C120" s="14">
        <v>1369.0440000000001</v>
      </c>
      <c r="D120" s="14">
        <v>934.73699999999997</v>
      </c>
      <c r="E120" s="14">
        <v>45.066000000000003</v>
      </c>
      <c r="F120" s="14">
        <v>85.365000000000009</v>
      </c>
      <c r="G120" s="14">
        <v>142.44299999999998</v>
      </c>
      <c r="H120" s="14">
        <v>1632.6870000000001</v>
      </c>
      <c r="I120" s="14">
        <v>1408.0620000000001</v>
      </c>
      <c r="J120" s="23">
        <v>1336.0620000000001</v>
      </c>
      <c r="K120" s="23">
        <v>468.45000000000005</v>
      </c>
      <c r="L120" s="23">
        <v>1878.7620000000002</v>
      </c>
      <c r="M120" s="23">
        <v>449.21699999999998</v>
      </c>
      <c r="N120" s="14">
        <f>SUM(B120:M120)</f>
        <v>10719.339000000002</v>
      </c>
      <c r="O120" s="72">
        <f t="shared" si="44"/>
        <v>3313.6230000000005</v>
      </c>
      <c r="P120" s="3">
        <f t="shared" si="45"/>
        <v>4649.6850000000004</v>
      </c>
      <c r="Q120" s="154">
        <f t="shared" si="46"/>
        <v>2387.7210000000005</v>
      </c>
      <c r="R120" s="20">
        <f t="shared" ref="R120" si="47">L120+M120+B121+C121+D121</f>
        <v>2387.7210000000005</v>
      </c>
      <c r="W120" s="85"/>
    </row>
    <row r="121" spans="1:23" ht="15" x14ac:dyDescent="0.15">
      <c r="A121" s="14" t="s">
        <v>158</v>
      </c>
      <c r="B121" s="23">
        <v>59.741999999999997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>
        <f>SUM(B121:M121)</f>
        <v>59.741999999999997</v>
      </c>
      <c r="O121" s="160"/>
      <c r="P121" s="154"/>
      <c r="Q121" s="3"/>
      <c r="R121" s="1"/>
      <c r="W121" s="85"/>
    </row>
    <row r="122" spans="1:23" ht="15" x14ac:dyDescent="0.15">
      <c r="A122" s="15"/>
      <c r="B122" s="17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24">
        <f>AVERAGE(O116:O120)</f>
        <v>3337.5875999999998</v>
      </c>
      <c r="P122" s="24">
        <f>AVERAGE(P116:P120)</f>
        <v>4278.1494000000002</v>
      </c>
      <c r="Q122" s="24">
        <f>AVERAGE(Q115:Q119)</f>
        <v>3220.8231999999998</v>
      </c>
      <c r="R122" s="24">
        <f>AVERAGE(R115:R119)</f>
        <v>4466.8552</v>
      </c>
      <c r="W122" s="85"/>
    </row>
    <row r="123" spans="1:23" ht="15" x14ac:dyDescent="0.15">
      <c r="A123" s="4" t="s">
        <v>138</v>
      </c>
      <c r="M123" s="4" t="s">
        <v>3</v>
      </c>
      <c r="W123" s="85"/>
    </row>
    <row r="124" spans="1:23" ht="15" x14ac:dyDescent="0.15">
      <c r="A124" s="8"/>
      <c r="B124" s="8" t="s">
        <v>4</v>
      </c>
      <c r="C124" s="8" t="s">
        <v>5</v>
      </c>
      <c r="D124" s="8" t="s">
        <v>6</v>
      </c>
      <c r="E124" s="8" t="s">
        <v>7</v>
      </c>
      <c r="F124" s="8" t="s">
        <v>8</v>
      </c>
      <c r="G124" s="8" t="s">
        <v>9</v>
      </c>
      <c r="H124" s="8" t="s">
        <v>10</v>
      </c>
      <c r="I124" s="8" t="s">
        <v>11</v>
      </c>
      <c r="J124" s="8" t="s">
        <v>12</v>
      </c>
      <c r="K124" s="8" t="s">
        <v>13</v>
      </c>
      <c r="L124" s="8" t="s">
        <v>14</v>
      </c>
      <c r="M124" s="8" t="s">
        <v>15</v>
      </c>
      <c r="N124" s="8" t="s">
        <v>16</v>
      </c>
      <c r="W124" s="85"/>
    </row>
    <row r="125" spans="1:23" ht="15" x14ac:dyDescent="0.15">
      <c r="A125" s="8" t="s">
        <v>17</v>
      </c>
      <c r="B125" s="8">
        <v>0</v>
      </c>
      <c r="C125" s="8">
        <v>1</v>
      </c>
      <c r="D125" s="8">
        <v>0</v>
      </c>
      <c r="E125" s="8">
        <v>0</v>
      </c>
      <c r="F125" s="8">
        <v>13.5</v>
      </c>
      <c r="G125" s="8">
        <v>9.6999999999999993</v>
      </c>
      <c r="H125" s="8">
        <v>1.2</v>
      </c>
      <c r="I125" s="8">
        <v>13.6</v>
      </c>
      <c r="J125" s="8">
        <v>1.5</v>
      </c>
      <c r="K125" s="8">
        <v>0</v>
      </c>
      <c r="L125" s="8">
        <v>71.2</v>
      </c>
      <c r="M125" s="8">
        <v>124.1</v>
      </c>
      <c r="N125" s="8">
        <f>SUM(B125:M125)</f>
        <v>235.8</v>
      </c>
      <c r="W125" s="86"/>
    </row>
    <row r="126" spans="1:23" ht="15" x14ac:dyDescent="0.15">
      <c r="A126" s="8" t="s">
        <v>18</v>
      </c>
      <c r="B126" s="8">
        <v>71.7</v>
      </c>
      <c r="C126" s="8">
        <v>0.9</v>
      </c>
      <c r="D126" s="8">
        <v>7</v>
      </c>
      <c r="E126" s="8">
        <v>75.3</v>
      </c>
      <c r="F126" s="8">
        <v>27.8</v>
      </c>
      <c r="G126" s="8">
        <v>1.6</v>
      </c>
      <c r="H126" s="8">
        <v>14.7</v>
      </c>
      <c r="I126" s="8">
        <v>27.3</v>
      </c>
      <c r="J126" s="8">
        <v>21.5</v>
      </c>
      <c r="K126" s="8">
        <v>18</v>
      </c>
      <c r="L126" s="8">
        <v>6.4</v>
      </c>
      <c r="M126" s="8">
        <v>0</v>
      </c>
      <c r="N126" s="8">
        <f t="shared" ref="N126:N136" si="48">SUM(B126:M126)</f>
        <v>272.2</v>
      </c>
      <c r="W126" s="86"/>
    </row>
    <row r="127" spans="1:23" ht="15" x14ac:dyDescent="0.15">
      <c r="A127" s="8" t="s">
        <v>19</v>
      </c>
      <c r="B127" s="8">
        <v>0</v>
      </c>
      <c r="C127" s="8">
        <v>0.6</v>
      </c>
      <c r="D127" s="8">
        <v>0</v>
      </c>
      <c r="E127" s="8">
        <v>32.5</v>
      </c>
      <c r="F127" s="8">
        <v>27</v>
      </c>
      <c r="G127" s="8">
        <v>10.199999999999999</v>
      </c>
      <c r="H127" s="8">
        <v>72</v>
      </c>
      <c r="I127" s="8">
        <v>147.30000000000001</v>
      </c>
      <c r="J127" s="8">
        <v>0.7</v>
      </c>
      <c r="K127" s="8">
        <v>0</v>
      </c>
      <c r="L127" s="8">
        <v>0</v>
      </c>
      <c r="M127" s="8">
        <v>1.6</v>
      </c>
      <c r="N127" s="8">
        <f t="shared" si="48"/>
        <v>291.90000000000003</v>
      </c>
      <c r="W127" s="86"/>
    </row>
    <row r="128" spans="1:23" ht="15" x14ac:dyDescent="0.15">
      <c r="A128" s="8" t="s">
        <v>20</v>
      </c>
      <c r="B128" s="8">
        <v>0</v>
      </c>
      <c r="C128" s="8">
        <v>3.9</v>
      </c>
      <c r="D128" s="8">
        <v>0</v>
      </c>
      <c r="E128" s="8">
        <v>0</v>
      </c>
      <c r="F128" s="8">
        <v>2</v>
      </c>
      <c r="G128" s="8">
        <v>5</v>
      </c>
      <c r="H128" s="8">
        <v>116</v>
      </c>
      <c r="I128" s="8">
        <v>379.6</v>
      </c>
      <c r="J128" s="8">
        <v>46.3</v>
      </c>
      <c r="K128" s="8">
        <v>2.2999999999999998</v>
      </c>
      <c r="L128" s="8">
        <v>0</v>
      </c>
      <c r="M128" s="8">
        <v>0.3</v>
      </c>
      <c r="N128" s="8">
        <f t="shared" si="48"/>
        <v>555.39999999999986</v>
      </c>
      <c r="W128" s="86"/>
    </row>
    <row r="129" spans="1:31" x14ac:dyDescent="0.15">
      <c r="A129" s="8" t="s">
        <v>21</v>
      </c>
      <c r="B129" s="8">
        <v>31</v>
      </c>
      <c r="C129" s="8">
        <v>7.8</v>
      </c>
      <c r="D129" s="8">
        <v>348.5</v>
      </c>
      <c r="E129" s="8">
        <v>157.9</v>
      </c>
      <c r="F129" s="8">
        <v>1205.7</v>
      </c>
      <c r="G129" s="8">
        <v>4</v>
      </c>
      <c r="H129" s="8">
        <v>56.2</v>
      </c>
      <c r="I129" s="8">
        <v>93.1</v>
      </c>
      <c r="J129" s="8">
        <v>125.8</v>
      </c>
      <c r="K129" s="8">
        <v>0</v>
      </c>
      <c r="L129" s="8">
        <v>0</v>
      </c>
      <c r="M129" s="8">
        <v>1.1000000000000001</v>
      </c>
      <c r="N129" s="8">
        <f t="shared" si="48"/>
        <v>2031.1</v>
      </c>
    </row>
    <row r="130" spans="1:31" x14ac:dyDescent="0.15">
      <c r="A130" s="8" t="s">
        <v>22</v>
      </c>
      <c r="B130" s="8">
        <v>9.5</v>
      </c>
      <c r="C130" s="8">
        <v>18.8</v>
      </c>
      <c r="D130" s="8">
        <v>0</v>
      </c>
      <c r="E130" s="8">
        <v>0</v>
      </c>
      <c r="F130" s="8">
        <v>1.2</v>
      </c>
      <c r="G130" s="8">
        <v>31.2</v>
      </c>
      <c r="H130" s="8">
        <v>163.9</v>
      </c>
      <c r="I130" s="8">
        <v>229.3</v>
      </c>
      <c r="J130" s="8">
        <v>62.3</v>
      </c>
      <c r="K130" s="8">
        <v>86.6</v>
      </c>
      <c r="L130" s="8">
        <v>122.6</v>
      </c>
      <c r="M130" s="8">
        <v>0.5</v>
      </c>
      <c r="N130" s="8">
        <f t="shared" si="48"/>
        <v>725.90000000000009</v>
      </c>
      <c r="O130" s="4" t="s">
        <v>43</v>
      </c>
      <c r="P130" s="4" t="s">
        <v>82</v>
      </c>
      <c r="Q130" s="4" t="s">
        <v>83</v>
      </c>
      <c r="R130" s="4" t="s">
        <v>85</v>
      </c>
    </row>
    <row r="131" spans="1:31" x14ac:dyDescent="0.15">
      <c r="A131" s="8" t="s">
        <v>23</v>
      </c>
      <c r="B131" s="8">
        <v>2.4</v>
      </c>
      <c r="C131" s="8">
        <v>2</v>
      </c>
      <c r="D131" s="8">
        <v>49</v>
      </c>
      <c r="E131" s="8">
        <v>0</v>
      </c>
      <c r="F131" s="8">
        <v>0</v>
      </c>
      <c r="G131" s="8">
        <v>4.9000000000000004</v>
      </c>
      <c r="H131" s="8">
        <v>91.8</v>
      </c>
      <c r="I131" s="8">
        <v>68.5</v>
      </c>
      <c r="J131" s="8">
        <v>19.8</v>
      </c>
      <c r="K131" s="8">
        <v>0</v>
      </c>
      <c r="L131" s="8">
        <v>28.9</v>
      </c>
      <c r="M131" s="8">
        <v>0</v>
      </c>
      <c r="N131" s="8">
        <f t="shared" si="48"/>
        <v>267.3</v>
      </c>
      <c r="O131" s="3">
        <f t="shared" ref="O131:O139" si="49">E131+F131+G131+H131+I131</f>
        <v>165.2</v>
      </c>
      <c r="P131" s="3">
        <f>E131+F131+G131+H131+I131+J131</f>
        <v>185</v>
      </c>
      <c r="Q131" s="3">
        <f>L131+M131+B132</f>
        <v>31.099999999999998</v>
      </c>
      <c r="R131" s="1">
        <f>L131+M131+B132+C132+D132</f>
        <v>50.599999999999994</v>
      </c>
    </row>
    <row r="132" spans="1:31" x14ac:dyDescent="0.15">
      <c r="A132" s="8" t="s">
        <v>32</v>
      </c>
      <c r="B132" s="8">
        <v>2.2000000000000002</v>
      </c>
      <c r="C132" s="8">
        <v>0.2</v>
      </c>
      <c r="D132" s="8">
        <v>19.3</v>
      </c>
      <c r="E132" s="8">
        <v>24.6</v>
      </c>
      <c r="F132" s="8">
        <v>0</v>
      </c>
      <c r="G132" s="8">
        <v>0</v>
      </c>
      <c r="H132" s="8">
        <v>24.7</v>
      </c>
      <c r="I132" s="8">
        <v>0.4</v>
      </c>
      <c r="J132" s="8">
        <v>11.4</v>
      </c>
      <c r="K132" s="8">
        <v>0</v>
      </c>
      <c r="L132" s="8">
        <v>0</v>
      </c>
      <c r="M132" s="8">
        <v>0.6</v>
      </c>
      <c r="N132" s="8">
        <f t="shared" si="48"/>
        <v>83.4</v>
      </c>
      <c r="O132" s="3">
        <f t="shared" si="49"/>
        <v>49.699999999999996</v>
      </c>
      <c r="P132" s="3">
        <f t="shared" ref="P132:P138" si="50">E132+F132+G132+H132+I132+J132</f>
        <v>61.099999999999994</v>
      </c>
      <c r="Q132" s="3">
        <f t="shared" ref="Q132:Q138" si="51">L132+M132+B133</f>
        <v>2</v>
      </c>
      <c r="R132" s="1">
        <f t="shared" ref="R132:R140" si="52">L132+M132+B133+C133+D133</f>
        <v>5.4</v>
      </c>
    </row>
    <row r="133" spans="1:31" x14ac:dyDescent="0.15">
      <c r="A133" s="8" t="s">
        <v>33</v>
      </c>
      <c r="B133" s="8">
        <v>1.4</v>
      </c>
      <c r="C133" s="8">
        <v>2.4</v>
      </c>
      <c r="D133" s="8">
        <v>1</v>
      </c>
      <c r="E133" s="8">
        <v>4.5</v>
      </c>
      <c r="F133" s="8">
        <v>11.3</v>
      </c>
      <c r="G133" s="8">
        <v>8.5</v>
      </c>
      <c r="H133" s="8"/>
      <c r="I133" s="8">
        <v>14.7</v>
      </c>
      <c r="J133" s="8">
        <v>9</v>
      </c>
      <c r="K133" s="8">
        <v>1.7</v>
      </c>
      <c r="L133" s="8">
        <v>158</v>
      </c>
      <c r="M133" s="8">
        <v>12.9</v>
      </c>
      <c r="N133" s="8">
        <f t="shared" si="48"/>
        <v>225.4</v>
      </c>
      <c r="O133" s="3">
        <f t="shared" si="49"/>
        <v>39</v>
      </c>
      <c r="P133" s="3">
        <f t="shared" si="50"/>
        <v>48</v>
      </c>
      <c r="Q133" s="3">
        <f t="shared" si="51"/>
        <v>182.8</v>
      </c>
      <c r="R133" s="1">
        <f t="shared" si="52"/>
        <v>189.60400000000001</v>
      </c>
    </row>
    <row r="134" spans="1:31" x14ac:dyDescent="0.15">
      <c r="A134" s="8" t="s">
        <v>34</v>
      </c>
      <c r="B134" s="8">
        <v>11.9</v>
      </c>
      <c r="C134" s="8">
        <v>6.6959999999999997</v>
      </c>
      <c r="D134" s="8">
        <v>0.108</v>
      </c>
      <c r="E134" s="8">
        <v>21.3</v>
      </c>
      <c r="F134" s="8">
        <v>7.2</v>
      </c>
      <c r="G134" s="8">
        <v>8.6999999999999993</v>
      </c>
      <c r="H134" s="8">
        <v>334.2</v>
      </c>
      <c r="I134" s="8">
        <v>264.7</v>
      </c>
      <c r="J134" s="8">
        <v>523.70000000000005</v>
      </c>
      <c r="K134" s="8">
        <v>181.5</v>
      </c>
      <c r="L134" s="8">
        <v>55.3</v>
      </c>
      <c r="M134" s="8">
        <v>0.3</v>
      </c>
      <c r="N134" s="8">
        <f t="shared" si="48"/>
        <v>1415.6039999999998</v>
      </c>
      <c r="O134" s="3">
        <f t="shared" si="49"/>
        <v>636.09999999999991</v>
      </c>
      <c r="P134" s="3">
        <f t="shared" si="50"/>
        <v>1159.8</v>
      </c>
      <c r="Q134" s="3">
        <f t="shared" si="51"/>
        <v>93</v>
      </c>
      <c r="R134" s="1">
        <f t="shared" si="52"/>
        <v>285.10000000000002</v>
      </c>
    </row>
    <row r="135" spans="1:31" x14ac:dyDescent="0.15">
      <c r="A135" s="8" t="s">
        <v>35</v>
      </c>
      <c r="B135" s="8">
        <v>37.4</v>
      </c>
      <c r="C135" s="8">
        <v>112.1</v>
      </c>
      <c r="D135" s="8">
        <v>80</v>
      </c>
      <c r="E135" s="7">
        <v>0.2</v>
      </c>
      <c r="F135" s="7">
        <v>25.4</v>
      </c>
      <c r="G135" s="7">
        <v>71.477999999999994</v>
      </c>
      <c r="H135" s="7">
        <v>112.575</v>
      </c>
      <c r="I135" s="7">
        <v>563.84699999999998</v>
      </c>
      <c r="J135" s="8">
        <v>426.42</v>
      </c>
      <c r="K135" s="8">
        <v>285.63900000000001</v>
      </c>
      <c r="L135" s="8">
        <v>13.212</v>
      </c>
      <c r="M135" s="8">
        <v>32.22</v>
      </c>
      <c r="N135" s="8">
        <f t="shared" si="48"/>
        <v>1760.4910000000002</v>
      </c>
      <c r="O135" s="3">
        <f t="shared" si="49"/>
        <v>773.5</v>
      </c>
      <c r="P135" s="3">
        <f t="shared" si="50"/>
        <v>1199.92</v>
      </c>
      <c r="Q135" s="3">
        <f t="shared" si="51"/>
        <v>51.532000000000004</v>
      </c>
      <c r="R135" s="1">
        <f t="shared" si="52"/>
        <v>562.23199999999997</v>
      </c>
    </row>
    <row r="136" spans="1:31" x14ac:dyDescent="0.15">
      <c r="A136" s="8" t="s">
        <v>37</v>
      </c>
      <c r="B136" s="8">
        <v>6.1</v>
      </c>
      <c r="C136" s="8">
        <v>363.6</v>
      </c>
      <c r="D136" s="8">
        <v>147.1</v>
      </c>
      <c r="E136" s="7">
        <v>1.6</v>
      </c>
      <c r="F136" s="7">
        <v>2.5</v>
      </c>
      <c r="G136" s="7">
        <v>28.9</v>
      </c>
      <c r="H136" s="7">
        <v>129.5</v>
      </c>
      <c r="I136" s="7">
        <v>146</v>
      </c>
      <c r="J136" s="8">
        <v>8.4</v>
      </c>
      <c r="K136" s="8">
        <v>79</v>
      </c>
      <c r="L136" s="8">
        <v>84.1</v>
      </c>
      <c r="M136" s="8">
        <v>49.8</v>
      </c>
      <c r="N136" s="8">
        <f t="shared" si="48"/>
        <v>1046.6000000000001</v>
      </c>
      <c r="O136" s="3">
        <f t="shared" si="49"/>
        <v>308.5</v>
      </c>
      <c r="P136" s="3">
        <f t="shared" si="50"/>
        <v>316.89999999999998</v>
      </c>
      <c r="Q136" s="3">
        <f t="shared" si="51"/>
        <v>239.39999999999998</v>
      </c>
      <c r="R136" s="1">
        <f t="shared" si="52"/>
        <v>282.834</v>
      </c>
    </row>
    <row r="137" spans="1:31" x14ac:dyDescent="0.15">
      <c r="A137" s="8" t="s">
        <v>39</v>
      </c>
      <c r="B137" s="8">
        <v>105.5</v>
      </c>
      <c r="C137" s="8">
        <v>24.966000000000001</v>
      </c>
      <c r="D137" s="8">
        <v>18.468</v>
      </c>
      <c r="E137" s="7">
        <v>9.6660000000000004</v>
      </c>
      <c r="F137" s="7">
        <v>7.0380000000000003</v>
      </c>
      <c r="G137" s="7">
        <v>148.28399999999999</v>
      </c>
      <c r="H137" s="7">
        <v>176.148</v>
      </c>
      <c r="I137" s="7">
        <v>416.73599999999999</v>
      </c>
      <c r="J137" s="8">
        <v>574.99199999999996</v>
      </c>
      <c r="K137" s="8">
        <v>24.75</v>
      </c>
      <c r="L137" s="8">
        <v>8.5860000000000003</v>
      </c>
      <c r="M137" s="8">
        <v>2.448</v>
      </c>
      <c r="N137" s="8">
        <f t="shared" ref="N137:N142" si="53">SUM(B137:M137)</f>
        <v>1517.5820000000001</v>
      </c>
      <c r="O137" s="3">
        <f t="shared" si="49"/>
        <v>757.87199999999996</v>
      </c>
      <c r="P137" s="3">
        <f t="shared" si="50"/>
        <v>1332.864</v>
      </c>
      <c r="Q137" s="3">
        <f t="shared" si="51"/>
        <v>11.142000000000001</v>
      </c>
      <c r="R137" s="1">
        <f t="shared" si="52"/>
        <v>14.040000000000001</v>
      </c>
      <c r="S137" s="1"/>
      <c r="T137" s="9"/>
    </row>
    <row r="138" spans="1:31" x14ac:dyDescent="0.15">
      <c r="A138" s="8" t="s">
        <v>40</v>
      </c>
      <c r="B138" s="8">
        <v>0.108</v>
      </c>
      <c r="C138" s="8">
        <v>3.5999999999999997E-2</v>
      </c>
      <c r="D138" s="8">
        <v>2.8620000000000001</v>
      </c>
      <c r="E138" s="7">
        <v>25.11</v>
      </c>
      <c r="F138" s="7">
        <v>5.5620000000000003</v>
      </c>
      <c r="G138" s="7">
        <v>6.444</v>
      </c>
      <c r="H138" s="7">
        <v>19.602</v>
      </c>
      <c r="I138" s="7">
        <v>17.622</v>
      </c>
      <c r="J138" s="8">
        <v>133.524</v>
      </c>
      <c r="K138" s="8">
        <v>61.758000000000003</v>
      </c>
      <c r="L138" s="8">
        <v>103.248</v>
      </c>
      <c r="M138" s="8">
        <v>3.5999999999999997E-2</v>
      </c>
      <c r="N138" s="8">
        <f t="shared" si="53"/>
        <v>375.91199999999998</v>
      </c>
      <c r="O138" s="3">
        <f t="shared" si="49"/>
        <v>74.34</v>
      </c>
      <c r="P138" s="3">
        <f t="shared" si="50"/>
        <v>207.864</v>
      </c>
      <c r="Q138" s="3">
        <f t="shared" si="51"/>
        <v>103.914</v>
      </c>
      <c r="R138" s="1">
        <f t="shared" si="52"/>
        <v>126.95400000000001</v>
      </c>
      <c r="S138" s="1"/>
      <c r="T138" s="9"/>
    </row>
    <row r="139" spans="1:31" x14ac:dyDescent="0.15">
      <c r="A139" s="8" t="s">
        <v>41</v>
      </c>
      <c r="B139" s="8">
        <v>0.63</v>
      </c>
      <c r="C139" s="8">
        <v>9.0359999999999996</v>
      </c>
      <c r="D139" s="8">
        <v>14.004</v>
      </c>
      <c r="E139" s="7">
        <v>244.13399999999999</v>
      </c>
      <c r="F139" s="7">
        <v>94.14</v>
      </c>
      <c r="G139" s="7">
        <v>5.85</v>
      </c>
      <c r="H139" s="7">
        <v>138.744</v>
      </c>
      <c r="I139" s="7">
        <v>282.678</v>
      </c>
      <c r="J139" s="8">
        <v>113.526</v>
      </c>
      <c r="K139" s="8">
        <v>2.754</v>
      </c>
      <c r="L139" s="8">
        <v>46.314</v>
      </c>
      <c r="M139" s="8">
        <v>83.231999999999999</v>
      </c>
      <c r="N139" s="8">
        <f t="shared" si="53"/>
        <v>1035.0419999999999</v>
      </c>
      <c r="O139" s="3">
        <f t="shared" si="49"/>
        <v>765.54600000000005</v>
      </c>
      <c r="P139" s="3">
        <f t="shared" ref="P139:P144" si="54">E139+F139+G139+H139+I139+J139</f>
        <v>879.072</v>
      </c>
      <c r="Q139" s="3">
        <f t="shared" ref="Q139:Q144" si="55">L139+M139+B140</f>
        <v>133.66800000000001</v>
      </c>
      <c r="R139" s="1">
        <f t="shared" si="52"/>
        <v>543.20699999999999</v>
      </c>
      <c r="S139" s="1"/>
      <c r="T139" s="9"/>
    </row>
    <row r="140" spans="1:31" x14ac:dyDescent="0.15">
      <c r="A140" s="8" t="s">
        <v>45</v>
      </c>
      <c r="B140" s="8">
        <v>4.1219999999999999</v>
      </c>
      <c r="C140" s="8">
        <v>151.73099999999999</v>
      </c>
      <c r="D140" s="8">
        <v>257.80799999999999</v>
      </c>
      <c r="E140" s="7">
        <v>156.1035</v>
      </c>
      <c r="F140" s="7">
        <v>42.728999999999999</v>
      </c>
      <c r="G140" s="7">
        <v>12.999000000000001</v>
      </c>
      <c r="H140" s="7">
        <v>114.38249999999999</v>
      </c>
      <c r="I140" s="7">
        <v>39.334499999999998</v>
      </c>
      <c r="J140" s="8">
        <v>107.6985</v>
      </c>
      <c r="K140" s="8">
        <v>62.723999999999997</v>
      </c>
      <c r="L140" s="8">
        <v>0.252</v>
      </c>
      <c r="M140" s="8">
        <v>0</v>
      </c>
      <c r="N140" s="8">
        <f t="shared" si="53"/>
        <v>949.88400000000001</v>
      </c>
      <c r="O140" s="3">
        <f t="shared" ref="O140:O145" si="56">E140+F140+G140+H140+I140</f>
        <v>365.54849999999993</v>
      </c>
      <c r="P140" s="3">
        <f t="shared" si="54"/>
        <v>473.24699999999996</v>
      </c>
      <c r="Q140" s="3">
        <f t="shared" si="55"/>
        <v>349.35450000000003</v>
      </c>
      <c r="R140" s="1">
        <f t="shared" si="52"/>
        <v>399.15899999999999</v>
      </c>
      <c r="S140" s="1"/>
      <c r="T140" s="9"/>
    </row>
    <row r="141" spans="1:31" x14ac:dyDescent="0.15">
      <c r="A141" s="14" t="s">
        <v>46</v>
      </c>
      <c r="B141" s="14">
        <v>349.10250000000002</v>
      </c>
      <c r="C141" s="14">
        <v>45.736499999999999</v>
      </c>
      <c r="D141" s="14">
        <v>4.0679999999999996</v>
      </c>
      <c r="E141" s="14">
        <v>12.726000000000001</v>
      </c>
      <c r="F141" s="14">
        <v>15.615</v>
      </c>
      <c r="G141" s="14">
        <v>21.084</v>
      </c>
      <c r="H141" s="14">
        <v>5.2904999999999998</v>
      </c>
      <c r="I141" s="14">
        <v>30.202500000000001</v>
      </c>
      <c r="J141" s="14">
        <v>67.435500000000005</v>
      </c>
      <c r="K141" s="14">
        <v>56.488500000000002</v>
      </c>
      <c r="L141" s="14">
        <v>39.904499999999999</v>
      </c>
      <c r="M141" s="14">
        <v>16.542000000000002</v>
      </c>
      <c r="N141" s="8">
        <f t="shared" si="53"/>
        <v>664.19550000000004</v>
      </c>
      <c r="O141" s="3">
        <f t="shared" si="56"/>
        <v>84.918000000000006</v>
      </c>
      <c r="P141" s="3">
        <f t="shared" si="54"/>
        <v>152.3535</v>
      </c>
      <c r="Q141" s="3">
        <f t="shared" si="55"/>
        <v>168.624</v>
      </c>
      <c r="R141" s="1">
        <f t="shared" ref="R141:R147" si="57">L141+M141+B142+C142+D142</f>
        <v>531.54150000000004</v>
      </c>
      <c r="S141" s="1"/>
      <c r="T141" s="9"/>
    </row>
    <row r="142" spans="1:31" x14ac:dyDescent="0.15">
      <c r="A142" s="14" t="s">
        <v>57</v>
      </c>
      <c r="B142" s="14">
        <v>112.17749999999999</v>
      </c>
      <c r="C142" s="14">
        <v>67.44</v>
      </c>
      <c r="D142" s="14">
        <v>295.47750000000002</v>
      </c>
      <c r="E142" s="7">
        <v>1.7999999999999999E-2</v>
      </c>
      <c r="F142" s="7">
        <v>2.6280000000000001</v>
      </c>
      <c r="G142" s="7">
        <v>89.561999999999998</v>
      </c>
      <c r="H142" s="7">
        <v>49.170999999999999</v>
      </c>
      <c r="I142" s="7">
        <v>136.654</v>
      </c>
      <c r="J142" s="14">
        <v>11.382</v>
      </c>
      <c r="K142" s="14">
        <v>225.58500000000001</v>
      </c>
      <c r="L142" s="14">
        <v>809.654</v>
      </c>
      <c r="M142" s="14">
        <v>368.12200000000001</v>
      </c>
      <c r="N142" s="8">
        <f t="shared" si="53"/>
        <v>2167.8710000000001</v>
      </c>
      <c r="O142" s="3">
        <f t="shared" si="56"/>
        <v>278.03300000000002</v>
      </c>
      <c r="P142" s="3">
        <f t="shared" si="54"/>
        <v>289.41500000000002</v>
      </c>
      <c r="Q142" s="3">
        <f t="shared" si="55"/>
        <v>1327.1280000000002</v>
      </c>
      <c r="R142" s="1">
        <f t="shared" si="57"/>
        <v>1992.8860000000002</v>
      </c>
      <c r="S142" s="1"/>
      <c r="T142" s="9"/>
    </row>
    <row r="143" spans="1:31" x14ac:dyDescent="0.15">
      <c r="A143" s="14" t="s">
        <v>92</v>
      </c>
      <c r="B143" s="14">
        <v>149.352</v>
      </c>
      <c r="C143" s="14">
        <v>509.68</v>
      </c>
      <c r="D143" s="14">
        <v>156.078</v>
      </c>
      <c r="E143" s="14">
        <v>202.18049999999999</v>
      </c>
      <c r="F143" s="14">
        <v>246.99600000000001</v>
      </c>
      <c r="G143" s="14">
        <v>98.107500000000002</v>
      </c>
      <c r="H143" s="14">
        <v>41.2605</v>
      </c>
      <c r="I143" s="14">
        <v>128.00399999999999</v>
      </c>
      <c r="J143" s="74">
        <v>299.40899999999999</v>
      </c>
      <c r="K143" s="74">
        <v>264.08999999999997</v>
      </c>
      <c r="L143" s="74">
        <v>28.754999999999999</v>
      </c>
      <c r="M143" s="74">
        <v>90.964500000000001</v>
      </c>
      <c r="N143" s="8">
        <f t="shared" ref="N143:N150" si="58">SUM(B143:M143)</f>
        <v>2214.8770000000004</v>
      </c>
      <c r="O143" s="3">
        <f t="shared" si="56"/>
        <v>716.54849999999999</v>
      </c>
      <c r="P143" s="3">
        <f t="shared" si="54"/>
        <v>1015.9575</v>
      </c>
      <c r="Q143" s="3">
        <f t="shared" si="55"/>
        <v>129.5805</v>
      </c>
      <c r="R143" s="1">
        <f t="shared" si="57"/>
        <v>701.55600000000004</v>
      </c>
      <c r="S143" s="1"/>
      <c r="T143" s="9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</row>
    <row r="144" spans="1:31" s="90" customFormat="1" x14ac:dyDescent="0.15">
      <c r="A144" s="8" t="s">
        <v>103</v>
      </c>
      <c r="B144" s="89">
        <v>9.8610000000000007</v>
      </c>
      <c r="C144" s="89">
        <v>338.99250000000001</v>
      </c>
      <c r="D144" s="89">
        <v>232.983</v>
      </c>
      <c r="E144" s="89">
        <v>92.401499999999999</v>
      </c>
      <c r="F144" s="89">
        <v>182.11949999999999</v>
      </c>
      <c r="G144" s="89">
        <v>39.630000000000003</v>
      </c>
      <c r="H144" s="89">
        <v>8.5184999999999995</v>
      </c>
      <c r="I144" s="89">
        <v>190.04849999999999</v>
      </c>
      <c r="J144" s="8">
        <v>123.681</v>
      </c>
      <c r="K144" s="8">
        <v>331.24650000000003</v>
      </c>
      <c r="L144" s="8">
        <v>134.78399999999999</v>
      </c>
      <c r="M144" s="8">
        <v>2.34</v>
      </c>
      <c r="N144" s="8">
        <f t="shared" si="58"/>
        <v>1686.606</v>
      </c>
      <c r="O144" s="3">
        <f t="shared" si="56"/>
        <v>512.71799999999996</v>
      </c>
      <c r="P144" s="3">
        <f t="shared" si="54"/>
        <v>636.399</v>
      </c>
      <c r="Q144" s="3">
        <f t="shared" si="55"/>
        <v>497.17499999999995</v>
      </c>
      <c r="R144" s="1">
        <f t="shared" si="57"/>
        <v>1325.7179999999998</v>
      </c>
      <c r="S144" s="1"/>
      <c r="T144" s="9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</row>
    <row r="145" spans="1:22" s="90" customFormat="1" x14ac:dyDescent="0.15">
      <c r="A145" s="8" t="s">
        <v>120</v>
      </c>
      <c r="B145" s="89">
        <v>360.05099999999999</v>
      </c>
      <c r="C145" s="89">
        <v>491.93400000000003</v>
      </c>
      <c r="D145" s="89">
        <v>336.60899999999998</v>
      </c>
      <c r="E145" s="89">
        <v>102.096</v>
      </c>
      <c r="F145" s="89">
        <v>356.976</v>
      </c>
      <c r="G145" s="89">
        <v>362.358</v>
      </c>
      <c r="H145" s="89">
        <v>46.98</v>
      </c>
      <c r="I145" s="89">
        <v>86.85</v>
      </c>
      <c r="J145" s="8">
        <v>205.398</v>
      </c>
      <c r="K145" s="8">
        <v>133.09200000000001</v>
      </c>
      <c r="L145" s="8">
        <v>59.76</v>
      </c>
      <c r="M145" s="8">
        <v>99.918000000000006</v>
      </c>
      <c r="N145" s="8">
        <f t="shared" si="58"/>
        <v>2642.0220000000004</v>
      </c>
      <c r="O145" s="3">
        <f t="shared" si="56"/>
        <v>955.2600000000001</v>
      </c>
      <c r="P145" s="3">
        <f t="shared" ref="P145:P150" si="59">E145+F145+G145+H145+I145+J145</f>
        <v>1160.6580000000001</v>
      </c>
      <c r="Q145" s="3">
        <f t="shared" ref="Q145:Q150" si="60">L145+M145+B146</f>
        <v>504.97199999999998</v>
      </c>
      <c r="R145" s="1">
        <f t="shared" si="57"/>
        <v>1364.5259999999998</v>
      </c>
      <c r="S145" s="1"/>
      <c r="T145" s="9"/>
    </row>
    <row r="146" spans="1:22" s="90" customFormat="1" x14ac:dyDescent="0.15">
      <c r="A146" s="8" t="s">
        <v>130</v>
      </c>
      <c r="B146" s="89">
        <v>345.29399999999998</v>
      </c>
      <c r="C146" s="89">
        <v>450.25200000000001</v>
      </c>
      <c r="D146" s="89">
        <v>409.30200000000002</v>
      </c>
      <c r="E146" s="89">
        <v>309.20400000000001</v>
      </c>
      <c r="F146" s="89">
        <v>591.76800000000003</v>
      </c>
      <c r="G146" s="89">
        <v>47.43</v>
      </c>
      <c r="H146" s="89">
        <v>121.914</v>
      </c>
      <c r="I146" s="89">
        <v>390.14400000000001</v>
      </c>
      <c r="J146" s="133">
        <v>113.22</v>
      </c>
      <c r="K146" s="133">
        <v>266.58</v>
      </c>
      <c r="L146" s="133">
        <v>454.15800000000002</v>
      </c>
      <c r="M146" s="133">
        <v>708.75</v>
      </c>
      <c r="N146" s="8">
        <f t="shared" si="58"/>
        <v>4208.0159999999996</v>
      </c>
      <c r="O146" s="3">
        <f>E146+F146+G146+H146+I146</f>
        <v>1460.46</v>
      </c>
      <c r="P146" s="3">
        <f t="shared" si="59"/>
        <v>1573.68</v>
      </c>
      <c r="Q146" s="3">
        <f t="shared" si="60"/>
        <v>1488.33</v>
      </c>
      <c r="R146" s="1">
        <f t="shared" si="57"/>
        <v>2080.422</v>
      </c>
      <c r="S146" s="1"/>
      <c r="T146" s="9"/>
    </row>
    <row r="147" spans="1:22" s="90" customFormat="1" x14ac:dyDescent="0.15">
      <c r="A147" s="8" t="s">
        <v>137</v>
      </c>
      <c r="B147" s="89">
        <v>325.42200000000003</v>
      </c>
      <c r="C147" s="89">
        <v>205.506</v>
      </c>
      <c r="D147" s="89">
        <v>386.58600000000001</v>
      </c>
      <c r="E147" s="89">
        <v>467.38799999999998</v>
      </c>
      <c r="F147" s="89">
        <v>75.257999999999996</v>
      </c>
      <c r="G147" s="89">
        <v>162.39599999999999</v>
      </c>
      <c r="H147" s="89">
        <v>304.39800000000002</v>
      </c>
      <c r="I147" s="89">
        <v>176.81399999999999</v>
      </c>
      <c r="J147" s="8">
        <v>46.134</v>
      </c>
      <c r="K147" s="8">
        <v>184.06800000000001</v>
      </c>
      <c r="L147" s="8">
        <v>792.48599999999999</v>
      </c>
      <c r="M147" s="8">
        <v>218.73599999999999</v>
      </c>
      <c r="N147" s="8">
        <f t="shared" si="58"/>
        <v>3345.192</v>
      </c>
      <c r="O147" s="3">
        <f>E147+F147+G147+H147+I147</f>
        <v>1186.2539999999999</v>
      </c>
      <c r="P147" s="3">
        <f t="shared" si="59"/>
        <v>1232.3879999999999</v>
      </c>
      <c r="Q147" s="3">
        <f t="shared" si="60"/>
        <v>1581.498</v>
      </c>
      <c r="R147" s="1">
        <f t="shared" si="57"/>
        <v>2115.864</v>
      </c>
      <c r="S147" s="1"/>
      <c r="T147" s="9"/>
    </row>
    <row r="148" spans="1:22" s="90" customFormat="1" x14ac:dyDescent="0.15">
      <c r="A148" s="8" t="s">
        <v>141</v>
      </c>
      <c r="B148" s="89">
        <v>570.27599999999995</v>
      </c>
      <c r="C148" s="89">
        <v>332.71199999999999</v>
      </c>
      <c r="D148" s="89">
        <v>201.654</v>
      </c>
      <c r="E148" s="89">
        <v>769.19399999999996</v>
      </c>
      <c r="F148" s="89">
        <v>523.81799999999998</v>
      </c>
      <c r="G148" s="89">
        <v>65.412000000000006</v>
      </c>
      <c r="H148" s="89">
        <v>55.746000000000002</v>
      </c>
      <c r="I148" s="89">
        <v>54.665999999999997</v>
      </c>
      <c r="J148" s="8">
        <v>112.30200000000001</v>
      </c>
      <c r="K148" s="8">
        <v>313.23599999999999</v>
      </c>
      <c r="L148" s="8">
        <v>377.64</v>
      </c>
      <c r="M148" s="8">
        <v>345.70800000000003</v>
      </c>
      <c r="N148" s="8">
        <f t="shared" si="58"/>
        <v>3722.3639999999996</v>
      </c>
      <c r="O148" s="3">
        <f>E148+F148+G148+H148+I148</f>
        <v>1468.836</v>
      </c>
      <c r="P148" s="3">
        <f t="shared" si="59"/>
        <v>1581.1379999999999</v>
      </c>
      <c r="Q148" s="3">
        <f t="shared" si="60"/>
        <v>929.71799999999996</v>
      </c>
      <c r="R148" s="1">
        <f>L148+M148+B149+C149+D149</f>
        <v>2381.598</v>
      </c>
      <c r="S148" s="1"/>
      <c r="T148" s="9"/>
    </row>
    <row r="149" spans="1:22" s="90" customFormat="1" x14ac:dyDescent="0.15">
      <c r="A149" s="8" t="s">
        <v>144</v>
      </c>
      <c r="B149" s="89">
        <v>206.37</v>
      </c>
      <c r="C149" s="89">
        <v>519.22799999999995</v>
      </c>
      <c r="D149" s="89">
        <v>932.65200000000004</v>
      </c>
      <c r="E149" s="89">
        <v>400.77</v>
      </c>
      <c r="F149" s="89">
        <v>104.11199999999999</v>
      </c>
      <c r="G149" s="89">
        <v>71.784000000000006</v>
      </c>
      <c r="H149" s="89">
        <v>113.38200000000001</v>
      </c>
      <c r="I149" s="89">
        <v>125.874</v>
      </c>
      <c r="J149" s="8">
        <v>139.374</v>
      </c>
      <c r="K149" s="8">
        <v>181.87200000000001</v>
      </c>
      <c r="L149" s="8">
        <v>203.86799999999999</v>
      </c>
      <c r="M149" s="8">
        <v>354.762</v>
      </c>
      <c r="N149" s="8">
        <f t="shared" si="58"/>
        <v>3354.0479999999998</v>
      </c>
      <c r="O149" s="3">
        <f>E149+F149+G149+H149+I149</f>
        <v>815.92200000000003</v>
      </c>
      <c r="P149" s="3">
        <f t="shared" si="59"/>
        <v>955.29600000000005</v>
      </c>
      <c r="Q149" s="3">
        <f t="shared" si="60"/>
        <v>1057.4099999999999</v>
      </c>
      <c r="R149" s="1">
        <f>L149+M149+B150+C150+D150</f>
        <v>2069.8199999999997</v>
      </c>
      <c r="S149" s="1"/>
      <c r="T149" s="9"/>
    </row>
    <row r="150" spans="1:22" s="90" customFormat="1" x14ac:dyDescent="0.15">
      <c r="A150" s="8" t="s">
        <v>150</v>
      </c>
      <c r="B150" s="89">
        <v>498.78</v>
      </c>
      <c r="C150" s="89">
        <v>420.75</v>
      </c>
      <c r="D150" s="89">
        <v>591.66</v>
      </c>
      <c r="E150" s="89">
        <v>39.78</v>
      </c>
      <c r="F150" s="89">
        <v>79.902000000000001</v>
      </c>
      <c r="G150" s="89">
        <v>127.36799999999999</v>
      </c>
      <c r="H150" s="89">
        <v>49.031999999999996</v>
      </c>
      <c r="I150" s="89">
        <v>53.82</v>
      </c>
      <c r="J150" s="69">
        <v>248.72399999999999</v>
      </c>
      <c r="K150" s="69">
        <v>559.20600000000002</v>
      </c>
      <c r="L150" s="69">
        <v>423.63</v>
      </c>
      <c r="M150" s="69">
        <v>56.195999999999998</v>
      </c>
      <c r="N150" s="8">
        <f t="shared" si="58"/>
        <v>3148.848</v>
      </c>
      <c r="O150" s="3">
        <f>E150+F150+G150+H150+I150</f>
        <v>349.90199999999999</v>
      </c>
      <c r="P150" s="3">
        <f t="shared" si="59"/>
        <v>598.62599999999998</v>
      </c>
      <c r="Q150" s="154">
        <f t="shared" si="60"/>
        <v>529.25400000000002</v>
      </c>
      <c r="R150" s="20">
        <f>L150+M150+B151+C151+D151</f>
        <v>529.25400000000002</v>
      </c>
      <c r="S150" s="1"/>
      <c r="T150" s="9"/>
    </row>
    <row r="151" spans="1:22" s="90" customFormat="1" x14ac:dyDescent="0.15">
      <c r="A151" s="14" t="s">
        <v>158</v>
      </c>
      <c r="B151" s="69">
        <v>49.427999999999997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>
        <f>SUM(B151:M151)</f>
        <v>49.427999999999997</v>
      </c>
      <c r="O151" s="154"/>
      <c r="P151" s="154"/>
      <c r="S151" s="1"/>
      <c r="T151" s="9"/>
    </row>
    <row r="152" spans="1:22" x14ac:dyDescent="0.15">
      <c r="A152" s="11"/>
      <c r="B152" s="15"/>
      <c r="C152" s="15"/>
      <c r="D152" s="15"/>
      <c r="E152" s="12"/>
      <c r="F152" s="12"/>
      <c r="G152" s="12"/>
      <c r="H152" s="12"/>
      <c r="I152" s="12"/>
      <c r="J152" s="15"/>
      <c r="K152" s="15"/>
      <c r="L152" s="15"/>
      <c r="M152" s="15"/>
      <c r="N152" s="15"/>
      <c r="O152" s="24">
        <f>AVERAGE(O146:O150)</f>
        <v>1056.2747999999999</v>
      </c>
      <c r="P152" s="24">
        <f>AVERAGE(P146:P150)</f>
        <v>1188.2256000000002</v>
      </c>
      <c r="Q152" s="24">
        <f>AVERAGE(Q145:Q149)</f>
        <v>1112.3856000000001</v>
      </c>
      <c r="R152" s="24">
        <f>AVERAGE(R145:R149)</f>
        <v>2002.4459999999999</v>
      </c>
      <c r="S152" s="1"/>
      <c r="T152" s="9"/>
    </row>
    <row r="153" spans="1:22" x14ac:dyDescent="0.15">
      <c r="A153" s="4" t="s">
        <v>28</v>
      </c>
      <c r="F153" s="164" t="s">
        <v>60</v>
      </c>
      <c r="M153" s="4" t="s">
        <v>3</v>
      </c>
      <c r="P153" s="1"/>
    </row>
    <row r="154" spans="1:22" x14ac:dyDescent="0.15">
      <c r="A154" s="14"/>
      <c r="B154" s="14" t="s">
        <v>4</v>
      </c>
      <c r="C154" s="14" t="s">
        <v>5</v>
      </c>
      <c r="D154" s="14" t="s">
        <v>6</v>
      </c>
      <c r="E154" s="14" t="s">
        <v>7</v>
      </c>
      <c r="F154" s="14" t="s">
        <v>8</v>
      </c>
      <c r="G154" s="14" t="s">
        <v>9</v>
      </c>
      <c r="H154" s="14" t="s">
        <v>10</v>
      </c>
      <c r="I154" s="14" t="s">
        <v>11</v>
      </c>
      <c r="J154" s="14" t="s">
        <v>12</v>
      </c>
      <c r="K154" s="14" t="s">
        <v>13</v>
      </c>
      <c r="L154" s="14" t="s">
        <v>14</v>
      </c>
      <c r="M154" s="14" t="s">
        <v>15</v>
      </c>
      <c r="N154" s="14" t="s">
        <v>16</v>
      </c>
    </row>
    <row r="155" spans="1:22" x14ac:dyDescent="0.15">
      <c r="A155" s="14" t="s">
        <v>17</v>
      </c>
      <c r="B155" s="14">
        <v>1208.0999999999999</v>
      </c>
      <c r="C155" s="14">
        <v>63</v>
      </c>
      <c r="D155" s="14"/>
      <c r="E155" s="14">
        <v>52.8</v>
      </c>
      <c r="F155" s="14">
        <v>515.6</v>
      </c>
      <c r="G155" s="14">
        <v>416.3</v>
      </c>
      <c r="H155" s="14">
        <v>356.6</v>
      </c>
      <c r="I155" s="14">
        <v>290.89999999999998</v>
      </c>
      <c r="J155" s="14">
        <v>640.79999999999995</v>
      </c>
      <c r="K155" s="14">
        <v>605.1</v>
      </c>
      <c r="L155" s="14">
        <v>743.8</v>
      </c>
      <c r="M155" s="14">
        <v>454.7</v>
      </c>
      <c r="N155" s="14">
        <f>SUM(B155:M155)</f>
        <v>5347.7000000000007</v>
      </c>
    </row>
    <row r="156" spans="1:22" x14ac:dyDescent="0.15">
      <c r="A156" s="14" t="s">
        <v>18</v>
      </c>
      <c r="B156" s="14">
        <v>246.6</v>
      </c>
      <c r="C156" s="14">
        <v>36.799999999999997</v>
      </c>
      <c r="D156" s="14">
        <v>69.2</v>
      </c>
      <c r="E156" s="14">
        <v>58.6</v>
      </c>
      <c r="F156" s="14">
        <v>955.5</v>
      </c>
      <c r="G156" s="14">
        <v>3.3</v>
      </c>
      <c r="H156" s="14">
        <v>67.8</v>
      </c>
      <c r="I156" s="14">
        <v>68.7</v>
      </c>
      <c r="J156" s="14">
        <v>964.9</v>
      </c>
      <c r="K156" s="14">
        <v>763.8</v>
      </c>
      <c r="L156" s="14">
        <v>423.2</v>
      </c>
      <c r="M156" s="14">
        <v>5.6</v>
      </c>
      <c r="N156" s="14">
        <f t="shared" ref="N156:N167" si="61">SUM(B156:M156)</f>
        <v>3663.9999999999995</v>
      </c>
    </row>
    <row r="157" spans="1:22" x14ac:dyDescent="0.15">
      <c r="A157" s="14" t="s">
        <v>19</v>
      </c>
      <c r="B157" s="14">
        <v>28.7</v>
      </c>
      <c r="C157" s="14">
        <v>5.8</v>
      </c>
      <c r="D157" s="14">
        <v>13.5</v>
      </c>
      <c r="E157" s="14">
        <v>29.8</v>
      </c>
      <c r="F157" s="14">
        <v>403.8</v>
      </c>
      <c r="G157" s="14">
        <v>576.4</v>
      </c>
      <c r="H157" s="14">
        <v>402</v>
      </c>
      <c r="I157" s="14">
        <v>812.9</v>
      </c>
      <c r="J157" s="14">
        <v>228.5</v>
      </c>
      <c r="K157" s="14">
        <v>164</v>
      </c>
      <c r="L157" s="14">
        <v>1026.2</v>
      </c>
      <c r="M157" s="14">
        <v>222.3</v>
      </c>
      <c r="N157" s="14">
        <f t="shared" si="61"/>
        <v>3913.9000000000005</v>
      </c>
    </row>
    <row r="158" spans="1:22" x14ac:dyDescent="0.15">
      <c r="A158" s="14" t="s">
        <v>20</v>
      </c>
      <c r="B158" s="14">
        <v>75.7</v>
      </c>
      <c r="C158" s="14">
        <v>67.3</v>
      </c>
      <c r="D158" s="14">
        <v>43.9</v>
      </c>
      <c r="E158" s="14">
        <v>49.9</v>
      </c>
      <c r="F158" s="14">
        <v>11.6</v>
      </c>
      <c r="G158" s="14">
        <v>75.8</v>
      </c>
      <c r="H158" s="14">
        <v>480.3</v>
      </c>
      <c r="I158" s="14">
        <v>934.8</v>
      </c>
      <c r="J158" s="14">
        <v>749.1</v>
      </c>
      <c r="K158" s="14">
        <v>384.1</v>
      </c>
      <c r="L158" s="14">
        <v>796</v>
      </c>
      <c r="M158" s="14">
        <v>235.2</v>
      </c>
      <c r="N158" s="14">
        <f t="shared" si="61"/>
        <v>3903.7</v>
      </c>
    </row>
    <row r="159" spans="1:22" x14ac:dyDescent="0.15">
      <c r="A159" s="14" t="s">
        <v>21</v>
      </c>
      <c r="B159" s="14">
        <v>44.7</v>
      </c>
      <c r="C159" s="14">
        <v>36.4</v>
      </c>
      <c r="D159" s="14">
        <v>173.7</v>
      </c>
      <c r="E159" s="14">
        <v>193.2</v>
      </c>
      <c r="F159" s="14">
        <v>85.7</v>
      </c>
      <c r="G159" s="14">
        <v>17.3</v>
      </c>
      <c r="H159" s="14">
        <v>129.1</v>
      </c>
      <c r="I159" s="14">
        <v>284.89999999999998</v>
      </c>
      <c r="J159" s="14">
        <v>404.9</v>
      </c>
      <c r="K159" s="14">
        <v>721.6</v>
      </c>
      <c r="L159" s="14">
        <v>585.1</v>
      </c>
      <c r="M159" s="14">
        <v>263.5</v>
      </c>
      <c r="N159" s="14">
        <f t="shared" si="61"/>
        <v>2940.1</v>
      </c>
    </row>
    <row r="160" spans="1:22" x14ac:dyDescent="0.15">
      <c r="A160" s="14" t="s">
        <v>22</v>
      </c>
      <c r="B160" s="14">
        <v>355.9</v>
      </c>
      <c r="C160" s="14">
        <v>393.8</v>
      </c>
      <c r="D160" s="14">
        <v>126.3</v>
      </c>
      <c r="E160" s="14">
        <v>163</v>
      </c>
      <c r="F160" s="14">
        <v>30.7</v>
      </c>
      <c r="G160" s="14">
        <v>310.5</v>
      </c>
      <c r="H160" s="14">
        <v>705</v>
      </c>
      <c r="I160" s="14">
        <v>757</v>
      </c>
      <c r="J160" s="14">
        <v>967.7</v>
      </c>
      <c r="K160" s="14">
        <v>2660</v>
      </c>
      <c r="L160" s="14">
        <v>1045.4000000000001</v>
      </c>
      <c r="M160" s="14">
        <v>918.9</v>
      </c>
      <c r="N160" s="14">
        <f t="shared" si="61"/>
        <v>8434.1999999999989</v>
      </c>
      <c r="O160" s="4" t="s">
        <v>43</v>
      </c>
      <c r="P160" s="4" t="s">
        <v>82</v>
      </c>
      <c r="Q160" s="4" t="s">
        <v>83</v>
      </c>
      <c r="R160" s="4" t="s">
        <v>85</v>
      </c>
      <c r="U160" s="75"/>
      <c r="V160" s="15"/>
    </row>
    <row r="161" spans="1:23" x14ac:dyDescent="0.15">
      <c r="A161" s="14" t="s">
        <v>23</v>
      </c>
      <c r="B161" s="14">
        <v>91.9</v>
      </c>
      <c r="C161" s="14">
        <v>88.3</v>
      </c>
      <c r="D161" s="14">
        <v>30.8</v>
      </c>
      <c r="E161" s="14">
        <v>51.8</v>
      </c>
      <c r="F161" s="14">
        <v>175.3</v>
      </c>
      <c r="G161" s="14">
        <v>267.8</v>
      </c>
      <c r="H161" s="14">
        <v>719</v>
      </c>
      <c r="I161" s="14">
        <v>533.29999999999995</v>
      </c>
      <c r="J161" s="14">
        <v>940.7</v>
      </c>
      <c r="K161" s="14">
        <v>332.5</v>
      </c>
      <c r="L161" s="14">
        <v>759.6</v>
      </c>
      <c r="M161" s="14">
        <v>26</v>
      </c>
      <c r="N161" s="14">
        <f t="shared" si="61"/>
        <v>4017</v>
      </c>
      <c r="O161" s="3">
        <f t="shared" ref="O161:O173" si="62">E161+F161+G161+H161+I161</f>
        <v>1747.2</v>
      </c>
      <c r="P161" s="3">
        <f>E161+F161+G161+H161+I161+J161</f>
        <v>2687.9</v>
      </c>
      <c r="Q161" s="3">
        <f>L161+M161+B162</f>
        <v>791.2</v>
      </c>
      <c r="R161" s="1">
        <f t="shared" ref="R161:R171" si="63">L161+M161+B162+C162+D162</f>
        <v>812.10000000000014</v>
      </c>
      <c r="U161" s="75"/>
      <c r="V161" s="75"/>
    </row>
    <row r="162" spans="1:23" x14ac:dyDescent="0.15">
      <c r="A162" s="14" t="s">
        <v>32</v>
      </c>
      <c r="B162" s="14">
        <v>5.6</v>
      </c>
      <c r="C162" s="14">
        <v>2.7</v>
      </c>
      <c r="D162" s="14">
        <v>18.2</v>
      </c>
      <c r="E162" s="14">
        <v>40.6</v>
      </c>
      <c r="F162" s="14">
        <v>78.7</v>
      </c>
      <c r="G162" s="14">
        <v>16.8</v>
      </c>
      <c r="H162" s="14">
        <v>223.7</v>
      </c>
      <c r="I162" s="14">
        <v>28.9</v>
      </c>
      <c r="J162" s="14">
        <v>122.4</v>
      </c>
      <c r="K162" s="14">
        <v>159.5</v>
      </c>
      <c r="L162" s="14">
        <v>196.3</v>
      </c>
      <c r="M162" s="14">
        <v>126.2</v>
      </c>
      <c r="N162" s="14">
        <f t="shared" si="61"/>
        <v>1019.6000000000001</v>
      </c>
      <c r="O162" s="3">
        <f t="shared" si="62"/>
        <v>388.7</v>
      </c>
      <c r="P162" s="3">
        <f t="shared" ref="P162:P170" si="64">E162+F162+G162+H162+I162+J162</f>
        <v>511.1</v>
      </c>
      <c r="Q162" s="3">
        <f t="shared" ref="Q162:Q169" si="65">L162+M162+B163</f>
        <v>365.9</v>
      </c>
      <c r="R162" s="1">
        <f t="shared" si="63"/>
        <v>416</v>
      </c>
      <c r="U162" s="75"/>
      <c r="V162" s="75"/>
    </row>
    <row r="163" spans="1:23" x14ac:dyDescent="0.15">
      <c r="A163" s="14" t="s">
        <v>33</v>
      </c>
      <c r="B163" s="14">
        <v>43.4</v>
      </c>
      <c r="C163" s="14">
        <v>20.8</v>
      </c>
      <c r="D163" s="14">
        <v>29.3</v>
      </c>
      <c r="E163" s="14">
        <v>28</v>
      </c>
      <c r="F163" s="14">
        <v>113.4</v>
      </c>
      <c r="G163" s="14">
        <v>7.7</v>
      </c>
      <c r="H163" s="14">
        <v>129</v>
      </c>
      <c r="I163" s="14">
        <v>169.8</v>
      </c>
      <c r="J163" s="14">
        <v>23.5</v>
      </c>
      <c r="K163" s="14">
        <v>6.9</v>
      </c>
      <c r="L163" s="14">
        <v>24.5</v>
      </c>
      <c r="M163" s="14">
        <v>7.5</v>
      </c>
      <c r="N163" s="14">
        <f t="shared" si="61"/>
        <v>603.80000000000007</v>
      </c>
      <c r="O163" s="3">
        <f t="shared" si="62"/>
        <v>447.90000000000003</v>
      </c>
      <c r="P163" s="3">
        <f t="shared" si="64"/>
        <v>471.40000000000003</v>
      </c>
      <c r="Q163" s="3">
        <f t="shared" si="65"/>
        <v>54.9</v>
      </c>
      <c r="R163" s="1">
        <f t="shared" si="63"/>
        <v>190.10000000000002</v>
      </c>
      <c r="U163" s="75"/>
      <c r="V163" s="75"/>
    </row>
    <row r="164" spans="1:23" x14ac:dyDescent="0.15">
      <c r="A164" s="14" t="s">
        <v>34</v>
      </c>
      <c r="B164" s="14">
        <v>22.9</v>
      </c>
      <c r="C164" s="14">
        <v>27.8</v>
      </c>
      <c r="D164" s="14">
        <v>107.4</v>
      </c>
      <c r="E164" s="14">
        <v>221.9</v>
      </c>
      <c r="F164" s="14">
        <v>71.5</v>
      </c>
      <c r="G164" s="14">
        <v>49.4</v>
      </c>
      <c r="H164" s="14">
        <v>626.79999999999995</v>
      </c>
      <c r="I164" s="14">
        <v>179.5</v>
      </c>
      <c r="J164" s="14">
        <v>905.8</v>
      </c>
      <c r="K164" s="14">
        <v>351.3</v>
      </c>
      <c r="L164" s="14">
        <v>137.1</v>
      </c>
      <c r="M164" s="14">
        <v>95.2</v>
      </c>
      <c r="N164" s="14">
        <f t="shared" si="61"/>
        <v>2796.6</v>
      </c>
      <c r="O164" s="3">
        <f t="shared" si="62"/>
        <v>1149.0999999999999</v>
      </c>
      <c r="P164" s="3">
        <f t="shared" si="64"/>
        <v>2054.8999999999996</v>
      </c>
      <c r="Q164" s="3">
        <f t="shared" si="65"/>
        <v>264.2</v>
      </c>
      <c r="R164" s="1">
        <f t="shared" si="63"/>
        <v>371</v>
      </c>
      <c r="U164" s="75"/>
      <c r="V164" s="75"/>
    </row>
    <row r="165" spans="1:23" x14ac:dyDescent="0.15">
      <c r="A165" s="14" t="s">
        <v>35</v>
      </c>
      <c r="B165" s="14">
        <v>31.9</v>
      </c>
      <c r="C165" s="14">
        <v>62.5</v>
      </c>
      <c r="D165" s="14">
        <v>44.3</v>
      </c>
      <c r="E165" s="14">
        <v>222</v>
      </c>
      <c r="F165" s="14">
        <v>6.3</v>
      </c>
      <c r="G165" s="14">
        <v>25.6</v>
      </c>
      <c r="H165" s="14">
        <v>171.9</v>
      </c>
      <c r="I165" s="14">
        <v>415.3</v>
      </c>
      <c r="J165" s="14">
        <v>283.3</v>
      </c>
      <c r="K165" s="14">
        <v>500.7</v>
      </c>
      <c r="L165" s="14">
        <v>125</v>
      </c>
      <c r="M165" s="14">
        <v>16.8</v>
      </c>
      <c r="N165" s="14">
        <f t="shared" si="61"/>
        <v>1905.6</v>
      </c>
      <c r="O165" s="3">
        <f t="shared" si="62"/>
        <v>841.1</v>
      </c>
      <c r="P165" s="3">
        <f t="shared" si="64"/>
        <v>1124.4000000000001</v>
      </c>
      <c r="Q165" s="3">
        <f t="shared" si="65"/>
        <v>158</v>
      </c>
      <c r="R165" s="1">
        <f t="shared" si="63"/>
        <v>241.4</v>
      </c>
      <c r="U165" s="75"/>
      <c r="V165" s="75"/>
      <c r="W165" s="75"/>
    </row>
    <row r="166" spans="1:23" x14ac:dyDescent="0.15">
      <c r="A166" s="14" t="s">
        <v>37</v>
      </c>
      <c r="B166" s="14">
        <v>16.2</v>
      </c>
      <c r="C166" s="14">
        <v>83.4</v>
      </c>
      <c r="D166" s="14"/>
      <c r="E166" s="14">
        <v>34.799999999999997</v>
      </c>
      <c r="F166" s="14">
        <v>30.3</v>
      </c>
      <c r="G166" s="14">
        <v>9.1</v>
      </c>
      <c r="H166" s="14">
        <v>98.1</v>
      </c>
      <c r="I166" s="14">
        <v>137</v>
      </c>
      <c r="J166" s="14">
        <v>46</v>
      </c>
      <c r="K166" s="14">
        <v>18</v>
      </c>
      <c r="L166" s="14">
        <v>3.2</v>
      </c>
      <c r="M166" s="14">
        <v>24.3</v>
      </c>
      <c r="N166" s="14">
        <f t="shared" si="61"/>
        <v>500.4</v>
      </c>
      <c r="O166" s="3">
        <f t="shared" si="62"/>
        <v>309.29999999999995</v>
      </c>
      <c r="P166" s="3">
        <f t="shared" si="64"/>
        <v>355.29999999999995</v>
      </c>
      <c r="Q166" s="3">
        <f t="shared" si="65"/>
        <v>41.4</v>
      </c>
      <c r="R166" s="1">
        <f t="shared" si="63"/>
        <v>68.400000000000006</v>
      </c>
      <c r="U166" s="75"/>
      <c r="V166" s="75"/>
      <c r="W166" s="75"/>
    </row>
    <row r="167" spans="1:23" x14ac:dyDescent="0.15">
      <c r="A167" s="14" t="s">
        <v>39</v>
      </c>
      <c r="B167" s="14">
        <v>13.9</v>
      </c>
      <c r="C167" s="14">
        <v>27</v>
      </c>
      <c r="D167" s="14">
        <v>0</v>
      </c>
      <c r="E167" s="14">
        <v>0</v>
      </c>
      <c r="F167" s="14">
        <v>7.9</v>
      </c>
      <c r="G167" s="14">
        <v>84.4</v>
      </c>
      <c r="H167" s="14">
        <v>64.8</v>
      </c>
      <c r="I167" s="14">
        <v>109.9</v>
      </c>
      <c r="J167" s="14">
        <v>67.599999999999994</v>
      </c>
      <c r="K167" s="11">
        <v>140.1</v>
      </c>
      <c r="L167" s="8">
        <v>30.4</v>
      </c>
      <c r="M167" s="11">
        <v>219.1</v>
      </c>
      <c r="N167" s="14">
        <f t="shared" si="61"/>
        <v>765.1</v>
      </c>
      <c r="O167" s="3">
        <f t="shared" si="62"/>
        <v>267</v>
      </c>
      <c r="P167" s="3">
        <f t="shared" si="64"/>
        <v>334.6</v>
      </c>
      <c r="Q167" s="3">
        <f t="shared" si="65"/>
        <v>332</v>
      </c>
      <c r="R167" s="1">
        <f t="shared" si="63"/>
        <v>350.00299999999999</v>
      </c>
      <c r="U167" s="75"/>
      <c r="V167" s="75"/>
      <c r="W167" s="75"/>
    </row>
    <row r="168" spans="1:23" x14ac:dyDescent="0.15">
      <c r="A168" s="14" t="s">
        <v>40</v>
      </c>
      <c r="B168" s="8">
        <v>82.5</v>
      </c>
      <c r="C168" s="8">
        <v>2.2999999999999998</v>
      </c>
      <c r="D168" s="14">
        <v>15.702999999999999</v>
      </c>
      <c r="E168" s="14">
        <v>3.4089999999999998</v>
      </c>
      <c r="F168" s="14">
        <v>2.9940000000000002</v>
      </c>
      <c r="G168" s="14">
        <v>1.78</v>
      </c>
      <c r="H168" s="14">
        <v>7.4409999999999998</v>
      </c>
      <c r="I168" s="14">
        <v>88.733000000000004</v>
      </c>
      <c r="J168" s="14">
        <v>23.573</v>
      </c>
      <c r="K168" s="14">
        <v>3.5090000000000003</v>
      </c>
      <c r="L168" s="14">
        <v>0.46400000000000002</v>
      </c>
      <c r="M168" s="14">
        <v>4.016</v>
      </c>
      <c r="N168" s="14">
        <f t="shared" ref="N168:N180" si="66">SUM(B168:M168)</f>
        <v>236.422</v>
      </c>
      <c r="O168" s="3">
        <f t="shared" si="62"/>
        <v>104.357</v>
      </c>
      <c r="P168" s="3">
        <f t="shared" si="64"/>
        <v>127.93</v>
      </c>
      <c r="Q168" s="3">
        <f t="shared" si="65"/>
        <v>64.718000000000004</v>
      </c>
      <c r="R168" s="1">
        <f t="shared" si="63"/>
        <v>431.52599999999995</v>
      </c>
      <c r="U168" s="75"/>
      <c r="V168" s="75"/>
      <c r="W168" s="75"/>
    </row>
    <row r="169" spans="1:23" x14ac:dyDescent="0.15">
      <c r="A169" s="14" t="s">
        <v>41</v>
      </c>
      <c r="B169" s="8">
        <v>60.238</v>
      </c>
      <c r="C169" s="8">
        <v>53.340999999999994</v>
      </c>
      <c r="D169" s="14">
        <v>313.46699999999998</v>
      </c>
      <c r="E169" s="14">
        <v>450.52600000000001</v>
      </c>
      <c r="F169" s="14">
        <v>337.09899999999999</v>
      </c>
      <c r="G169" s="14">
        <v>201.685</v>
      </c>
      <c r="H169" s="14">
        <v>45.712000000000003</v>
      </c>
      <c r="I169" s="14">
        <v>51.323999999999998</v>
      </c>
      <c r="J169" s="14">
        <v>135.316</v>
      </c>
      <c r="K169" s="14">
        <v>324.30399999999997</v>
      </c>
      <c r="L169" s="14">
        <v>104.64800000000001</v>
      </c>
      <c r="M169" s="14">
        <v>57.26</v>
      </c>
      <c r="N169" s="14">
        <f t="shared" si="66"/>
        <v>2134.9200000000005</v>
      </c>
      <c r="O169" s="3">
        <f t="shared" si="62"/>
        <v>1086.346</v>
      </c>
      <c r="P169" s="3">
        <f t="shared" si="64"/>
        <v>1221.662</v>
      </c>
      <c r="Q169" s="3">
        <f t="shared" si="65"/>
        <v>177.13500000000002</v>
      </c>
      <c r="R169" s="1">
        <f t="shared" si="63"/>
        <v>698.755</v>
      </c>
      <c r="U169" s="75"/>
      <c r="V169" s="75"/>
      <c r="W169" s="75"/>
    </row>
    <row r="170" spans="1:23" x14ac:dyDescent="0.15">
      <c r="A170" s="14" t="s">
        <v>45</v>
      </c>
      <c r="B170" s="8">
        <v>15.227</v>
      </c>
      <c r="C170" s="8">
        <v>156.87400000000002</v>
      </c>
      <c r="D170" s="14">
        <v>364.74599999999998</v>
      </c>
      <c r="E170" s="14">
        <v>674.47299999999996</v>
      </c>
      <c r="F170" s="14">
        <v>613.42700000000002</v>
      </c>
      <c r="G170" s="14">
        <v>273.22300000000001</v>
      </c>
      <c r="H170" s="14">
        <v>387.21799999999996</v>
      </c>
      <c r="I170" s="14">
        <v>550.55820000000006</v>
      </c>
      <c r="J170" s="14">
        <v>728.32799999999997</v>
      </c>
      <c r="K170" s="14">
        <v>3722.576</v>
      </c>
      <c r="L170" s="14">
        <v>1432.49</v>
      </c>
      <c r="M170" s="14">
        <v>5.1999999999999998E-2</v>
      </c>
      <c r="N170" s="14">
        <f t="shared" si="66"/>
        <v>8919.1921999999995</v>
      </c>
      <c r="O170" s="3">
        <f t="shared" si="62"/>
        <v>2498.8991999999998</v>
      </c>
      <c r="P170" s="3">
        <f t="shared" si="64"/>
        <v>3227.2271999999998</v>
      </c>
      <c r="Q170" s="3">
        <f t="shared" ref="Q170:Q176" si="67">L170+M170+B171</f>
        <v>1682.491</v>
      </c>
      <c r="R170" s="1">
        <f t="shared" si="63"/>
        <v>1847.374</v>
      </c>
      <c r="U170" s="75"/>
      <c r="V170" s="75"/>
      <c r="W170" s="75"/>
    </row>
    <row r="171" spans="1:23" x14ac:dyDescent="0.15">
      <c r="A171" s="14" t="s">
        <v>46</v>
      </c>
      <c r="B171" s="14">
        <v>249.94900000000001</v>
      </c>
      <c r="C171" s="14">
        <v>72.543999999999997</v>
      </c>
      <c r="D171" s="14">
        <v>92.338999999999999</v>
      </c>
      <c r="E171" s="14">
        <v>127.05699999999999</v>
      </c>
      <c r="F171" s="14">
        <v>82.078000000000003</v>
      </c>
      <c r="G171" s="14">
        <v>123.29900000000001</v>
      </c>
      <c r="H171" s="14">
        <v>289.12200000000001</v>
      </c>
      <c r="I171" s="14">
        <v>83.5</v>
      </c>
      <c r="J171" s="14">
        <v>339.928</v>
      </c>
      <c r="K171" s="14">
        <v>543.67700000000002</v>
      </c>
      <c r="L171" s="14">
        <v>598.02599999999995</v>
      </c>
      <c r="M171" s="14">
        <v>293.72199999999998</v>
      </c>
      <c r="N171" s="14">
        <f t="shared" si="66"/>
        <v>2895.241</v>
      </c>
      <c r="O171" s="3">
        <f t="shared" si="62"/>
        <v>705.05600000000004</v>
      </c>
      <c r="P171" s="3">
        <f t="shared" ref="P171:P177" si="68">E171+F171+G171+H171+I171+J171</f>
        <v>1044.9839999999999</v>
      </c>
      <c r="Q171" s="3">
        <f t="shared" si="67"/>
        <v>1063.931</v>
      </c>
      <c r="R171" s="1">
        <f t="shared" si="63"/>
        <v>1396.308</v>
      </c>
      <c r="U171" s="75"/>
      <c r="V171" s="75"/>
      <c r="W171" s="75"/>
    </row>
    <row r="172" spans="1:23" x14ac:dyDescent="0.15">
      <c r="A172" s="14" t="s">
        <v>56</v>
      </c>
      <c r="B172" s="8">
        <v>172.18299999999999</v>
      </c>
      <c r="C172" s="8">
        <v>137.22800000000001</v>
      </c>
      <c r="D172" s="14">
        <v>195.149</v>
      </c>
      <c r="E172" s="14">
        <v>22.923999999999999</v>
      </c>
      <c r="F172" s="14">
        <v>59.283999999999999</v>
      </c>
      <c r="G172" s="14">
        <v>8.7509999999999994</v>
      </c>
      <c r="H172" s="14">
        <v>239.536</v>
      </c>
      <c r="I172" s="14">
        <v>566.02200000000005</v>
      </c>
      <c r="J172" s="14">
        <v>285.24799999999999</v>
      </c>
      <c r="K172" s="14">
        <v>1539.6579999999999</v>
      </c>
      <c r="L172" s="14">
        <v>932.04399999999998</v>
      </c>
      <c r="M172" s="14">
        <v>192.43700000000001</v>
      </c>
      <c r="N172" s="14">
        <f t="shared" si="66"/>
        <v>4350.4639999999999</v>
      </c>
      <c r="O172" s="3">
        <f t="shared" si="62"/>
        <v>896.51700000000005</v>
      </c>
      <c r="P172" s="3">
        <f t="shared" si="68"/>
        <v>1181.7650000000001</v>
      </c>
      <c r="Q172" s="3">
        <f t="shared" si="67"/>
        <v>1238.2739999999999</v>
      </c>
      <c r="R172" s="1">
        <f t="shared" ref="R172:R179" si="69">L172+M172+B173+C173+D173</f>
        <v>1913.5249999999999</v>
      </c>
      <c r="U172" s="75"/>
      <c r="V172" s="75"/>
      <c r="W172" s="75"/>
    </row>
    <row r="173" spans="1:23" x14ac:dyDescent="0.15">
      <c r="A173" s="14" t="s">
        <v>92</v>
      </c>
      <c r="B173" s="14">
        <v>113.79299999999999</v>
      </c>
      <c r="C173" s="14">
        <v>517.00900000000001</v>
      </c>
      <c r="D173" s="14">
        <v>158.24200000000002</v>
      </c>
      <c r="E173" s="14">
        <v>149.256</v>
      </c>
      <c r="F173" s="14">
        <v>378.77300000000002</v>
      </c>
      <c r="G173" s="14">
        <v>252.52</v>
      </c>
      <c r="H173" s="14">
        <v>113.514</v>
      </c>
      <c r="I173" s="14">
        <v>125.52</v>
      </c>
      <c r="J173" s="14">
        <v>531.12699999999995</v>
      </c>
      <c r="K173" s="14">
        <v>1336.0039999999999</v>
      </c>
      <c r="L173" s="14">
        <v>784.92899999999997</v>
      </c>
      <c r="M173" s="14">
        <v>301.62899999999996</v>
      </c>
      <c r="N173" s="14">
        <f t="shared" si="66"/>
        <v>4762.3159999999998</v>
      </c>
      <c r="O173" s="3">
        <f t="shared" si="62"/>
        <v>1019.583</v>
      </c>
      <c r="P173" s="3">
        <f t="shared" si="68"/>
        <v>1550.71</v>
      </c>
      <c r="Q173" s="3">
        <f t="shared" si="67"/>
        <v>1193.8530000000001</v>
      </c>
      <c r="R173" s="1">
        <f t="shared" si="69"/>
        <v>3513.1320000000005</v>
      </c>
      <c r="U173" s="75"/>
      <c r="W173" s="75"/>
    </row>
    <row r="174" spans="1:23" x14ac:dyDescent="0.15">
      <c r="A174" s="14" t="s">
        <v>103</v>
      </c>
      <c r="B174" s="14">
        <v>107.295</v>
      </c>
      <c r="C174" s="14">
        <v>1153.8910000000001</v>
      </c>
      <c r="D174" s="8">
        <v>1165.3880000000001</v>
      </c>
      <c r="E174" s="14">
        <v>259.73899999999998</v>
      </c>
      <c r="F174" s="14">
        <v>428.97199999999998</v>
      </c>
      <c r="G174" s="14">
        <v>162.697</v>
      </c>
      <c r="H174" s="14">
        <v>273.25700000000001</v>
      </c>
      <c r="I174" s="14">
        <v>408.72399999999999</v>
      </c>
      <c r="J174" s="14">
        <v>1242.624</v>
      </c>
      <c r="K174" s="14">
        <v>1122.944</v>
      </c>
      <c r="L174" s="14">
        <v>84.787000000000006</v>
      </c>
      <c r="M174" s="14">
        <v>581.74099999999999</v>
      </c>
      <c r="N174" s="14">
        <f t="shared" si="66"/>
        <v>6992.0590000000011</v>
      </c>
      <c r="O174" s="3">
        <f t="shared" ref="O174:O179" si="70">E174+F174+G174+H174+I174</f>
        <v>1533.3889999999999</v>
      </c>
      <c r="P174" s="3">
        <f t="shared" si="68"/>
        <v>2776.0129999999999</v>
      </c>
      <c r="Q174" s="3">
        <f t="shared" si="67"/>
        <v>984.13499999999999</v>
      </c>
      <c r="R174" s="1">
        <f t="shared" si="69"/>
        <v>1378.1060000000002</v>
      </c>
      <c r="U174" s="75"/>
      <c r="W174" s="75"/>
    </row>
    <row r="175" spans="1:23" x14ac:dyDescent="0.15">
      <c r="A175" s="14" t="s">
        <v>120</v>
      </c>
      <c r="B175" s="14">
        <v>317.60700000000003</v>
      </c>
      <c r="C175" s="14">
        <v>136.45699999999999</v>
      </c>
      <c r="D175" s="8">
        <v>257.51400000000001</v>
      </c>
      <c r="E175" s="14">
        <v>855.52100000000007</v>
      </c>
      <c r="F175" s="14">
        <v>426.11599999999999</v>
      </c>
      <c r="G175" s="14">
        <v>553.59199999999998</v>
      </c>
      <c r="H175" s="14">
        <v>978.34400000000005</v>
      </c>
      <c r="I175" s="14">
        <v>693.29899999999998</v>
      </c>
      <c r="J175" s="14">
        <v>1156.828</v>
      </c>
      <c r="K175" s="14">
        <v>829.53199999999993</v>
      </c>
      <c r="L175" s="14">
        <v>1208.8829999999998</v>
      </c>
      <c r="M175" s="14">
        <v>340.20400000000001</v>
      </c>
      <c r="N175" s="14">
        <f t="shared" si="66"/>
        <v>7753.8969999999999</v>
      </c>
      <c r="O175" s="3">
        <f t="shared" si="70"/>
        <v>3506.8720000000003</v>
      </c>
      <c r="P175" s="3">
        <f t="shared" si="68"/>
        <v>4663.7000000000007</v>
      </c>
      <c r="Q175" s="3">
        <f t="shared" si="67"/>
        <v>1995.1609999999998</v>
      </c>
      <c r="R175" s="1">
        <f t="shared" si="69"/>
        <v>2839.0429999999997</v>
      </c>
      <c r="U175" s="75"/>
    </row>
    <row r="176" spans="1:23" x14ac:dyDescent="0.15">
      <c r="A176" s="14" t="s">
        <v>130</v>
      </c>
      <c r="B176" s="14">
        <v>446.07400000000001</v>
      </c>
      <c r="C176" s="14">
        <v>297.87099999999998</v>
      </c>
      <c r="D176" s="8">
        <v>546.01100000000008</v>
      </c>
      <c r="E176" s="14">
        <v>459.68099999999998</v>
      </c>
      <c r="F176" s="14">
        <v>816.07300000000009</v>
      </c>
      <c r="G176" s="14">
        <v>445.04700000000003</v>
      </c>
      <c r="H176" s="14">
        <v>1177.2560000000001</v>
      </c>
      <c r="I176" s="14">
        <v>1798.924</v>
      </c>
      <c r="J176" s="14">
        <v>1264.808</v>
      </c>
      <c r="K176" s="14">
        <v>628.80799999999999</v>
      </c>
      <c r="L176" s="14">
        <v>708.822</v>
      </c>
      <c r="M176" s="14">
        <v>1512.1320000000001</v>
      </c>
      <c r="N176" s="14">
        <f t="shared" si="66"/>
        <v>10101.507</v>
      </c>
      <c r="O176" s="3">
        <f t="shared" si="70"/>
        <v>4696.9809999999998</v>
      </c>
      <c r="P176" s="3">
        <f t="shared" si="68"/>
        <v>5961.7889999999998</v>
      </c>
      <c r="Q176" s="3">
        <f t="shared" si="67"/>
        <v>2679.7910000000002</v>
      </c>
      <c r="R176" s="1">
        <f t="shared" si="69"/>
        <v>2983.8359999999998</v>
      </c>
      <c r="U176" s="75"/>
    </row>
    <row r="177" spans="1:21" x14ac:dyDescent="0.15">
      <c r="A177" s="14" t="s">
        <v>137</v>
      </c>
      <c r="B177" s="14">
        <v>458.83699999999993</v>
      </c>
      <c r="C177" s="14">
        <v>155.86499999999998</v>
      </c>
      <c r="D177" s="8">
        <v>148.18</v>
      </c>
      <c r="E177" s="14">
        <v>318.35900000000004</v>
      </c>
      <c r="F177" s="14">
        <v>442.54300000000001</v>
      </c>
      <c r="G177" s="14">
        <v>504.01</v>
      </c>
      <c r="H177" s="14">
        <v>747.71100000000013</v>
      </c>
      <c r="I177" s="14">
        <v>1352.127</v>
      </c>
      <c r="J177" s="14">
        <v>249.39699999999999</v>
      </c>
      <c r="K177" s="14">
        <v>391.02</v>
      </c>
      <c r="L177" s="14">
        <v>715.57299999999998</v>
      </c>
      <c r="M177" s="14">
        <v>195.50400000000002</v>
      </c>
      <c r="N177" s="14">
        <f t="shared" si="66"/>
        <v>5679.1259999999993</v>
      </c>
      <c r="O177" s="3">
        <f t="shared" si="70"/>
        <v>3364.75</v>
      </c>
      <c r="P177" s="3">
        <f t="shared" si="68"/>
        <v>3614.1469999999999</v>
      </c>
      <c r="Q177" s="3">
        <f>L177+M177+B178</f>
        <v>1136.268</v>
      </c>
      <c r="R177" s="1">
        <f t="shared" si="69"/>
        <v>1435.779</v>
      </c>
      <c r="U177" s="75"/>
    </row>
    <row r="178" spans="1:21" x14ac:dyDescent="0.15">
      <c r="A178" s="14" t="s">
        <v>141</v>
      </c>
      <c r="B178" s="14">
        <v>225.191</v>
      </c>
      <c r="C178" s="14">
        <v>190.12599999999998</v>
      </c>
      <c r="D178" s="8">
        <v>109.38499999999999</v>
      </c>
      <c r="E178" s="14">
        <v>308.12300000000005</v>
      </c>
      <c r="F178" s="14">
        <v>84.900999999999996</v>
      </c>
      <c r="G178" s="14">
        <v>116.547</v>
      </c>
      <c r="H178" s="14">
        <v>180.38100000000003</v>
      </c>
      <c r="I178" s="14">
        <v>139.01300000000001</v>
      </c>
      <c r="J178" s="14">
        <v>205.154</v>
      </c>
      <c r="K178" s="14">
        <v>2388.8360000000002</v>
      </c>
      <c r="L178" s="14">
        <v>2296.029</v>
      </c>
      <c r="M178" s="14">
        <v>1270.4570000000001</v>
      </c>
      <c r="N178" s="14">
        <f t="shared" si="66"/>
        <v>7514.143</v>
      </c>
      <c r="O178" s="3">
        <f t="shared" si="70"/>
        <v>828.96500000000003</v>
      </c>
      <c r="P178" s="3">
        <f>E178+F178+G178+H178+I178+J178</f>
        <v>1034.1190000000001</v>
      </c>
      <c r="Q178" s="3">
        <f>L178+M178+B179</f>
        <v>3958.4049999999997</v>
      </c>
      <c r="R178" s="1">
        <f t="shared" si="69"/>
        <v>5062.3339999999998</v>
      </c>
      <c r="U178" s="75"/>
    </row>
    <row r="179" spans="1:21" x14ac:dyDescent="0.15">
      <c r="A179" s="14" t="s">
        <v>144</v>
      </c>
      <c r="B179" s="14">
        <v>391.91899999999998</v>
      </c>
      <c r="C179" s="14">
        <v>349.36099999999999</v>
      </c>
      <c r="D179" s="8">
        <v>754.56799999999998</v>
      </c>
      <c r="E179" s="14">
        <v>916.98700000000008</v>
      </c>
      <c r="F179" s="14">
        <v>219.71699999999998</v>
      </c>
      <c r="G179" s="14">
        <v>271.84100000000001</v>
      </c>
      <c r="H179" s="14">
        <v>583.18899999999996</v>
      </c>
      <c r="I179" s="14">
        <v>935.4849999999999</v>
      </c>
      <c r="J179" s="14">
        <v>563.06100000000004</v>
      </c>
      <c r="K179" s="14">
        <v>1633.5519999999999</v>
      </c>
      <c r="L179" s="14">
        <v>430.84199999999998</v>
      </c>
      <c r="M179" s="14">
        <v>947.19799999999998</v>
      </c>
      <c r="N179" s="14">
        <f t="shared" si="66"/>
        <v>7997.7199999999993</v>
      </c>
      <c r="O179" s="3">
        <f t="shared" si="70"/>
        <v>2927.2190000000001</v>
      </c>
      <c r="P179" s="3">
        <f>E179+F179+G179+H179+I179+J179</f>
        <v>3490.28</v>
      </c>
      <c r="Q179" s="3">
        <f>L179+M179+B180</f>
        <v>1922.396</v>
      </c>
      <c r="R179" s="1">
        <f t="shared" si="69"/>
        <v>2981.74</v>
      </c>
      <c r="U179" s="75"/>
    </row>
    <row r="180" spans="1:21" x14ac:dyDescent="0.15">
      <c r="A180" s="14" t="s">
        <v>150</v>
      </c>
      <c r="B180" s="14">
        <v>544.35599999999999</v>
      </c>
      <c r="C180" s="14">
        <v>534.49699999999996</v>
      </c>
      <c r="D180" s="8">
        <v>524.84699999999998</v>
      </c>
      <c r="E180" s="14">
        <v>178.232</v>
      </c>
      <c r="F180" s="14">
        <v>294.14400000000001</v>
      </c>
      <c r="G180" s="14">
        <v>383.08699999999999</v>
      </c>
      <c r="H180" s="14">
        <v>543.24599999999998</v>
      </c>
      <c r="I180" s="14">
        <v>342.4</v>
      </c>
      <c r="J180" s="23">
        <v>621.26900000000001</v>
      </c>
      <c r="K180" s="23">
        <v>641.67100000000005</v>
      </c>
      <c r="L180" s="23">
        <v>1443.5819999999999</v>
      </c>
      <c r="M180" s="23">
        <v>265.32499999999999</v>
      </c>
      <c r="N180" s="14">
        <f t="shared" si="66"/>
        <v>6316.6559999999999</v>
      </c>
      <c r="O180" s="3">
        <f>E180+F180+G180+H180+I180</f>
        <v>1741.1089999999999</v>
      </c>
      <c r="P180" s="3">
        <f>E180+F180+G180+H180+I180+J180</f>
        <v>2362.3779999999997</v>
      </c>
      <c r="Q180" s="154">
        <f>L180+M180+B181</f>
        <v>1910.7089999999998</v>
      </c>
      <c r="R180" s="20">
        <f t="shared" ref="R180" si="71">L180+M180+B181+C181+D181</f>
        <v>1910.7089999999998</v>
      </c>
      <c r="U180" s="75"/>
    </row>
    <row r="181" spans="1:21" x14ac:dyDescent="0.15">
      <c r="A181" s="14" t="s">
        <v>158</v>
      </c>
      <c r="B181" s="23">
        <v>201.80199999999999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>
        <f>SUM(B181:M181)</f>
        <v>201.80199999999999</v>
      </c>
      <c r="O181" s="154"/>
      <c r="P181" s="154"/>
      <c r="R181" s="1"/>
      <c r="U181" s="75"/>
    </row>
    <row r="182" spans="1:21" x14ac:dyDescent="0.15">
      <c r="A182" s="15"/>
      <c r="B182" s="11"/>
      <c r="C182" s="11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24">
        <f>AVERAGE(O176:O180)</f>
        <v>2711.8048000000003</v>
      </c>
      <c r="P182" s="24">
        <f>AVERAGE(P176:P180)</f>
        <v>3292.5425999999998</v>
      </c>
      <c r="Q182" s="24">
        <f>AVERAGE(Q175:Q179)</f>
        <v>2338.4041999999999</v>
      </c>
      <c r="R182" s="24">
        <f>AVERAGE(R175:R179)</f>
        <v>3060.5463999999997</v>
      </c>
      <c r="U182" s="75"/>
    </row>
    <row r="183" spans="1:21" x14ac:dyDescent="0.15">
      <c r="A183" s="1" t="s">
        <v>29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U183" s="75"/>
    </row>
    <row r="184" spans="1:21" x14ac:dyDescent="0.15">
      <c r="A184" s="2"/>
      <c r="B184" s="2" t="s">
        <v>4</v>
      </c>
      <c r="C184" s="2" t="s">
        <v>5</v>
      </c>
      <c r="D184" s="2" t="s">
        <v>6</v>
      </c>
      <c r="E184" s="2" t="s">
        <v>7</v>
      </c>
      <c r="F184" s="2" t="s">
        <v>8</v>
      </c>
      <c r="G184" s="2" t="s">
        <v>9</v>
      </c>
      <c r="H184" s="2" t="s">
        <v>10</v>
      </c>
      <c r="I184" s="2" t="s">
        <v>11</v>
      </c>
      <c r="J184" s="2" t="s">
        <v>12</v>
      </c>
      <c r="K184" s="2" t="s">
        <v>13</v>
      </c>
      <c r="L184" s="2" t="s">
        <v>14</v>
      </c>
      <c r="M184" s="2" t="s">
        <v>15</v>
      </c>
      <c r="N184" s="2" t="s">
        <v>16</v>
      </c>
      <c r="O184" s="1" t="s">
        <v>43</v>
      </c>
    </row>
    <row r="185" spans="1:21" x14ac:dyDescent="0.15">
      <c r="A185" s="2" t="s">
        <v>17</v>
      </c>
      <c r="B185" s="2">
        <f t="shared" ref="B185:M185" si="72">B155+B125+B95+B65+B35+B5</f>
        <v>1211.5</v>
      </c>
      <c r="C185" s="2">
        <f t="shared" si="72"/>
        <v>64.614999999999995</v>
      </c>
      <c r="D185" s="2">
        <f t="shared" si="72"/>
        <v>6.4050000000000002</v>
      </c>
      <c r="E185" s="2">
        <f t="shared" si="72"/>
        <v>115.09</v>
      </c>
      <c r="F185" s="2">
        <f t="shared" si="72"/>
        <v>1145.211</v>
      </c>
      <c r="G185" s="2">
        <f t="shared" si="72"/>
        <v>1036.4959999999999</v>
      </c>
      <c r="H185" s="2">
        <f t="shared" si="72"/>
        <v>804.52299999999991</v>
      </c>
      <c r="I185" s="2">
        <f t="shared" si="72"/>
        <v>796.70299999999997</v>
      </c>
      <c r="J185" s="2">
        <f t="shared" si="72"/>
        <v>1825.8</v>
      </c>
      <c r="K185" s="2">
        <f t="shared" si="72"/>
        <v>1301.6400000000001</v>
      </c>
      <c r="L185" s="2">
        <f t="shared" si="72"/>
        <v>827.5</v>
      </c>
      <c r="M185" s="2">
        <f t="shared" si="72"/>
        <v>583.4</v>
      </c>
      <c r="N185" s="2">
        <f>SUM(B185:M185)</f>
        <v>9718.8829999999998</v>
      </c>
      <c r="O185" s="3">
        <f t="shared" ref="O185:O203" si="73">E185+F185+G185+H185+I185</f>
        <v>3898.0229999999997</v>
      </c>
    </row>
    <row r="186" spans="1:21" x14ac:dyDescent="0.15">
      <c r="A186" s="2" t="s">
        <v>18</v>
      </c>
      <c r="B186" s="2">
        <f t="shared" ref="B186:M186" si="74">B156+B126+B96+B66+B36+B6</f>
        <v>318.3</v>
      </c>
      <c r="C186" s="2">
        <f t="shared" si="74"/>
        <v>38.299999999999997</v>
      </c>
      <c r="D186" s="2">
        <f t="shared" si="74"/>
        <v>124.83000000000001</v>
      </c>
      <c r="E186" s="2">
        <f t="shared" si="74"/>
        <v>494.39499999999998</v>
      </c>
      <c r="F186" s="2">
        <f t="shared" si="74"/>
        <v>2206.9</v>
      </c>
      <c r="G186" s="2">
        <f t="shared" si="74"/>
        <v>482.15000000000003</v>
      </c>
      <c r="H186" s="2">
        <f t="shared" si="74"/>
        <v>395.06199999999995</v>
      </c>
      <c r="I186" s="2">
        <f t="shared" si="74"/>
        <v>334.76100000000002</v>
      </c>
      <c r="J186" s="2">
        <f t="shared" si="74"/>
        <v>1643.25</v>
      </c>
      <c r="K186" s="2">
        <f t="shared" si="74"/>
        <v>1830.9449999999999</v>
      </c>
      <c r="L186" s="2">
        <f t="shared" si="74"/>
        <v>728.70799999999986</v>
      </c>
      <c r="M186" s="2">
        <f t="shared" si="74"/>
        <v>194.2</v>
      </c>
      <c r="N186" s="2">
        <f t="shared" ref="N186:N193" si="75">SUM(B186:M186)</f>
        <v>8791.8010000000013</v>
      </c>
      <c r="O186" s="3">
        <f t="shared" si="73"/>
        <v>3913.268</v>
      </c>
    </row>
    <row r="187" spans="1:21" x14ac:dyDescent="0.15">
      <c r="A187" s="2" t="s">
        <v>19</v>
      </c>
      <c r="B187" s="2">
        <f t="shared" ref="B187:M187" si="76">B157+B127+B97+B67+B37+B7</f>
        <v>431.9</v>
      </c>
      <c r="C187" s="2">
        <f t="shared" si="76"/>
        <v>10.1</v>
      </c>
      <c r="D187" s="2">
        <f t="shared" si="76"/>
        <v>33.1</v>
      </c>
      <c r="E187" s="2">
        <f t="shared" si="76"/>
        <v>760.8549999999999</v>
      </c>
      <c r="F187" s="2">
        <f t="shared" si="76"/>
        <v>1539.1480000000001</v>
      </c>
      <c r="G187" s="2">
        <f t="shared" si="76"/>
        <v>1996.4510000000002</v>
      </c>
      <c r="H187" s="2">
        <f t="shared" si="76"/>
        <v>1625.4440000000002</v>
      </c>
      <c r="I187" s="2">
        <f t="shared" si="76"/>
        <v>1621.2099999999998</v>
      </c>
      <c r="J187" s="2">
        <f t="shared" si="76"/>
        <v>1314.0279999999998</v>
      </c>
      <c r="K187" s="2">
        <f t="shared" si="76"/>
        <v>1172.79</v>
      </c>
      <c r="L187" s="2">
        <f t="shared" si="76"/>
        <v>1228.1199999999999</v>
      </c>
      <c r="M187" s="2">
        <f t="shared" si="76"/>
        <v>310.79999999999995</v>
      </c>
      <c r="N187" s="2">
        <f t="shared" si="75"/>
        <v>12043.946</v>
      </c>
      <c r="O187" s="3">
        <f t="shared" si="73"/>
        <v>7543.1080000000011</v>
      </c>
    </row>
    <row r="188" spans="1:21" x14ac:dyDescent="0.15">
      <c r="A188" s="2" t="s">
        <v>20</v>
      </c>
      <c r="B188" s="2">
        <f t="shared" ref="B188:M188" si="77">B158+B128+B98+B68+B38+B8</f>
        <v>84.00500000000001</v>
      </c>
      <c r="C188" s="2">
        <f t="shared" si="77"/>
        <v>148.60000000000002</v>
      </c>
      <c r="D188" s="2">
        <f t="shared" si="77"/>
        <v>308.31499999999994</v>
      </c>
      <c r="E188" s="2">
        <f t="shared" si="77"/>
        <v>2253.3000000000002</v>
      </c>
      <c r="F188" s="2">
        <f t="shared" si="77"/>
        <v>298.77999999999997</v>
      </c>
      <c r="G188" s="2">
        <f t="shared" si="77"/>
        <v>148.26500000000001</v>
      </c>
      <c r="H188" s="2">
        <f t="shared" si="77"/>
        <v>1293.8329999999999</v>
      </c>
      <c r="I188" s="2">
        <f t="shared" si="77"/>
        <v>2923.1379999999999</v>
      </c>
      <c r="J188" s="2">
        <f t="shared" si="77"/>
        <v>2900.288</v>
      </c>
      <c r="K188" s="2">
        <f t="shared" si="77"/>
        <v>1353.02</v>
      </c>
      <c r="L188" s="2">
        <f t="shared" si="77"/>
        <v>1080.3999999999999</v>
      </c>
      <c r="M188" s="2">
        <f t="shared" si="77"/>
        <v>442.42999999999995</v>
      </c>
      <c r="N188" s="2">
        <f t="shared" si="75"/>
        <v>13234.374</v>
      </c>
      <c r="O188" s="3">
        <f t="shared" si="73"/>
        <v>6917.3159999999998</v>
      </c>
    </row>
    <row r="189" spans="1:21" x14ac:dyDescent="0.15">
      <c r="A189" s="2" t="s">
        <v>21</v>
      </c>
      <c r="B189" s="2">
        <f t="shared" ref="B189:M189" si="78">B159+B129+B99+B69+B39+B9</f>
        <v>75.900000000000006</v>
      </c>
      <c r="C189" s="2">
        <f t="shared" si="78"/>
        <v>45.4</v>
      </c>
      <c r="D189" s="2">
        <f t="shared" si="78"/>
        <v>717.90000000000009</v>
      </c>
      <c r="E189" s="2">
        <f t="shared" si="78"/>
        <v>856.43000000000006</v>
      </c>
      <c r="F189" s="2">
        <f t="shared" si="78"/>
        <v>2668.5499999999997</v>
      </c>
      <c r="G189" s="2">
        <f t="shared" si="78"/>
        <v>51.400000000000006</v>
      </c>
      <c r="H189" s="2">
        <f t="shared" si="78"/>
        <v>220.41500000000002</v>
      </c>
      <c r="I189" s="2">
        <f t="shared" si="78"/>
        <v>1062.623</v>
      </c>
      <c r="J189" s="2">
        <f t="shared" si="78"/>
        <v>1493.865</v>
      </c>
      <c r="K189" s="2">
        <f t="shared" si="78"/>
        <v>1347.4299999999998</v>
      </c>
      <c r="L189" s="2">
        <f t="shared" si="78"/>
        <v>629.6</v>
      </c>
      <c r="M189" s="2">
        <f t="shared" si="78"/>
        <v>275.90000000000003</v>
      </c>
      <c r="N189" s="2">
        <f t="shared" si="75"/>
        <v>9445.4130000000005</v>
      </c>
      <c r="O189" s="3">
        <f t="shared" si="73"/>
        <v>4859.4179999999997</v>
      </c>
    </row>
    <row r="190" spans="1:21" x14ac:dyDescent="0.15">
      <c r="A190" s="2" t="s">
        <v>22</v>
      </c>
      <c r="B190" s="2">
        <f t="shared" ref="B190:M190" si="79">B160+B130+B100+B70+B40+B10</f>
        <v>367.9</v>
      </c>
      <c r="C190" s="2">
        <f t="shared" si="79"/>
        <v>486.90000000000003</v>
      </c>
      <c r="D190" s="2">
        <f t="shared" si="79"/>
        <v>130.9</v>
      </c>
      <c r="E190" s="2">
        <f t="shared" si="79"/>
        <v>171.2</v>
      </c>
      <c r="F190" s="2">
        <f t="shared" si="79"/>
        <v>38.414999999999992</v>
      </c>
      <c r="G190" s="2">
        <f t="shared" si="79"/>
        <v>387.505</v>
      </c>
      <c r="H190" s="2">
        <f t="shared" si="79"/>
        <v>1141.8599999999999</v>
      </c>
      <c r="I190" s="2">
        <f t="shared" si="79"/>
        <v>2371.9</v>
      </c>
      <c r="J190" s="2">
        <f t="shared" si="79"/>
        <v>1251.0529999999999</v>
      </c>
      <c r="K190" s="2">
        <f t="shared" si="79"/>
        <v>3946.9080000000004</v>
      </c>
      <c r="L190" s="2">
        <f t="shared" si="79"/>
        <v>1920.55</v>
      </c>
      <c r="M190" s="2">
        <f t="shared" si="79"/>
        <v>926.4</v>
      </c>
      <c r="N190" s="2">
        <f t="shared" si="75"/>
        <v>13141.491</v>
      </c>
      <c r="O190" s="3">
        <f t="shared" si="73"/>
        <v>4110.88</v>
      </c>
      <c r="P190" s="4" t="s">
        <v>82</v>
      </c>
      <c r="Q190" s="4" t="s">
        <v>83</v>
      </c>
      <c r="R190" s="4" t="s">
        <v>85</v>
      </c>
    </row>
    <row r="191" spans="1:21" x14ac:dyDescent="0.15">
      <c r="A191" s="2" t="s">
        <v>23</v>
      </c>
      <c r="B191" s="2">
        <f t="shared" ref="B191:M191" si="80">B161+B131+B101+B71+B41+B11</f>
        <v>114.70000000000002</v>
      </c>
      <c r="C191" s="2">
        <f t="shared" si="80"/>
        <v>103.39999999999999</v>
      </c>
      <c r="D191" s="2">
        <f t="shared" si="80"/>
        <v>414.8</v>
      </c>
      <c r="E191" s="2">
        <f t="shared" si="80"/>
        <v>257.05</v>
      </c>
      <c r="F191" s="2">
        <f t="shared" si="80"/>
        <v>307.33500000000004</v>
      </c>
      <c r="G191" s="2">
        <f t="shared" si="80"/>
        <v>331.06299999999999</v>
      </c>
      <c r="H191" s="2">
        <f t="shared" si="80"/>
        <v>1144.9549999999999</v>
      </c>
      <c r="I191" s="2">
        <f t="shared" si="80"/>
        <v>998.75299999999993</v>
      </c>
      <c r="J191" s="2">
        <f t="shared" si="80"/>
        <v>1763.125</v>
      </c>
      <c r="K191" s="2">
        <f t="shared" si="80"/>
        <v>1345.6</v>
      </c>
      <c r="L191" s="2">
        <f t="shared" si="80"/>
        <v>888</v>
      </c>
      <c r="M191" s="2">
        <f t="shared" si="80"/>
        <v>27.1</v>
      </c>
      <c r="N191" s="2">
        <f t="shared" si="75"/>
        <v>7695.8809999999994</v>
      </c>
      <c r="O191" s="3">
        <f t="shared" si="73"/>
        <v>3039.1559999999999</v>
      </c>
      <c r="P191" s="3">
        <f>E191+F191+G191+H191+I191+J191</f>
        <v>4802.2809999999999</v>
      </c>
      <c r="Q191" s="3">
        <f>L191+M191+B192</f>
        <v>937.80000000000007</v>
      </c>
      <c r="R191" s="4">
        <f t="shared" ref="R191:R198" si="81">L191+M191+B192+C192+D192</f>
        <v>1010.82</v>
      </c>
    </row>
    <row r="192" spans="1:21" x14ac:dyDescent="0.15">
      <c r="A192" s="2" t="s">
        <v>32</v>
      </c>
      <c r="B192" s="2">
        <f t="shared" ref="B192:M192" si="82">B162+B132+B102+B72+B42+B12</f>
        <v>22.7</v>
      </c>
      <c r="C192" s="2">
        <f t="shared" si="82"/>
        <v>24.020000000000003</v>
      </c>
      <c r="D192" s="2">
        <f t="shared" si="82"/>
        <v>49</v>
      </c>
      <c r="E192" s="2">
        <f t="shared" si="82"/>
        <v>242.95500000000001</v>
      </c>
      <c r="F192" s="2">
        <f t="shared" si="82"/>
        <v>144.82500000000002</v>
      </c>
      <c r="G192" s="2">
        <f t="shared" si="82"/>
        <v>80.099999999999994</v>
      </c>
      <c r="H192" s="2">
        <f t="shared" si="82"/>
        <v>356.78599999999994</v>
      </c>
      <c r="I192" s="2">
        <f t="shared" si="82"/>
        <v>455.07799999999997</v>
      </c>
      <c r="J192" s="2">
        <f t="shared" si="82"/>
        <v>570.07099999999991</v>
      </c>
      <c r="K192" s="2">
        <f t="shared" si="82"/>
        <v>480.33500000000004</v>
      </c>
      <c r="L192" s="2">
        <f t="shared" si="82"/>
        <v>265.03500000000003</v>
      </c>
      <c r="M192" s="2">
        <f t="shared" si="82"/>
        <v>219.49</v>
      </c>
      <c r="N192" s="2">
        <f t="shared" si="75"/>
        <v>2910.3949999999995</v>
      </c>
      <c r="O192" s="3">
        <f t="shared" si="73"/>
        <v>1279.7439999999999</v>
      </c>
      <c r="P192" s="3">
        <f t="shared" ref="P192:P198" si="83">E192+F192+G192+H192+I192+J192</f>
        <v>1849.8149999999998</v>
      </c>
      <c r="Q192" s="3">
        <f t="shared" ref="Q192:Q198" si="84">L192+M192+B193</f>
        <v>535.32500000000005</v>
      </c>
      <c r="R192" s="4">
        <f t="shared" si="81"/>
        <v>597.22500000000014</v>
      </c>
    </row>
    <row r="193" spans="1:18" x14ac:dyDescent="0.15">
      <c r="A193" s="2" t="s">
        <v>33</v>
      </c>
      <c r="B193" s="2">
        <f t="shared" ref="B193:M193" si="85">B163+B133+B103+B73+B43+B13</f>
        <v>50.8</v>
      </c>
      <c r="C193" s="2">
        <f t="shared" si="85"/>
        <v>24.7</v>
      </c>
      <c r="D193" s="2">
        <f t="shared" si="85"/>
        <v>37.200000000000003</v>
      </c>
      <c r="E193" s="2">
        <f t="shared" si="85"/>
        <v>36.200000000000003</v>
      </c>
      <c r="F193" s="2">
        <f t="shared" si="85"/>
        <v>275.88100000000003</v>
      </c>
      <c r="G193" s="2">
        <f t="shared" si="85"/>
        <v>42.441000000000003</v>
      </c>
      <c r="H193" s="2">
        <f t="shared" si="85"/>
        <v>177.12799999999999</v>
      </c>
      <c r="I193" s="2">
        <f t="shared" si="85"/>
        <v>286.75700000000001</v>
      </c>
      <c r="J193" s="2">
        <f t="shared" si="85"/>
        <v>54.750999999999998</v>
      </c>
      <c r="K193" s="2">
        <f t="shared" si="85"/>
        <v>96.050000000000011</v>
      </c>
      <c r="L193" s="2">
        <f t="shared" si="85"/>
        <v>205.8</v>
      </c>
      <c r="M193" s="2">
        <f t="shared" si="85"/>
        <v>21.4</v>
      </c>
      <c r="N193" s="2">
        <f t="shared" si="75"/>
        <v>1309.1080000000002</v>
      </c>
      <c r="O193" s="3">
        <f t="shared" si="73"/>
        <v>818.40700000000015</v>
      </c>
      <c r="P193" s="3">
        <f t="shared" si="83"/>
        <v>873.15800000000013</v>
      </c>
      <c r="Q193" s="3">
        <f t="shared" si="84"/>
        <v>264</v>
      </c>
      <c r="R193" s="4">
        <f t="shared" si="81"/>
        <v>425.23400000000004</v>
      </c>
    </row>
    <row r="194" spans="1:18" x14ac:dyDescent="0.15">
      <c r="A194" s="2" t="s">
        <v>34</v>
      </c>
      <c r="B194" s="2">
        <f t="shared" ref="B194:M194" si="86">B164+B134+B104+B74+B44+B14</f>
        <v>36.799999999999997</v>
      </c>
      <c r="C194" s="2">
        <f t="shared" si="86"/>
        <v>42.766000000000005</v>
      </c>
      <c r="D194" s="2">
        <f t="shared" si="86"/>
        <v>118.46800000000002</v>
      </c>
      <c r="E194" s="2">
        <f t="shared" si="86"/>
        <v>528.47</v>
      </c>
      <c r="F194" s="2">
        <f t="shared" si="86"/>
        <v>110.21000000000001</v>
      </c>
      <c r="G194" s="2">
        <f t="shared" si="86"/>
        <v>63.69</v>
      </c>
      <c r="H194" s="2">
        <f t="shared" si="86"/>
        <v>1041.6779999999999</v>
      </c>
      <c r="I194" s="2">
        <f t="shared" si="86"/>
        <v>797.6099999999999</v>
      </c>
      <c r="J194" s="2">
        <f t="shared" si="86"/>
        <v>2734.6</v>
      </c>
      <c r="K194" s="2">
        <f t="shared" si="86"/>
        <v>820.19999999999993</v>
      </c>
      <c r="L194" s="2">
        <f t="shared" si="86"/>
        <v>465</v>
      </c>
      <c r="M194" s="2">
        <f t="shared" si="86"/>
        <v>98</v>
      </c>
      <c r="N194" s="2">
        <f t="shared" ref="N194:N199" si="87">SUM(B194:M194)</f>
        <v>6857.4919999999993</v>
      </c>
      <c r="O194" s="3">
        <f t="shared" si="73"/>
        <v>2541.6579999999999</v>
      </c>
      <c r="P194" s="3">
        <f t="shared" si="83"/>
        <v>5276.2579999999998</v>
      </c>
      <c r="Q194" s="3">
        <f t="shared" si="84"/>
        <v>640.1</v>
      </c>
      <c r="R194" s="4">
        <f t="shared" si="81"/>
        <v>1059.9679999999998</v>
      </c>
    </row>
    <row r="195" spans="1:18" x14ac:dyDescent="0.15">
      <c r="A195" s="2" t="s">
        <v>35</v>
      </c>
      <c r="B195" s="2">
        <f t="shared" ref="B195:M195" si="88">B165+B135+B105+B75+B45+B15</f>
        <v>77.099999999999994</v>
      </c>
      <c r="C195" s="2">
        <f t="shared" si="88"/>
        <v>207.63299999999998</v>
      </c>
      <c r="D195" s="2">
        <f t="shared" si="88"/>
        <v>212.23500000000001</v>
      </c>
      <c r="E195" s="2">
        <f t="shared" si="88"/>
        <v>253.25299999999999</v>
      </c>
      <c r="F195" s="2">
        <f t="shared" si="88"/>
        <v>75.911000000000001</v>
      </c>
      <c r="G195" s="2">
        <f t="shared" si="88"/>
        <v>112.048</v>
      </c>
      <c r="H195" s="2">
        <f t="shared" si="88"/>
        <v>397.54400000000004</v>
      </c>
      <c r="I195" s="2">
        <f t="shared" si="88"/>
        <v>1630.9889999999996</v>
      </c>
      <c r="J195" s="2">
        <f t="shared" si="88"/>
        <v>1781.31</v>
      </c>
      <c r="K195" s="2">
        <f t="shared" si="88"/>
        <v>1355.0989999999997</v>
      </c>
      <c r="L195" s="2">
        <f t="shared" si="88"/>
        <v>170.65699999999998</v>
      </c>
      <c r="M195" s="2">
        <f t="shared" si="88"/>
        <v>75.86</v>
      </c>
      <c r="N195" s="2">
        <f t="shared" si="87"/>
        <v>6349.6389999999992</v>
      </c>
      <c r="O195" s="3">
        <f t="shared" si="73"/>
        <v>2469.7449999999999</v>
      </c>
      <c r="P195" s="3">
        <f t="shared" si="83"/>
        <v>4251.0550000000003</v>
      </c>
      <c r="Q195" s="3">
        <f t="shared" si="84"/>
        <v>270.91699999999997</v>
      </c>
      <c r="R195" s="4">
        <f t="shared" si="81"/>
        <v>948.923</v>
      </c>
    </row>
    <row r="196" spans="1:18" x14ac:dyDescent="0.15">
      <c r="A196" s="2" t="s">
        <v>37</v>
      </c>
      <c r="B196" s="2">
        <f t="shared" ref="B196:M196" si="89">B166+B136+B106+B76+B46+B16</f>
        <v>24.4</v>
      </c>
      <c r="C196" s="2">
        <f t="shared" si="89"/>
        <v>488.52600000000001</v>
      </c>
      <c r="D196" s="2">
        <f t="shared" si="89"/>
        <v>189.48</v>
      </c>
      <c r="E196" s="2">
        <f t="shared" si="89"/>
        <v>73.734000000000009</v>
      </c>
      <c r="F196" s="2">
        <f t="shared" si="89"/>
        <v>68.131</v>
      </c>
      <c r="G196" s="2">
        <f t="shared" si="89"/>
        <v>143.39400000000003</v>
      </c>
      <c r="H196" s="2">
        <f t="shared" si="89"/>
        <v>270.98099999999999</v>
      </c>
      <c r="I196" s="2">
        <f t="shared" si="89"/>
        <v>1032.5119999999999</v>
      </c>
      <c r="J196" s="2">
        <f t="shared" si="89"/>
        <v>864.17699999999991</v>
      </c>
      <c r="K196" s="2">
        <f t="shared" si="89"/>
        <v>718.85</v>
      </c>
      <c r="L196" s="2">
        <f t="shared" si="89"/>
        <v>205.12899999999999</v>
      </c>
      <c r="M196" s="2">
        <f t="shared" si="89"/>
        <v>86.001999999999995</v>
      </c>
      <c r="N196" s="2">
        <f t="shared" si="87"/>
        <v>4165.3159999999998</v>
      </c>
      <c r="O196" s="3">
        <f t="shared" si="73"/>
        <v>1588.752</v>
      </c>
      <c r="P196" s="3">
        <f t="shared" si="83"/>
        <v>2452.9290000000001</v>
      </c>
      <c r="Q196" s="3">
        <f t="shared" si="84"/>
        <v>421.49299999999994</v>
      </c>
      <c r="R196" s="4">
        <f t="shared" si="81"/>
        <v>506.26399999999995</v>
      </c>
    </row>
    <row r="197" spans="1:18" x14ac:dyDescent="0.15">
      <c r="A197" s="2" t="s">
        <v>39</v>
      </c>
      <c r="B197" s="2">
        <f t="shared" ref="B197:M197" si="90">B167+B137+B107+B77+B47+B17</f>
        <v>130.36199999999999</v>
      </c>
      <c r="C197" s="2">
        <f t="shared" si="90"/>
        <v>52.368000000000002</v>
      </c>
      <c r="D197" s="2">
        <f t="shared" si="90"/>
        <v>32.402999999999999</v>
      </c>
      <c r="E197" s="2">
        <f t="shared" si="90"/>
        <v>64.001000000000005</v>
      </c>
      <c r="F197" s="2">
        <f t="shared" si="90"/>
        <v>63.274000000000001</v>
      </c>
      <c r="G197" s="2">
        <f t="shared" si="90"/>
        <v>568.096</v>
      </c>
      <c r="H197" s="2">
        <f t="shared" si="90"/>
        <v>524.70299999999997</v>
      </c>
      <c r="I197" s="2">
        <f t="shared" si="90"/>
        <v>1472.9579999999996</v>
      </c>
      <c r="J197" s="2">
        <f t="shared" si="90"/>
        <v>1322.5719999999999</v>
      </c>
      <c r="K197" s="2">
        <f t="shared" si="90"/>
        <v>471.57099999999997</v>
      </c>
      <c r="L197" s="2">
        <f t="shared" si="90"/>
        <v>58.707999999999998</v>
      </c>
      <c r="M197" s="2">
        <f t="shared" si="90"/>
        <v>226.459</v>
      </c>
      <c r="N197" s="2">
        <f t="shared" si="87"/>
        <v>4987.4749999999985</v>
      </c>
      <c r="O197" s="3">
        <f t="shared" si="73"/>
        <v>2693.0319999999997</v>
      </c>
      <c r="P197" s="3">
        <f t="shared" si="83"/>
        <v>4015.6039999999994</v>
      </c>
      <c r="Q197" s="3">
        <f t="shared" si="84"/>
        <v>375.13400000000001</v>
      </c>
      <c r="R197" s="4">
        <f t="shared" si="81"/>
        <v>400.76000000000005</v>
      </c>
    </row>
    <row r="198" spans="1:18" x14ac:dyDescent="0.15">
      <c r="A198" s="2" t="s">
        <v>40</v>
      </c>
      <c r="B198" s="2">
        <f t="shared" ref="B198:M198" si="91">B168+B138+B108+B78+B48+B18</f>
        <v>89.966999999999999</v>
      </c>
      <c r="C198" s="2">
        <f t="shared" si="91"/>
        <v>3.6360000000000001</v>
      </c>
      <c r="D198" s="2">
        <f t="shared" si="91"/>
        <v>21.99</v>
      </c>
      <c r="E198" s="2">
        <f t="shared" si="91"/>
        <v>93.433999999999997</v>
      </c>
      <c r="F198" s="2">
        <f t="shared" si="91"/>
        <v>93.283600000000007</v>
      </c>
      <c r="G198" s="2">
        <f t="shared" si="91"/>
        <v>111.11699999999999</v>
      </c>
      <c r="H198" s="2">
        <f t="shared" si="91"/>
        <v>82.114999999999995</v>
      </c>
      <c r="I198" s="2">
        <f t="shared" si="91"/>
        <v>488.18799999999999</v>
      </c>
      <c r="J198" s="2">
        <f t="shared" si="91"/>
        <v>974.0440000000001</v>
      </c>
      <c r="K198" s="2">
        <f t="shared" si="91"/>
        <v>502.93299999999999</v>
      </c>
      <c r="L198" s="2">
        <f t="shared" si="91"/>
        <v>141.28100000000001</v>
      </c>
      <c r="M198" s="2">
        <f t="shared" si="91"/>
        <v>11.260999999999999</v>
      </c>
      <c r="N198" s="2">
        <f t="shared" si="87"/>
        <v>2613.2496000000001</v>
      </c>
      <c r="O198" s="3">
        <f t="shared" si="73"/>
        <v>868.13760000000002</v>
      </c>
      <c r="P198" s="3">
        <f t="shared" si="83"/>
        <v>1842.1816000000001</v>
      </c>
      <c r="Q198" s="3">
        <f t="shared" si="84"/>
        <v>214.61600000000001</v>
      </c>
      <c r="R198" s="4">
        <f t="shared" si="81"/>
        <v>737.21699999999998</v>
      </c>
    </row>
    <row r="199" spans="1:18" x14ac:dyDescent="0.15">
      <c r="A199" s="2" t="s">
        <v>41</v>
      </c>
      <c r="B199" s="2">
        <f t="shared" ref="B199:M199" si="92">B169+B139+B109+B79+B49+B19</f>
        <v>62.074000000000005</v>
      </c>
      <c r="C199" s="2">
        <f t="shared" si="92"/>
        <v>66.429999999999993</v>
      </c>
      <c r="D199" s="2">
        <f t="shared" si="92"/>
        <v>456.17099999999999</v>
      </c>
      <c r="E199" s="2">
        <f t="shared" si="92"/>
        <v>826.12</v>
      </c>
      <c r="F199" s="2">
        <f t="shared" si="92"/>
        <v>495.93149999999997</v>
      </c>
      <c r="G199" s="2">
        <f t="shared" si="92"/>
        <v>233.661</v>
      </c>
      <c r="H199" s="2">
        <f t="shared" si="92"/>
        <v>416.65100000000001</v>
      </c>
      <c r="I199" s="2">
        <f t="shared" si="92"/>
        <v>1263.0350000000001</v>
      </c>
      <c r="J199" s="2">
        <f t="shared" si="92"/>
        <v>469.79699999999997</v>
      </c>
      <c r="K199" s="2">
        <f t="shared" si="92"/>
        <v>784.02399999999989</v>
      </c>
      <c r="L199" s="2">
        <f t="shared" si="92"/>
        <v>159.93000000000004</v>
      </c>
      <c r="M199" s="2">
        <f t="shared" si="92"/>
        <v>163.94699999999997</v>
      </c>
      <c r="N199" s="2">
        <f t="shared" si="87"/>
        <v>5397.7714999999989</v>
      </c>
      <c r="O199" s="3">
        <f t="shared" si="73"/>
        <v>3235.3985000000002</v>
      </c>
      <c r="P199" s="3">
        <f t="shared" ref="P199:P204" si="93">E199+F199+G199+H199+I199+J199</f>
        <v>3705.1955000000003</v>
      </c>
      <c r="Q199" s="3">
        <f t="shared" ref="Q199:Q204" si="94">L199+M199+B200</f>
        <v>355.10599999999999</v>
      </c>
      <c r="R199" s="4">
        <f t="shared" ref="R199:R204" si="95">L199+M199+B200+C200+D200</f>
        <v>1453.809</v>
      </c>
    </row>
    <row r="200" spans="1:18" x14ac:dyDescent="0.15">
      <c r="A200" s="2" t="s">
        <v>45</v>
      </c>
      <c r="B200" s="2">
        <f t="shared" ref="B200:M200" si="96">B170+B140+B110+B80+B50+B20</f>
        <v>31.228999999999999</v>
      </c>
      <c r="C200" s="2">
        <f t="shared" si="96"/>
        <v>323.209</v>
      </c>
      <c r="D200" s="2">
        <f t="shared" si="96"/>
        <v>775.49399999999991</v>
      </c>
      <c r="E200" s="2">
        <f t="shared" si="96"/>
        <v>987.53649999999993</v>
      </c>
      <c r="F200" s="2">
        <f t="shared" si="96"/>
        <v>1263.229</v>
      </c>
      <c r="G200" s="2">
        <f t="shared" si="96"/>
        <v>455.21200000000005</v>
      </c>
      <c r="H200" s="2">
        <f t="shared" si="96"/>
        <v>579.05749999999989</v>
      </c>
      <c r="I200" s="2">
        <f t="shared" si="96"/>
        <v>1117.7647000000004</v>
      </c>
      <c r="J200" s="2">
        <f t="shared" si="96"/>
        <v>1229.6949</v>
      </c>
      <c r="K200" s="2">
        <f t="shared" si="96"/>
        <v>5634.7709999999997</v>
      </c>
      <c r="L200" s="2">
        <f t="shared" si="96"/>
        <v>2378.3865000000001</v>
      </c>
      <c r="M200" s="2">
        <f t="shared" si="96"/>
        <v>5.968</v>
      </c>
      <c r="N200" s="2">
        <f t="shared" ref="N200:N211" si="97">SUM(B200:M200)</f>
        <v>14781.552100000001</v>
      </c>
      <c r="O200" s="3">
        <f t="shared" si="73"/>
        <v>4402.7997000000005</v>
      </c>
      <c r="P200" s="3">
        <f t="shared" si="93"/>
        <v>5632.4946</v>
      </c>
      <c r="Q200" s="3">
        <f t="shared" si="94"/>
        <v>3032.3359999999998</v>
      </c>
      <c r="R200" s="4">
        <f t="shared" si="95"/>
        <v>3491.4634999999998</v>
      </c>
    </row>
    <row r="201" spans="1:18" x14ac:dyDescent="0.15">
      <c r="A201" s="2" t="s">
        <v>48</v>
      </c>
      <c r="B201" s="2">
        <f t="shared" ref="B201:M201" si="98">B171+B141+B111+B81+B51+B21</f>
        <v>647.98149999999998</v>
      </c>
      <c r="C201" s="2">
        <f t="shared" si="98"/>
        <v>121.35849999999999</v>
      </c>
      <c r="D201" s="2">
        <f t="shared" si="98"/>
        <v>337.76900000000001</v>
      </c>
      <c r="E201" s="2">
        <f t="shared" si="98"/>
        <v>620.79899999999998</v>
      </c>
      <c r="F201" s="2">
        <f t="shared" si="98"/>
        <v>437.18100000000004</v>
      </c>
      <c r="G201" s="2">
        <f t="shared" si="98"/>
        <v>307.13099999999997</v>
      </c>
      <c r="H201" s="2">
        <f t="shared" si="98"/>
        <v>610.72450000000003</v>
      </c>
      <c r="I201" s="2">
        <f t="shared" si="98"/>
        <v>606.6635</v>
      </c>
      <c r="J201" s="2">
        <f t="shared" si="98"/>
        <v>1231.633</v>
      </c>
      <c r="K201" s="2">
        <f t="shared" si="98"/>
        <v>941.00650000000007</v>
      </c>
      <c r="L201" s="2">
        <f t="shared" si="98"/>
        <v>655.3934999999999</v>
      </c>
      <c r="M201" s="2">
        <f t="shared" si="98"/>
        <v>311.72000000000003</v>
      </c>
      <c r="N201" s="2">
        <f t="shared" si="97"/>
        <v>6829.3610000000008</v>
      </c>
      <c r="O201" s="3">
        <f t="shared" si="73"/>
        <v>2582.4989999999998</v>
      </c>
      <c r="P201" s="3">
        <f t="shared" si="93"/>
        <v>3814.1319999999996</v>
      </c>
      <c r="Q201" s="3">
        <f t="shared" si="94"/>
        <v>1259.538</v>
      </c>
      <c r="R201" s="4">
        <f t="shared" si="95"/>
        <v>2264.0185000000001</v>
      </c>
    </row>
    <row r="202" spans="1:18" x14ac:dyDescent="0.15">
      <c r="A202" s="2" t="s">
        <v>56</v>
      </c>
      <c r="B202" s="2">
        <f t="shared" ref="B202:D203" si="99">B172+B142+B112+B82+B52+B22</f>
        <v>292.42450000000002</v>
      </c>
      <c r="C202" s="2">
        <f t="shared" si="99"/>
        <v>220.964</v>
      </c>
      <c r="D202" s="2">
        <f t="shared" si="99"/>
        <v>783.51649999999995</v>
      </c>
      <c r="E202" s="2">
        <f t="shared" ref="E202:M202" si="100">E172+E142+E112+E82+E52+E22</f>
        <v>32.252000000000002</v>
      </c>
      <c r="F202" s="2">
        <f t="shared" si="100"/>
        <v>159.684</v>
      </c>
      <c r="G202" s="2">
        <f t="shared" si="100"/>
        <v>377.17220000000003</v>
      </c>
      <c r="H202" s="2">
        <f t="shared" si="100"/>
        <v>515.91930000000002</v>
      </c>
      <c r="I202" s="2">
        <f t="shared" si="100"/>
        <v>1366.819</v>
      </c>
      <c r="J202" s="2">
        <f t="shared" si="100"/>
        <v>901.45849999999996</v>
      </c>
      <c r="K202" s="2">
        <f t="shared" si="100"/>
        <v>2183.2094999999999</v>
      </c>
      <c r="L202" s="2">
        <f t="shared" si="100"/>
        <v>1783.0635</v>
      </c>
      <c r="M202" s="2">
        <f t="shared" si="100"/>
        <v>648.56999999999994</v>
      </c>
      <c r="N202" s="2">
        <f t="shared" si="97"/>
        <v>9265.0529999999999</v>
      </c>
      <c r="O202" s="3">
        <f t="shared" si="73"/>
        <v>2451.8465000000001</v>
      </c>
      <c r="P202" s="3">
        <f t="shared" si="93"/>
        <v>3353.3050000000003</v>
      </c>
      <c r="Q202" s="3">
        <f t="shared" si="94"/>
        <v>2724.3885</v>
      </c>
      <c r="R202" s="4">
        <f t="shared" si="95"/>
        <v>4317.1845000000003</v>
      </c>
    </row>
    <row r="203" spans="1:18" x14ac:dyDescent="0.15">
      <c r="A203" s="14" t="s">
        <v>92</v>
      </c>
      <c r="B203" s="2">
        <f t="shared" si="99"/>
        <v>292.755</v>
      </c>
      <c r="C203" s="2">
        <f t="shared" si="99"/>
        <v>1134.2450000000001</v>
      </c>
      <c r="D203" s="2">
        <f t="shared" si="99"/>
        <v>458.55100000000004</v>
      </c>
      <c r="E203" s="2">
        <f t="shared" ref="E203:M203" si="101">E173+E143+E113+E83+E53+E23</f>
        <v>426.19650000000001</v>
      </c>
      <c r="F203" s="2">
        <f t="shared" si="101"/>
        <v>841.95100000000002</v>
      </c>
      <c r="G203" s="2">
        <f t="shared" si="101"/>
        <v>473.8295</v>
      </c>
      <c r="H203" s="2">
        <f t="shared" si="101"/>
        <v>292.07299999999998</v>
      </c>
      <c r="I203" s="2">
        <f t="shared" si="101"/>
        <v>643.87090000000001</v>
      </c>
      <c r="J203" s="2">
        <f t="shared" si="101"/>
        <v>2004.377</v>
      </c>
      <c r="K203" s="2">
        <f t="shared" si="101"/>
        <v>2536.5709999999995</v>
      </c>
      <c r="L203" s="2">
        <f t="shared" si="101"/>
        <v>840.78</v>
      </c>
      <c r="M203" s="2">
        <f t="shared" si="101"/>
        <v>399.30349999999993</v>
      </c>
      <c r="N203" s="2">
        <f t="shared" si="97"/>
        <v>10344.5034</v>
      </c>
      <c r="O203" s="3">
        <f t="shared" si="73"/>
        <v>2677.9209000000001</v>
      </c>
      <c r="P203" s="3">
        <f t="shared" si="93"/>
        <v>4682.2978999999996</v>
      </c>
      <c r="Q203" s="3">
        <f t="shared" si="94"/>
        <v>1382.1895</v>
      </c>
      <c r="R203" s="4">
        <f t="shared" si="95"/>
        <v>4406.674</v>
      </c>
    </row>
    <row r="204" spans="1:18" x14ac:dyDescent="0.15">
      <c r="A204" s="14" t="s">
        <v>103</v>
      </c>
      <c r="B204" s="2">
        <f t="shared" ref="B204:B211" si="102">B174+B144+B114+B84+B54+B24</f>
        <v>142.10600000000002</v>
      </c>
      <c r="C204" s="2">
        <f t="shared" ref="C204:M204" si="103">C174+C144+C114+C84+C54+C24</f>
        <v>1564.4275000000002</v>
      </c>
      <c r="D204" s="2">
        <f t="shared" si="103"/>
        <v>1460.057</v>
      </c>
      <c r="E204" s="2">
        <f t="shared" si="103"/>
        <v>370.67749999999995</v>
      </c>
      <c r="F204" s="2">
        <f t="shared" si="103"/>
        <v>1047.2355</v>
      </c>
      <c r="G204" s="2">
        <f t="shared" si="103"/>
        <v>405.46199999999999</v>
      </c>
      <c r="H204" s="2">
        <f t="shared" si="103"/>
        <v>321.11400000000003</v>
      </c>
      <c r="I204" s="2">
        <f t="shared" si="103"/>
        <v>1255.8127999999999</v>
      </c>
      <c r="J204" s="2">
        <f t="shared" si="103"/>
        <v>2368.8164999999999</v>
      </c>
      <c r="K204" s="2">
        <f t="shared" si="103"/>
        <v>3006.6225000000004</v>
      </c>
      <c r="L204" s="2">
        <f t="shared" si="103"/>
        <v>585.90499999999997</v>
      </c>
      <c r="M204" s="2">
        <f t="shared" si="103"/>
        <v>620.827</v>
      </c>
      <c r="N204" s="2">
        <f t="shared" si="97"/>
        <v>13149.063300000002</v>
      </c>
      <c r="O204" s="3">
        <f t="shared" ref="O204:O209" si="104">E204+F204+G204+H204+I204</f>
        <v>3400.3018000000002</v>
      </c>
      <c r="P204" s="3">
        <f t="shared" si="93"/>
        <v>5769.1183000000001</v>
      </c>
      <c r="Q204" s="3">
        <f t="shared" si="94"/>
        <v>1973.511</v>
      </c>
      <c r="R204" s="4">
        <f t="shared" si="95"/>
        <v>3431.9930000000004</v>
      </c>
    </row>
    <row r="205" spans="1:18" x14ac:dyDescent="0.15">
      <c r="A205" s="14" t="s">
        <v>121</v>
      </c>
      <c r="B205" s="2">
        <f t="shared" si="102"/>
        <v>766.779</v>
      </c>
      <c r="C205" s="2">
        <f t="shared" ref="C205:M205" si="105">C175+C145+C115+C85+C55+C25</f>
        <v>812.90000000000009</v>
      </c>
      <c r="D205" s="2">
        <f t="shared" si="105"/>
        <v>645.58200000000011</v>
      </c>
      <c r="E205" s="2">
        <f t="shared" si="105"/>
        <v>1166.3600000000001</v>
      </c>
      <c r="F205" s="2">
        <f t="shared" si="105"/>
        <v>870.20294999999999</v>
      </c>
      <c r="G205" s="2">
        <f t="shared" si="105"/>
        <v>1381.40795</v>
      </c>
      <c r="H205" s="2">
        <f t="shared" si="105"/>
        <v>1656.395</v>
      </c>
      <c r="I205" s="2">
        <f t="shared" si="105"/>
        <v>2645.3665000000001</v>
      </c>
      <c r="J205" s="2">
        <f t="shared" si="105"/>
        <v>4387.2610000000004</v>
      </c>
      <c r="K205" s="2">
        <f t="shared" si="105"/>
        <v>2311.7560000000003</v>
      </c>
      <c r="L205" s="2">
        <f t="shared" si="105"/>
        <v>1414.8679999999997</v>
      </c>
      <c r="M205" s="2">
        <f t="shared" si="105"/>
        <v>488.36200000000002</v>
      </c>
      <c r="N205" s="2">
        <f t="shared" si="97"/>
        <v>18547.240400000002</v>
      </c>
      <c r="O205" s="3">
        <f t="shared" si="104"/>
        <v>7719.7324000000008</v>
      </c>
      <c r="P205" s="3">
        <f t="shared" ref="P205:P210" si="106">E205+F205+G205+H205+I205+J205</f>
        <v>12106.993400000001</v>
      </c>
      <c r="Q205" s="3">
        <f t="shared" ref="Q205:Q210" si="107">L205+M205+B206</f>
        <v>2797.9359999999997</v>
      </c>
      <c r="R205" s="4">
        <f t="shared" ref="R205:R210" si="108">L205+M205+B206+C206+D206</f>
        <v>4885.7379999999994</v>
      </c>
    </row>
    <row r="206" spans="1:18" x14ac:dyDescent="0.15">
      <c r="A206" s="14" t="s">
        <v>129</v>
      </c>
      <c r="B206" s="2">
        <f t="shared" si="102"/>
        <v>894.70600000000002</v>
      </c>
      <c r="C206" s="2">
        <f t="shared" ref="C206:H206" si="109">C176+C146+C116+C86+C56+C26</f>
        <v>853.41100000000006</v>
      </c>
      <c r="D206" s="2">
        <f t="shared" si="109"/>
        <v>1234.3910000000001</v>
      </c>
      <c r="E206" s="2">
        <f t="shared" si="109"/>
        <v>994.43399999999997</v>
      </c>
      <c r="F206" s="2">
        <f t="shared" si="109"/>
        <v>2288.4670000000001</v>
      </c>
      <c r="G206" s="2">
        <f t="shared" si="109"/>
        <v>591.10350000000005</v>
      </c>
      <c r="H206" s="2">
        <f t="shared" si="109"/>
        <v>1621.8535000000002</v>
      </c>
      <c r="I206" s="2">
        <f t="shared" ref="I206:M207" si="110">I176+I146+I116+I86+I56+I26</f>
        <v>2819.6530000000002</v>
      </c>
      <c r="J206" s="2">
        <f t="shared" si="110"/>
        <v>3262.0320000000002</v>
      </c>
      <c r="K206" s="2">
        <f t="shared" si="110"/>
        <v>2452.4209999999998</v>
      </c>
      <c r="L206" s="2">
        <f t="shared" si="110"/>
        <v>2054.3360000000002</v>
      </c>
      <c r="M206" s="2">
        <f t="shared" si="110"/>
        <v>3120.748</v>
      </c>
      <c r="N206" s="2">
        <f t="shared" si="97"/>
        <v>22187.555999999997</v>
      </c>
      <c r="O206" s="3">
        <f t="shared" si="104"/>
        <v>8315.5110000000004</v>
      </c>
      <c r="P206" s="3">
        <f t="shared" si="106"/>
        <v>11577.543000000001</v>
      </c>
      <c r="Q206" s="3">
        <f t="shared" si="107"/>
        <v>5977.331000000001</v>
      </c>
      <c r="R206" s="4">
        <f t="shared" si="108"/>
        <v>7237.1820000000016</v>
      </c>
    </row>
    <row r="207" spans="1:18" x14ac:dyDescent="0.15">
      <c r="A207" s="14" t="s">
        <v>136</v>
      </c>
      <c r="B207" s="2">
        <f t="shared" si="102"/>
        <v>802.24700000000007</v>
      </c>
      <c r="C207" s="2">
        <f t="shared" ref="C207:H207" si="111">C177+C147+C117+C87+C57+C27</f>
        <v>662.70299999999997</v>
      </c>
      <c r="D207" s="2">
        <f t="shared" si="111"/>
        <v>597.14800000000014</v>
      </c>
      <c r="E207" s="2">
        <f t="shared" si="111"/>
        <v>842.75300000000004</v>
      </c>
      <c r="F207" s="2">
        <f t="shared" si="111"/>
        <v>904.70500000000004</v>
      </c>
      <c r="G207" s="2">
        <f t="shared" si="111"/>
        <v>1078.79</v>
      </c>
      <c r="H207" s="2">
        <f t="shared" si="111"/>
        <v>1923.5030000000004</v>
      </c>
      <c r="I207" s="2">
        <f t="shared" si="110"/>
        <v>2354.12</v>
      </c>
      <c r="J207" s="2">
        <f t="shared" si="110"/>
        <v>1618.0529999999999</v>
      </c>
      <c r="K207" s="2">
        <f t="shared" si="110"/>
        <v>935.46</v>
      </c>
      <c r="L207" s="2">
        <f t="shared" si="110"/>
        <v>2902.297</v>
      </c>
      <c r="M207" s="2">
        <f t="shared" si="110"/>
        <v>454.94299999999998</v>
      </c>
      <c r="N207" s="2">
        <f t="shared" si="97"/>
        <v>15076.722</v>
      </c>
      <c r="O207" s="3">
        <f t="shared" si="104"/>
        <v>7103.8710000000001</v>
      </c>
      <c r="P207" s="3">
        <f t="shared" si="106"/>
        <v>8721.9239999999991</v>
      </c>
      <c r="Q207" s="3">
        <f t="shared" si="107"/>
        <v>4166.5109999999995</v>
      </c>
      <c r="R207" s="4">
        <f t="shared" si="108"/>
        <v>5245.8760000000002</v>
      </c>
    </row>
    <row r="208" spans="1:18" x14ac:dyDescent="0.15">
      <c r="A208" s="14" t="s">
        <v>140</v>
      </c>
      <c r="B208" s="2">
        <f t="shared" si="102"/>
        <v>809.27099999999996</v>
      </c>
      <c r="C208" s="2">
        <f t="shared" ref="C208:I208" si="112">C178+C148+C118+C88+C58+C28</f>
        <v>688.37199999999996</v>
      </c>
      <c r="D208" s="2">
        <f t="shared" si="112"/>
        <v>390.99299999999999</v>
      </c>
      <c r="E208" s="2">
        <f t="shared" si="112"/>
        <v>1449.989</v>
      </c>
      <c r="F208" s="2">
        <f t="shared" si="112"/>
        <v>873.56799999999998</v>
      </c>
      <c r="G208" s="2">
        <f t="shared" si="112"/>
        <v>599.38799999999992</v>
      </c>
      <c r="H208" s="2">
        <f t="shared" si="112"/>
        <v>287.99400000000009</v>
      </c>
      <c r="I208" s="2">
        <f t="shared" si="112"/>
        <v>279.84000000000003</v>
      </c>
      <c r="J208" s="2">
        <f t="shared" ref="J208:M209" si="113">J178+J148+J118+J88+J58+J28</f>
        <v>681.005</v>
      </c>
      <c r="K208" s="2">
        <f t="shared" si="113"/>
        <v>4854.7380000000003</v>
      </c>
      <c r="L208" s="2">
        <f t="shared" si="113"/>
        <v>5840.5429999999997</v>
      </c>
      <c r="M208" s="2">
        <f t="shared" si="113"/>
        <v>3618.36</v>
      </c>
      <c r="N208" s="2">
        <f t="shared" si="97"/>
        <v>20374.061000000002</v>
      </c>
      <c r="O208" s="3">
        <f t="shared" si="104"/>
        <v>3490.779</v>
      </c>
      <c r="P208" s="3">
        <f t="shared" si="106"/>
        <v>4171.7839999999997</v>
      </c>
      <c r="Q208" s="3">
        <f t="shared" si="107"/>
        <v>10713.791000000001</v>
      </c>
      <c r="R208" s="4">
        <f t="shared" si="108"/>
        <v>16205.115000000002</v>
      </c>
    </row>
    <row r="209" spans="1:19" x14ac:dyDescent="0.15">
      <c r="A209" s="14" t="s">
        <v>143</v>
      </c>
      <c r="B209" s="2">
        <f t="shared" si="102"/>
        <v>1254.8879999999999</v>
      </c>
      <c r="C209" s="2">
        <f t="shared" ref="C209:I210" si="114">C179+C149+C119+C89+C59+C29</f>
        <v>1170.4159999999999</v>
      </c>
      <c r="D209" s="2">
        <f t="shared" si="114"/>
        <v>4320.9080000000004</v>
      </c>
      <c r="E209" s="2">
        <f t="shared" si="114"/>
        <v>3510.5860000000002</v>
      </c>
      <c r="F209" s="2">
        <f t="shared" si="114"/>
        <v>1561.34</v>
      </c>
      <c r="G209" s="2">
        <f t="shared" si="114"/>
        <v>1710.125</v>
      </c>
      <c r="H209" s="2">
        <f t="shared" si="114"/>
        <v>3154.8659999999995</v>
      </c>
      <c r="I209" s="2">
        <f t="shared" si="114"/>
        <v>1720.941</v>
      </c>
      <c r="J209" s="2">
        <f t="shared" si="113"/>
        <v>929.38199999999995</v>
      </c>
      <c r="K209" s="2">
        <f t="shared" si="113"/>
        <v>2512.1869999999999</v>
      </c>
      <c r="L209" s="2">
        <f t="shared" si="113"/>
        <v>3570.7080000000001</v>
      </c>
      <c r="M209" s="2">
        <f t="shared" si="113"/>
        <v>4162.4179999999997</v>
      </c>
      <c r="N209" s="2">
        <f t="shared" si="97"/>
        <v>29578.764999999999</v>
      </c>
      <c r="O209" s="3">
        <f t="shared" si="104"/>
        <v>11657.858</v>
      </c>
      <c r="P209" s="3">
        <f t="shared" si="106"/>
        <v>12587.24</v>
      </c>
      <c r="Q209" s="3">
        <f t="shared" si="107"/>
        <v>9745.7060000000001</v>
      </c>
      <c r="R209" s="4">
        <f t="shared" si="108"/>
        <v>14121.247400000002</v>
      </c>
    </row>
    <row r="210" spans="1:19" x14ac:dyDescent="0.15">
      <c r="A210" s="14" t="s">
        <v>149</v>
      </c>
      <c r="B210" s="2">
        <f t="shared" si="102"/>
        <v>2012.58</v>
      </c>
      <c r="C210" s="2">
        <f t="shared" si="114"/>
        <v>2324.2974000000004</v>
      </c>
      <c r="D210" s="2">
        <f t="shared" si="114"/>
        <v>2051.2440000000001</v>
      </c>
      <c r="E210" s="2">
        <f t="shared" si="114"/>
        <v>263.21299999999997</v>
      </c>
      <c r="F210" s="2">
        <f t="shared" si="114"/>
        <v>462.666</v>
      </c>
      <c r="G210" s="2">
        <f t="shared" si="114"/>
        <v>653.7399999999999</v>
      </c>
      <c r="H210" s="2">
        <f t="shared" si="114"/>
        <v>2227.0650000000001</v>
      </c>
      <c r="I210" s="2">
        <f t="shared" si="114"/>
        <v>1818.5320000000002</v>
      </c>
      <c r="J210" s="19">
        <f t="shared" ref="J210:M210" si="115">J180+J150+J120+J90+J60+J30</f>
        <v>2218.297</v>
      </c>
      <c r="K210" s="19">
        <f t="shared" si="115"/>
        <v>1674.827</v>
      </c>
      <c r="L210" s="19">
        <f t="shared" si="115"/>
        <v>3746.0680000000002</v>
      </c>
      <c r="M210" s="19">
        <f t="shared" si="115"/>
        <v>773.76199999999994</v>
      </c>
      <c r="N210" s="2">
        <f>SUM(B210:M210)</f>
        <v>20226.291399999998</v>
      </c>
      <c r="O210" s="3">
        <f>E210+F210+G210+H210+I210</f>
        <v>5425.2160000000003</v>
      </c>
      <c r="P210" s="3">
        <f t="shared" si="106"/>
        <v>7643.5130000000008</v>
      </c>
      <c r="Q210" s="154">
        <f t="shared" si="107"/>
        <v>4831.9859999999999</v>
      </c>
      <c r="R210" s="24">
        <f t="shared" si="108"/>
        <v>4831.9859999999999</v>
      </c>
    </row>
    <row r="211" spans="1:19" x14ac:dyDescent="0.15">
      <c r="A211" s="14" t="s">
        <v>158</v>
      </c>
      <c r="B211" s="19">
        <f t="shared" si="102"/>
        <v>312.15600000000001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2">
        <f t="shared" si="97"/>
        <v>312.15600000000001</v>
      </c>
      <c r="O211" s="154"/>
      <c r="P211" s="154"/>
    </row>
    <row r="212" spans="1:19" x14ac:dyDescent="0.15">
      <c r="B212" s="4">
        <f>AVERAGE(B204:B208)</f>
        <v>683.02179999999987</v>
      </c>
      <c r="C212" s="4">
        <f>AVERAGE(C205:C209)</f>
        <v>837.56039999999996</v>
      </c>
      <c r="D212" s="4">
        <f>AVERAGE(D205:D209)</f>
        <v>1437.8044000000002</v>
      </c>
      <c r="E212" s="4">
        <f>AVERAGE(E205:E209)</f>
        <v>1592.8244</v>
      </c>
      <c r="F212" s="4">
        <f t="shared" ref="F212:M212" si="116">AVERAGE(F205:F209)</f>
        <v>1299.6565900000001</v>
      </c>
      <c r="G212" s="4">
        <f t="shared" si="116"/>
        <v>1072.1628900000001</v>
      </c>
      <c r="H212" s="4">
        <f t="shared" si="116"/>
        <v>1728.9222999999997</v>
      </c>
      <c r="I212" s="4">
        <f t="shared" si="116"/>
        <v>1963.9841000000001</v>
      </c>
      <c r="J212" s="4">
        <f>AVERAGE(J205:J209)</f>
        <v>2175.5466000000001</v>
      </c>
      <c r="K212" s="4">
        <f t="shared" si="116"/>
        <v>2613.3123999999998</v>
      </c>
      <c r="L212" s="4">
        <f t="shared" si="116"/>
        <v>3156.5504000000001</v>
      </c>
      <c r="M212" s="4">
        <f t="shared" si="116"/>
        <v>2368.9661999999998</v>
      </c>
      <c r="O212" s="24">
        <f>AVERAGE(O206:O210)</f>
        <v>7198.6469999999999</v>
      </c>
      <c r="P212" s="24">
        <f>AVERAGE(P206:P210)</f>
        <v>8940.4007999999994</v>
      </c>
      <c r="Q212" s="24">
        <f>AVERAGE(Q205:Q209)</f>
        <v>6680.2550000000001</v>
      </c>
      <c r="R212" s="24">
        <f>AVERAGE(R205:R209)</f>
        <v>9539.0316800000019</v>
      </c>
      <c r="S212" s="4" t="s">
        <v>161</v>
      </c>
    </row>
  </sheetData>
  <phoneticPr fontId="2"/>
  <printOptions gridLines="1" gridLinesSet="0"/>
  <pageMargins left="0.78700000000000003" right="0.78700000000000003" top="0.98399999999999999" bottom="0.98399999999999999" header="0.5" footer="0.5"/>
  <pageSetup paperSize="9" scale="46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tabSelected="1" topLeftCell="E1" zoomScale="75" zoomScaleNormal="75" zoomScalePageLayoutView="75" workbookViewId="0">
      <selection activeCell="V21" sqref="V21"/>
    </sheetView>
  </sheetViews>
  <sheetFormatPr baseColWidth="10" defaultColWidth="9" defaultRowHeight="15" x14ac:dyDescent="0.2"/>
  <cols>
    <col min="1" max="1" width="11.25" style="43" customWidth="1"/>
    <col min="2" max="2" width="10.5" style="43" bestFit="1" customWidth="1"/>
    <col min="3" max="4" width="9.5" style="43" bestFit="1" customWidth="1"/>
    <col min="5" max="5" width="10.75" style="70" bestFit="1" customWidth="1"/>
    <col min="6" max="6" width="9.125" style="70" bestFit="1" customWidth="1"/>
    <col min="7" max="10" width="9.125" style="43" bestFit="1" customWidth="1"/>
    <col min="11" max="13" width="9" style="43"/>
    <col min="14" max="19" width="9.125" style="43" bestFit="1" customWidth="1"/>
    <col min="20" max="21" width="9" style="43"/>
    <col min="22" max="22" width="26.5" style="43" customWidth="1"/>
    <col min="23" max="23" width="9.125" style="43" bestFit="1" customWidth="1"/>
    <col min="24" max="24" width="9.75" style="43" bestFit="1" customWidth="1"/>
    <col min="25" max="16384" width="9" style="43"/>
  </cols>
  <sheetData>
    <row r="1" spans="1:24" x14ac:dyDescent="0.2">
      <c r="A1" s="25" t="s">
        <v>125</v>
      </c>
      <c r="B1" s="25"/>
      <c r="C1" s="25"/>
      <c r="D1" s="25"/>
      <c r="E1" s="30"/>
      <c r="F1" s="30"/>
      <c r="G1" s="25"/>
      <c r="H1" s="25"/>
      <c r="I1" s="25"/>
      <c r="J1" s="25"/>
      <c r="K1" s="25"/>
      <c r="L1" s="25"/>
      <c r="M1" s="26"/>
      <c r="N1" s="26" t="s">
        <v>126</v>
      </c>
    </row>
    <row r="2" spans="1:24" x14ac:dyDescent="0.2">
      <c r="A2" s="25"/>
      <c r="B2" s="187">
        <v>2018</v>
      </c>
      <c r="C2" s="25">
        <f>B2-1</f>
        <v>2017</v>
      </c>
      <c r="D2" s="25" t="str">
        <f>C2&amp;"~"&amp;C2-4</f>
        <v>2017~2013</v>
      </c>
      <c r="E2" s="30"/>
      <c r="F2" s="30"/>
      <c r="G2" s="25"/>
      <c r="H2" s="25"/>
      <c r="I2" s="25"/>
      <c r="J2" s="25"/>
      <c r="K2" s="25"/>
      <c r="L2" s="25"/>
      <c r="M2" s="26"/>
      <c r="N2" s="187">
        <v>2017</v>
      </c>
      <c r="O2" s="25" t="str">
        <f>N2&amp;"~"&amp;N2-4</f>
        <v>2017~2013</v>
      </c>
      <c r="T2" s="43" t="s">
        <v>88</v>
      </c>
      <c r="W2" s="43" t="s">
        <v>97</v>
      </c>
    </row>
    <row r="3" spans="1:24" x14ac:dyDescent="0.2">
      <c r="A3" s="27" t="s">
        <v>61</v>
      </c>
      <c r="B3" s="27" t="str">
        <f>$B$2&amp;"年"</f>
        <v>2018年</v>
      </c>
      <c r="C3" s="27" t="s">
        <v>62</v>
      </c>
      <c r="D3" s="27" t="s">
        <v>63</v>
      </c>
      <c r="E3" s="27" t="s">
        <v>64</v>
      </c>
      <c r="F3" s="27" t="s">
        <v>65</v>
      </c>
      <c r="G3" s="28" t="s">
        <v>66</v>
      </c>
      <c r="H3" s="28" t="s">
        <v>67</v>
      </c>
      <c r="I3" s="28" t="s">
        <v>68</v>
      </c>
      <c r="J3" s="28" t="s">
        <v>69</v>
      </c>
      <c r="K3" s="28" t="s">
        <v>70</v>
      </c>
      <c r="L3" s="28" t="s">
        <v>71</v>
      </c>
      <c r="M3" s="43" t="s">
        <v>124</v>
      </c>
      <c r="N3" s="50" t="s">
        <v>62</v>
      </c>
      <c r="O3" s="44" t="s">
        <v>63</v>
      </c>
      <c r="P3" s="28" t="s">
        <v>66</v>
      </c>
      <c r="Q3" s="28" t="s">
        <v>67</v>
      </c>
      <c r="R3" s="28" t="s">
        <v>68</v>
      </c>
      <c r="S3" s="28" t="s">
        <v>69</v>
      </c>
      <c r="T3" s="44" t="s">
        <v>87</v>
      </c>
      <c r="U3" s="44" t="s">
        <v>86</v>
      </c>
      <c r="V3" s="43" t="s">
        <v>124</v>
      </c>
      <c r="W3" s="43" t="s">
        <v>139</v>
      </c>
    </row>
    <row r="4" spans="1:24" ht="18" x14ac:dyDescent="0.25">
      <c r="A4" s="30" t="s">
        <v>72</v>
      </c>
      <c r="B4" s="210">
        <f>マイワシ!O30</f>
        <v>7.8250000000000002</v>
      </c>
      <c r="C4" s="210">
        <f>マイワシ!O29</f>
        <v>191.07499999999996</v>
      </c>
      <c r="D4" s="210">
        <f>マイワシ!O32</f>
        <v>52.405799999999985</v>
      </c>
      <c r="E4" s="190">
        <f t="shared" ref="E4:E10" si="0">B4/C4*100</f>
        <v>4.0952505560643733</v>
      </c>
      <c r="F4" s="190">
        <f t="shared" ref="F4:F9" si="1">B4/D4*100</f>
        <v>14.931553377679574</v>
      </c>
      <c r="G4" s="191">
        <f>0.8*C4</f>
        <v>152.85999999999999</v>
      </c>
      <c r="H4" s="191">
        <f t="shared" ref="H4:H10" si="2">C4*1.2</f>
        <v>229.28999999999994</v>
      </c>
      <c r="I4" s="191">
        <f t="shared" ref="I4:I10" si="3">D4*0.8</f>
        <v>41.924639999999989</v>
      </c>
      <c r="J4" s="191">
        <f t="shared" ref="J4:J10" si="4">D4*1.2</f>
        <v>62.886959999999981</v>
      </c>
      <c r="K4" s="192" t="str">
        <f t="shared" ref="K4:K9" si="5">IF(C4=0,"-",IF(B4&gt;C4*1.2,"上回った",IF(B4&lt;C4*0.8,"下回った","並み")))</f>
        <v>下回った</v>
      </c>
      <c r="L4" s="192" t="str">
        <f t="shared" ref="L4:L9" si="6">IF(D4=0,"-",IF(B4&gt;D4*1.2,"上回った",IF(B4&lt;D4*0.8,"下回った","並み")))</f>
        <v>下回った</v>
      </c>
      <c r="M4" s="186" t="s">
        <v>148</v>
      </c>
      <c r="N4" s="213">
        <f>マイワシ!S29</f>
        <v>0</v>
      </c>
      <c r="O4" s="214">
        <f>マイワシ!S32</f>
        <v>2.4674</v>
      </c>
      <c r="P4" s="216">
        <f t="shared" ref="P4:P10" si="7">N4*0.8</f>
        <v>0</v>
      </c>
      <c r="Q4" s="216">
        <f t="shared" ref="Q4:Q9" si="8">N4*1.2</f>
        <v>0</v>
      </c>
      <c r="R4" s="216">
        <f t="shared" ref="R4:R10" si="9">O4*0.8</f>
        <v>1.9739200000000001</v>
      </c>
      <c r="S4" s="216">
        <f t="shared" ref="S4:S9" si="10">O4*1.2</f>
        <v>2.96088</v>
      </c>
      <c r="T4" s="186" t="s">
        <v>155</v>
      </c>
      <c r="U4" s="186"/>
      <c r="V4" s="186" t="s">
        <v>156</v>
      </c>
      <c r="W4" s="185">
        <f>$N$2-4</f>
        <v>2013</v>
      </c>
      <c r="X4" s="215">
        <f>マイワシ!R205</f>
        <v>667.89339999999993</v>
      </c>
    </row>
    <row r="5" spans="1:24" ht="18" x14ac:dyDescent="0.25">
      <c r="A5" s="30" t="s">
        <v>73</v>
      </c>
      <c r="B5" s="210">
        <f>マイワシ!O60</f>
        <v>15.470500000000001</v>
      </c>
      <c r="C5" s="210">
        <f>マイワシ!O59</f>
        <v>12.143000000000001</v>
      </c>
      <c r="D5" s="210">
        <f>マイワシ!O62</f>
        <v>65.28479999999999</v>
      </c>
      <c r="E5" s="190">
        <f t="shared" si="0"/>
        <v>127.40261879272008</v>
      </c>
      <c r="F5" s="190">
        <f t="shared" si="1"/>
        <v>23.696940175967459</v>
      </c>
      <c r="G5" s="191">
        <f t="shared" ref="G5:G10" si="11">0.8*C5</f>
        <v>9.7144000000000013</v>
      </c>
      <c r="H5" s="191">
        <f t="shared" si="2"/>
        <v>14.5716</v>
      </c>
      <c r="I5" s="191">
        <f t="shared" si="3"/>
        <v>52.227839999999993</v>
      </c>
      <c r="J5" s="191">
        <f t="shared" si="4"/>
        <v>78.341759999999979</v>
      </c>
      <c r="K5" s="192" t="str">
        <f t="shared" si="5"/>
        <v>上回った</v>
      </c>
      <c r="L5" s="192" t="str">
        <f t="shared" si="6"/>
        <v>下回った</v>
      </c>
      <c r="M5" s="186" t="s">
        <v>148</v>
      </c>
      <c r="N5" s="213">
        <f>マイワシ!S59</f>
        <v>0.29649999999999999</v>
      </c>
      <c r="O5" s="214">
        <f>マイワシ!S62</f>
        <v>5.9299999999999999E-2</v>
      </c>
      <c r="P5" s="216">
        <f t="shared" si="7"/>
        <v>0.23719999999999999</v>
      </c>
      <c r="Q5" s="216">
        <f t="shared" si="8"/>
        <v>0.35579999999999995</v>
      </c>
      <c r="R5" s="216">
        <f t="shared" si="9"/>
        <v>4.7440000000000003E-2</v>
      </c>
      <c r="S5" s="216">
        <f t="shared" si="10"/>
        <v>7.1160000000000001E-2</v>
      </c>
      <c r="T5" s="186" t="s">
        <v>127</v>
      </c>
      <c r="U5" s="186"/>
      <c r="V5" s="186" t="s">
        <v>156</v>
      </c>
      <c r="W5" s="185">
        <f>$N$2-3</f>
        <v>2014</v>
      </c>
      <c r="X5" s="215">
        <f>マイワシ!R206</f>
        <v>2432.8890000000001</v>
      </c>
    </row>
    <row r="6" spans="1:24" ht="18" x14ac:dyDescent="0.25">
      <c r="A6" s="30" t="s">
        <v>74</v>
      </c>
      <c r="B6" s="210">
        <f>マイワシ!O90</f>
        <v>0.48</v>
      </c>
      <c r="C6" s="210">
        <f>マイワシ!O89</f>
        <v>0</v>
      </c>
      <c r="D6" s="210">
        <f>マイワシ!O92</f>
        <v>0.29759999999999998</v>
      </c>
      <c r="E6" s="190" t="e">
        <f>B6/C6*100</f>
        <v>#DIV/0!</v>
      </c>
      <c r="F6" s="190">
        <f t="shared" si="1"/>
        <v>161.29032258064518</v>
      </c>
      <c r="G6" s="191">
        <f t="shared" si="11"/>
        <v>0</v>
      </c>
      <c r="H6" s="191">
        <f t="shared" si="2"/>
        <v>0</v>
      </c>
      <c r="I6" s="191">
        <f t="shared" si="3"/>
        <v>0.23807999999999999</v>
      </c>
      <c r="J6" s="191">
        <f t="shared" si="4"/>
        <v>0.35711999999999994</v>
      </c>
      <c r="K6" s="192" t="str">
        <f t="shared" si="5"/>
        <v>-</v>
      </c>
      <c r="L6" s="192" t="str">
        <f t="shared" si="6"/>
        <v>上回った</v>
      </c>
      <c r="M6" s="186" t="s">
        <v>148</v>
      </c>
      <c r="N6" s="213">
        <f>マイワシ!S89</f>
        <v>1.0720000000000001</v>
      </c>
      <c r="O6" s="214">
        <f>マイワシ!S92</f>
        <v>2.5564800000000005</v>
      </c>
      <c r="P6" s="216">
        <f t="shared" si="7"/>
        <v>0.85760000000000014</v>
      </c>
      <c r="Q6" s="216">
        <f t="shared" si="8"/>
        <v>1.2864</v>
      </c>
      <c r="R6" s="216">
        <f t="shared" si="9"/>
        <v>2.0451840000000003</v>
      </c>
      <c r="S6" s="216">
        <f t="shared" si="10"/>
        <v>3.0677760000000007</v>
      </c>
      <c r="T6" s="186" t="s">
        <v>94</v>
      </c>
      <c r="U6" s="186" t="s">
        <v>94</v>
      </c>
      <c r="V6" s="186" t="s">
        <v>156</v>
      </c>
      <c r="W6" s="185">
        <f>$N$2-2</f>
        <v>2015</v>
      </c>
      <c r="X6" s="215">
        <f>マイワシ!R207</f>
        <v>1311.0419999999999</v>
      </c>
    </row>
    <row r="7" spans="1:24" ht="18" x14ac:dyDescent="0.25">
      <c r="A7" s="30" t="s">
        <v>75</v>
      </c>
      <c r="B7" s="210">
        <f>マイワシ!O120</f>
        <v>1629.4559999999999</v>
      </c>
      <c r="C7" s="210">
        <f>マイワシ!O119</f>
        <v>2440.6869999999999</v>
      </c>
      <c r="D7" s="210">
        <f>マイワシ!O122</f>
        <v>881.53</v>
      </c>
      <c r="E7" s="190">
        <f>B7/C7*100</f>
        <v>66.762186220519055</v>
      </c>
      <c r="F7" s="190">
        <f>B7/D7*100</f>
        <v>184.8440779099974</v>
      </c>
      <c r="G7" s="191">
        <f t="shared" si="11"/>
        <v>1952.5496000000001</v>
      </c>
      <c r="H7" s="191">
        <f t="shared" si="2"/>
        <v>2928.8244</v>
      </c>
      <c r="I7" s="191">
        <f t="shared" si="3"/>
        <v>705.22400000000005</v>
      </c>
      <c r="J7" s="191">
        <f t="shared" si="4"/>
        <v>1057.836</v>
      </c>
      <c r="K7" s="192" t="str">
        <f t="shared" si="5"/>
        <v>下回った</v>
      </c>
      <c r="L7" s="192" t="str">
        <f t="shared" si="6"/>
        <v>上回った</v>
      </c>
      <c r="M7" s="186" t="s">
        <v>148</v>
      </c>
      <c r="N7" s="213">
        <f>マイワシ!S119</f>
        <v>2635.3620000000001</v>
      </c>
      <c r="O7" s="214">
        <f>マイワシ!S122</f>
        <v>932.65319999999997</v>
      </c>
      <c r="P7" s="216">
        <f t="shared" si="7"/>
        <v>2108.2896000000001</v>
      </c>
      <c r="Q7" s="216">
        <f t="shared" si="8"/>
        <v>3162.4344000000001</v>
      </c>
      <c r="R7" s="216">
        <f t="shared" si="9"/>
        <v>746.12256000000002</v>
      </c>
      <c r="S7" s="216">
        <f t="shared" si="10"/>
        <v>1119.1838399999999</v>
      </c>
      <c r="T7" s="186" t="s">
        <v>93</v>
      </c>
      <c r="U7" s="186" t="s">
        <v>99</v>
      </c>
      <c r="V7" s="186" t="s">
        <v>156</v>
      </c>
      <c r="W7" s="185">
        <f>$N$2-1</f>
        <v>2016</v>
      </c>
      <c r="X7" s="215">
        <f>マイワシ!R208</f>
        <v>5836.7119999999995</v>
      </c>
    </row>
    <row r="8" spans="1:24" ht="18" x14ac:dyDescent="0.25">
      <c r="A8" s="30" t="s">
        <v>76</v>
      </c>
      <c r="B8" s="210">
        <f>マイワシ!O150</f>
        <v>172.00799999999998</v>
      </c>
      <c r="C8" s="210">
        <f>マイワシ!O149</f>
        <v>88.902000000000001</v>
      </c>
      <c r="D8" s="210">
        <f>マイワシ!O152</f>
        <v>412.81920000000002</v>
      </c>
      <c r="E8" s="190">
        <f t="shared" si="0"/>
        <v>193.48046163190926</v>
      </c>
      <c r="F8" s="190">
        <f t="shared" si="1"/>
        <v>41.666666666666657</v>
      </c>
      <c r="G8" s="191">
        <f t="shared" si="11"/>
        <v>71.121600000000001</v>
      </c>
      <c r="H8" s="191">
        <f t="shared" si="2"/>
        <v>106.6824</v>
      </c>
      <c r="I8" s="191">
        <f t="shared" si="3"/>
        <v>330.25536000000005</v>
      </c>
      <c r="J8" s="191">
        <f t="shared" si="4"/>
        <v>495.38303999999999</v>
      </c>
      <c r="K8" s="192" t="str">
        <f t="shared" si="5"/>
        <v>上回った</v>
      </c>
      <c r="L8" s="192" t="str">
        <f t="shared" si="6"/>
        <v>下回った</v>
      </c>
      <c r="M8" s="186" t="s">
        <v>148</v>
      </c>
      <c r="N8" s="213">
        <f>マイワシ!S149</f>
        <v>272.73599999999993</v>
      </c>
      <c r="O8" s="214">
        <f>マイワシ!S152</f>
        <v>343.95479999999998</v>
      </c>
      <c r="P8" s="216">
        <f t="shared" si="7"/>
        <v>218.18879999999996</v>
      </c>
      <c r="Q8" s="216">
        <f t="shared" si="8"/>
        <v>327.28319999999991</v>
      </c>
      <c r="R8" s="216">
        <f t="shared" si="9"/>
        <v>275.16383999999999</v>
      </c>
      <c r="S8" s="216">
        <f t="shared" si="10"/>
        <v>412.74575999999996</v>
      </c>
      <c r="T8" s="186" t="s">
        <v>94</v>
      </c>
      <c r="U8" s="186" t="s">
        <v>93</v>
      </c>
      <c r="V8" s="186" t="s">
        <v>157</v>
      </c>
      <c r="W8" s="186" t="s">
        <v>95</v>
      </c>
      <c r="X8" s="215">
        <f>マイワシ!R209</f>
        <v>3695.6754999999998</v>
      </c>
    </row>
    <row r="9" spans="1:24" ht="18" x14ac:dyDescent="0.25">
      <c r="A9" s="30" t="s">
        <v>77</v>
      </c>
      <c r="B9" s="210">
        <f>マイワシ!O180</f>
        <v>693.8069999999999</v>
      </c>
      <c r="C9" s="210">
        <f>マイワシ!O179</f>
        <v>2166.777</v>
      </c>
      <c r="D9" s="210">
        <f>マイワシ!O182</f>
        <v>1897.2105999999999</v>
      </c>
      <c r="E9" s="190">
        <f t="shared" si="0"/>
        <v>32.020230969776762</v>
      </c>
      <c r="F9" s="190">
        <f t="shared" si="1"/>
        <v>36.569846278531223</v>
      </c>
      <c r="G9" s="191">
        <f t="shared" si="11"/>
        <v>1733.4216000000001</v>
      </c>
      <c r="H9" s="191">
        <f t="shared" si="2"/>
        <v>2600.1324</v>
      </c>
      <c r="I9" s="191">
        <f t="shared" si="3"/>
        <v>1517.76848</v>
      </c>
      <c r="J9" s="191">
        <f t="shared" si="4"/>
        <v>2276.6527199999996</v>
      </c>
      <c r="K9" s="192" t="str">
        <f t="shared" si="5"/>
        <v>下回った</v>
      </c>
      <c r="L9" s="192" t="str">
        <f t="shared" si="6"/>
        <v>下回った</v>
      </c>
      <c r="M9" s="186" t="s">
        <v>148</v>
      </c>
      <c r="N9" s="213">
        <f>マイワシ!S179</f>
        <v>786.20900000000006</v>
      </c>
      <c r="O9" s="214">
        <f>マイワシ!S182</f>
        <v>1507.1512</v>
      </c>
      <c r="P9" s="216">
        <f t="shared" si="7"/>
        <v>628.96720000000005</v>
      </c>
      <c r="Q9" s="216">
        <f t="shared" si="8"/>
        <v>943.45080000000007</v>
      </c>
      <c r="R9" s="216">
        <f t="shared" si="9"/>
        <v>1205.7209600000001</v>
      </c>
      <c r="S9" s="216">
        <f t="shared" si="10"/>
        <v>1808.5814399999999</v>
      </c>
      <c r="T9" s="186" t="s">
        <v>93</v>
      </c>
      <c r="U9" s="186" t="s">
        <v>93</v>
      </c>
      <c r="V9" s="186" t="s">
        <v>156</v>
      </c>
      <c r="W9" s="186" t="s">
        <v>96</v>
      </c>
      <c r="X9" s="195">
        <f>AVERAGE(X4:X8)</f>
        <v>2788.8423799999996</v>
      </c>
    </row>
    <row r="10" spans="1:24" ht="18" x14ac:dyDescent="0.25">
      <c r="A10" s="27" t="s">
        <v>78</v>
      </c>
      <c r="B10" s="196">
        <f>SUM(B4:B9)</f>
        <v>2519.0464999999999</v>
      </c>
      <c r="C10" s="197">
        <f>SUM(C4:C9)</f>
        <v>4899.5839999999998</v>
      </c>
      <c r="D10" s="197">
        <f>SUM(D4:D9)</f>
        <v>3309.5479999999998</v>
      </c>
      <c r="E10" s="198">
        <f t="shared" si="0"/>
        <v>51.413477144182039</v>
      </c>
      <c r="F10" s="198">
        <f>B10/D10*100</f>
        <v>76.114517752877433</v>
      </c>
      <c r="G10" s="198">
        <f t="shared" si="11"/>
        <v>3919.6671999999999</v>
      </c>
      <c r="H10" s="198">
        <f t="shared" si="2"/>
        <v>5879.5007999999998</v>
      </c>
      <c r="I10" s="198">
        <f t="shared" si="3"/>
        <v>2647.6383999999998</v>
      </c>
      <c r="J10" s="198">
        <f t="shared" si="4"/>
        <v>3971.4575999999997</v>
      </c>
      <c r="K10" s="199" t="str">
        <f>IF(B10&gt;C10*1.2,"上回った",IF(B10&lt;C10*0.8,"下回った","並み"))</f>
        <v>下回った</v>
      </c>
      <c r="L10" s="199" t="str">
        <f>IF(B10&gt;D10*1.2,"上回った",IF(B10&lt;D10*0.8,"下回った","並み"))</f>
        <v>下回った</v>
      </c>
      <c r="M10" s="192"/>
      <c r="N10" s="200">
        <f>SUM(N4:N9)</f>
        <v>3695.6755000000003</v>
      </c>
      <c r="O10" s="200">
        <f>SUM(O4:O9)</f>
        <v>2788.84238</v>
      </c>
      <c r="P10" s="201">
        <f t="shared" si="7"/>
        <v>2956.5404000000003</v>
      </c>
      <c r="Q10" s="201">
        <f>N10*1.2</f>
        <v>4434.8105999999998</v>
      </c>
      <c r="R10" s="201">
        <f t="shared" si="9"/>
        <v>2231.0739040000003</v>
      </c>
      <c r="S10" s="201">
        <f>O10*1.2</f>
        <v>3346.6108559999998</v>
      </c>
      <c r="T10" s="202"/>
      <c r="U10" s="202"/>
      <c r="V10" s="186"/>
      <c r="W10" s="186"/>
      <c r="X10" s="186"/>
    </row>
    <row r="11" spans="1:24" ht="18" x14ac:dyDescent="0.25">
      <c r="A11" s="25"/>
      <c r="B11" s="191"/>
      <c r="C11" s="191"/>
      <c r="D11" s="191"/>
      <c r="E11" s="191"/>
      <c r="F11" s="191"/>
      <c r="G11" s="191"/>
      <c r="H11" s="191"/>
      <c r="I11" s="191"/>
      <c r="J11" s="191"/>
      <c r="K11" s="192"/>
      <c r="L11" s="192"/>
      <c r="M11" s="192"/>
      <c r="N11" s="193"/>
      <c r="O11" s="194"/>
      <c r="P11" s="186"/>
      <c r="Q11" s="186"/>
      <c r="R11" s="186"/>
      <c r="S11" s="186"/>
      <c r="T11" s="186"/>
      <c r="U11" s="186"/>
      <c r="V11" s="186"/>
      <c r="W11" s="186"/>
      <c r="X11" s="186"/>
    </row>
    <row r="12" spans="1:24" ht="18" x14ac:dyDescent="0.25">
      <c r="A12" s="26"/>
      <c r="B12" s="203"/>
      <c r="C12" s="203"/>
      <c r="D12" s="203"/>
      <c r="E12" s="203"/>
      <c r="F12" s="203"/>
      <c r="G12" s="203"/>
      <c r="H12" s="203"/>
      <c r="I12" s="203"/>
      <c r="J12" s="203"/>
      <c r="K12" s="189"/>
      <c r="L12" s="189"/>
      <c r="M12" s="192"/>
      <c r="N12" s="193"/>
      <c r="O12" s="194"/>
      <c r="P12" s="186"/>
      <c r="Q12" s="186"/>
      <c r="R12" s="186"/>
      <c r="S12" s="186"/>
      <c r="T12" s="186" t="s">
        <v>88</v>
      </c>
      <c r="U12" s="186"/>
      <c r="V12" s="186"/>
      <c r="W12" s="186"/>
      <c r="X12" s="186"/>
    </row>
    <row r="13" spans="1:24" ht="18" x14ac:dyDescent="0.25">
      <c r="A13" s="28" t="s">
        <v>79</v>
      </c>
      <c r="B13" s="198" t="str">
        <f>$B$2&amp;"年"</f>
        <v>2018年</v>
      </c>
      <c r="C13" s="198" t="s">
        <v>62</v>
      </c>
      <c r="D13" s="198" t="s">
        <v>63</v>
      </c>
      <c r="E13" s="198" t="s">
        <v>64</v>
      </c>
      <c r="F13" s="198" t="s">
        <v>65</v>
      </c>
      <c r="G13" s="198" t="s">
        <v>66</v>
      </c>
      <c r="H13" s="198" t="s">
        <v>67</v>
      </c>
      <c r="I13" s="198" t="s">
        <v>68</v>
      </c>
      <c r="J13" s="198" t="s">
        <v>69</v>
      </c>
      <c r="K13" s="204" t="s">
        <v>70</v>
      </c>
      <c r="L13" s="204" t="s">
        <v>71</v>
      </c>
      <c r="M13" s="186" t="s">
        <v>124</v>
      </c>
      <c r="N13" s="205" t="s">
        <v>62</v>
      </c>
      <c r="O13" s="206" t="s">
        <v>63</v>
      </c>
      <c r="P13" s="204" t="s">
        <v>66</v>
      </c>
      <c r="Q13" s="204" t="s">
        <v>67</v>
      </c>
      <c r="R13" s="204" t="s">
        <v>68</v>
      </c>
      <c r="S13" s="204" t="s">
        <v>69</v>
      </c>
      <c r="T13" s="202" t="s">
        <v>87</v>
      </c>
      <c r="U13" s="202" t="s">
        <v>86</v>
      </c>
      <c r="V13" s="186"/>
      <c r="W13" s="186"/>
      <c r="X13" s="186"/>
    </row>
    <row r="14" spans="1:24" ht="18" x14ac:dyDescent="0.25">
      <c r="A14" s="25" t="s">
        <v>72</v>
      </c>
      <c r="B14" s="211">
        <f>ウルメイワシ!O30</f>
        <v>13.739999999999998</v>
      </c>
      <c r="C14" s="211">
        <f>ウルメイワシ!O29</f>
        <v>33.980000000000004</v>
      </c>
      <c r="D14" s="211">
        <f>ウルメイワシ!O32</f>
        <v>34.091999999999999</v>
      </c>
      <c r="E14" s="190">
        <f t="shared" ref="E14:E20" si="12">B14/C14*100</f>
        <v>40.435550323719823</v>
      </c>
      <c r="F14" s="190">
        <f t="shared" ref="F14:F20" si="13">B14/D14*100</f>
        <v>40.302710313269976</v>
      </c>
      <c r="G14" s="191">
        <f t="shared" ref="G14:G20" si="14">0.8*C14</f>
        <v>27.184000000000005</v>
      </c>
      <c r="H14" s="191">
        <f t="shared" ref="H14:H20" si="15">C14*1.2</f>
        <v>40.776000000000003</v>
      </c>
      <c r="I14" s="191">
        <f t="shared" ref="I14:I20" si="16">D14*0.8</f>
        <v>27.273600000000002</v>
      </c>
      <c r="J14" s="191">
        <f t="shared" ref="J14:J20" si="17">D14*1.2</f>
        <v>40.910399999999996</v>
      </c>
      <c r="K14" s="192" t="str">
        <f t="shared" ref="K14:K19" si="18">IF(C14=0,"-",IF(B14&gt;C14*1.2,"上回った",IF(B14&lt;C14*0.8,"下回った","並み")))</f>
        <v>下回った</v>
      </c>
      <c r="L14" s="192" t="str">
        <f t="shared" ref="L14:L19" si="19">IF(D14=0,"-",IF(B14&gt;D14*1.2,"上回った",IF(B14&lt;D14*0.8,"下回った","並み")))</f>
        <v>下回った</v>
      </c>
      <c r="M14" s="192" t="s">
        <v>148</v>
      </c>
      <c r="N14" s="213">
        <f>ウルメイワシ!R29</f>
        <v>0</v>
      </c>
      <c r="O14" s="214">
        <f>ウルメイワシ!R32</f>
        <v>8.1080000000000005</v>
      </c>
      <c r="P14" s="195">
        <f t="shared" ref="P14:P19" si="20">N14*0.8</f>
        <v>0</v>
      </c>
      <c r="Q14" s="195">
        <f t="shared" ref="Q14:Q19" si="21">N14*1.2</f>
        <v>0</v>
      </c>
      <c r="R14" s="195">
        <f t="shared" ref="R14:R20" si="22">O14*0.8</f>
        <v>6.4864000000000006</v>
      </c>
      <c r="S14" s="195">
        <f>O14*1.2</f>
        <v>9.7295999999999996</v>
      </c>
      <c r="T14" s="186" t="s">
        <v>142</v>
      </c>
      <c r="U14" s="186"/>
      <c r="V14" s="186"/>
      <c r="W14" s="185">
        <f>$N$2-4</f>
        <v>2013</v>
      </c>
      <c r="X14" s="215">
        <f>ウルメイワシ!R205</f>
        <v>4885.7379999999994</v>
      </c>
    </row>
    <row r="15" spans="1:24" ht="18" x14ac:dyDescent="0.25">
      <c r="A15" s="25" t="s">
        <v>73</v>
      </c>
      <c r="B15" s="211">
        <f>ウルメイワシ!O60</f>
        <v>6.81</v>
      </c>
      <c r="C15" s="211">
        <f>ウルメイワシ!O59</f>
        <v>64.86</v>
      </c>
      <c r="D15" s="211">
        <f>ウルメイワシ!O62</f>
        <v>58.628399999999999</v>
      </c>
      <c r="E15" s="190">
        <f t="shared" si="12"/>
        <v>10.499537465309897</v>
      </c>
      <c r="F15" s="190">
        <f>B15/D15*100</f>
        <v>11.615531039564443</v>
      </c>
      <c r="G15" s="191">
        <f t="shared" si="14"/>
        <v>51.888000000000005</v>
      </c>
      <c r="H15" s="191">
        <f t="shared" si="15"/>
        <v>77.831999999999994</v>
      </c>
      <c r="I15" s="191">
        <f t="shared" si="16"/>
        <v>46.902720000000002</v>
      </c>
      <c r="J15" s="191">
        <f t="shared" si="17"/>
        <v>70.354079999999996</v>
      </c>
      <c r="K15" s="192" t="str">
        <f t="shared" si="18"/>
        <v>下回った</v>
      </c>
      <c r="L15" s="192" t="str">
        <f t="shared" si="19"/>
        <v>下回った</v>
      </c>
      <c r="M15" s="192" t="s">
        <v>148</v>
      </c>
      <c r="N15" s="213">
        <f>ウルメイワシ!R59</f>
        <v>0.54</v>
      </c>
      <c r="O15" s="214">
        <f>ウルメイワシ!R62</f>
        <v>0.126</v>
      </c>
      <c r="P15" s="195">
        <f t="shared" si="20"/>
        <v>0.43200000000000005</v>
      </c>
      <c r="Q15" s="195">
        <f t="shared" si="21"/>
        <v>0.64800000000000002</v>
      </c>
      <c r="R15" s="195">
        <f t="shared" si="22"/>
        <v>0.1008</v>
      </c>
      <c r="S15" s="195">
        <f t="shared" ref="S15:S20" si="23">O15*1.2</f>
        <v>0.1512</v>
      </c>
      <c r="T15" s="186" t="s">
        <v>127</v>
      </c>
      <c r="U15" s="186"/>
      <c r="V15" s="186"/>
      <c r="W15" s="185">
        <f>$N$2-3</f>
        <v>2014</v>
      </c>
      <c r="X15" s="215">
        <f>ウルメイワシ!R206</f>
        <v>7237.1820000000016</v>
      </c>
    </row>
    <row r="16" spans="1:24" ht="18" x14ac:dyDescent="0.25">
      <c r="A16" s="25" t="s">
        <v>74</v>
      </c>
      <c r="B16" s="211">
        <f>ウルメイワシ!O90</f>
        <v>3.2000000000000001E-2</v>
      </c>
      <c r="C16" s="211">
        <f>ウルメイワシ!O89</f>
        <v>0.33699999999999997</v>
      </c>
      <c r="D16" s="211">
        <f>ウルメイワシ!O92</f>
        <v>0.25939999999999996</v>
      </c>
      <c r="E16" s="190">
        <f t="shared" si="12"/>
        <v>9.4955489614243334</v>
      </c>
      <c r="F16" s="190">
        <f t="shared" si="13"/>
        <v>12.336160370084812</v>
      </c>
      <c r="G16" s="191">
        <f t="shared" si="14"/>
        <v>0.26960000000000001</v>
      </c>
      <c r="H16" s="191">
        <f t="shared" si="15"/>
        <v>0.40439999999999993</v>
      </c>
      <c r="I16" s="191">
        <f t="shared" si="16"/>
        <v>0.20751999999999998</v>
      </c>
      <c r="J16" s="191">
        <f t="shared" si="17"/>
        <v>0.31127999999999995</v>
      </c>
      <c r="K16" s="192" t="str">
        <f t="shared" si="18"/>
        <v>下回った</v>
      </c>
      <c r="L16" s="192" t="str">
        <f t="shared" si="19"/>
        <v>下回った</v>
      </c>
      <c r="M16" s="192" t="s">
        <v>148</v>
      </c>
      <c r="N16" s="213">
        <f>ウルメイワシ!R89</f>
        <v>6.4000000000000003E-3</v>
      </c>
      <c r="O16" s="214">
        <f>ウルメイワシ!R92</f>
        <v>0.95008000000000004</v>
      </c>
      <c r="P16" s="195">
        <f t="shared" si="20"/>
        <v>5.1200000000000004E-3</v>
      </c>
      <c r="Q16" s="195">
        <f t="shared" si="21"/>
        <v>7.6800000000000002E-3</v>
      </c>
      <c r="R16" s="195">
        <f t="shared" si="22"/>
        <v>0.76006400000000007</v>
      </c>
      <c r="S16" s="195">
        <f t="shared" si="23"/>
        <v>1.140096</v>
      </c>
      <c r="T16" s="186" t="s">
        <v>93</v>
      </c>
      <c r="U16" s="186" t="s">
        <v>93</v>
      </c>
      <c r="V16" s="186"/>
      <c r="W16" s="185">
        <f>$N$2-2</f>
        <v>2015</v>
      </c>
      <c r="X16" s="215">
        <f>ウルメイワシ!R207</f>
        <v>5245.8760000000002</v>
      </c>
    </row>
    <row r="17" spans="1:24" ht="18" x14ac:dyDescent="0.25">
      <c r="A17" s="25" t="s">
        <v>75</v>
      </c>
      <c r="B17" s="211">
        <f>ウルメイワシ!O120</f>
        <v>3313.6230000000005</v>
      </c>
      <c r="C17" s="211">
        <f>ウルメイワシ!O119</f>
        <v>7815.54</v>
      </c>
      <c r="D17" s="211">
        <f>ウルメイワシ!O122</f>
        <v>3337.5875999999998</v>
      </c>
      <c r="E17" s="190">
        <f t="shared" si="12"/>
        <v>42.39787653828143</v>
      </c>
      <c r="F17" s="190">
        <f t="shared" si="13"/>
        <v>99.28197839661199</v>
      </c>
      <c r="G17" s="191">
        <f t="shared" si="14"/>
        <v>6252.4320000000007</v>
      </c>
      <c r="H17" s="191">
        <f t="shared" si="15"/>
        <v>9378.6479999999992</v>
      </c>
      <c r="I17" s="191">
        <f t="shared" si="16"/>
        <v>2670.07008</v>
      </c>
      <c r="J17" s="191">
        <f t="shared" si="17"/>
        <v>4005.1051199999997</v>
      </c>
      <c r="K17" s="192" t="str">
        <f t="shared" si="18"/>
        <v>下回った</v>
      </c>
      <c r="L17" s="192" t="str">
        <f t="shared" si="19"/>
        <v>並み</v>
      </c>
      <c r="M17" s="192" t="s">
        <v>148</v>
      </c>
      <c r="N17" s="213">
        <f>ウルメイワシ!R119</f>
        <v>9069.1409999999996</v>
      </c>
      <c r="O17" s="214">
        <f>ウルメイワシ!R122</f>
        <v>4466.8552</v>
      </c>
      <c r="P17" s="195">
        <f t="shared" si="20"/>
        <v>7255.3127999999997</v>
      </c>
      <c r="Q17" s="195">
        <f t="shared" si="21"/>
        <v>10882.9692</v>
      </c>
      <c r="R17" s="195">
        <f t="shared" si="22"/>
        <v>3573.48416</v>
      </c>
      <c r="S17" s="195">
        <f t="shared" si="23"/>
        <v>5360.22624</v>
      </c>
      <c r="T17" s="186" t="s">
        <v>93</v>
      </c>
      <c r="U17" s="186" t="s">
        <v>94</v>
      </c>
      <c r="V17" s="186"/>
      <c r="W17" s="185">
        <f>$N$2-1</f>
        <v>2016</v>
      </c>
      <c r="X17" s="215">
        <f>ウルメイワシ!R208</f>
        <v>16205.115000000002</v>
      </c>
    </row>
    <row r="18" spans="1:24" ht="18" x14ac:dyDescent="0.25">
      <c r="A18" s="25" t="s">
        <v>76</v>
      </c>
      <c r="B18" s="211">
        <f>ウルメイワシ!O150</f>
        <v>349.90199999999999</v>
      </c>
      <c r="C18" s="211">
        <f>ウルメイワシ!O149</f>
        <v>815.92200000000003</v>
      </c>
      <c r="D18" s="211">
        <f>ウルメイワシ!O152</f>
        <v>1056.2747999999999</v>
      </c>
      <c r="E18" s="190">
        <f t="shared" si="12"/>
        <v>42.884246288248143</v>
      </c>
      <c r="F18" s="190">
        <f t="shared" si="13"/>
        <v>33.126038792177951</v>
      </c>
      <c r="G18" s="191">
        <f t="shared" si="14"/>
        <v>652.73760000000004</v>
      </c>
      <c r="H18" s="191">
        <f t="shared" si="15"/>
        <v>979.10640000000001</v>
      </c>
      <c r="I18" s="191">
        <f t="shared" si="16"/>
        <v>845.01983999999993</v>
      </c>
      <c r="J18" s="191">
        <f t="shared" si="17"/>
        <v>1267.5297599999999</v>
      </c>
      <c r="K18" s="192" t="str">
        <f t="shared" si="18"/>
        <v>下回った</v>
      </c>
      <c r="L18" s="192" t="str">
        <f t="shared" si="19"/>
        <v>下回った</v>
      </c>
      <c r="M18" s="192" t="s">
        <v>148</v>
      </c>
      <c r="N18" s="213">
        <f>ウルメイワシ!R149</f>
        <v>2069.8199999999997</v>
      </c>
      <c r="O18" s="214">
        <f>ウルメイワシ!R152</f>
        <v>2002.4459999999999</v>
      </c>
      <c r="P18" s="195">
        <f t="shared" si="20"/>
        <v>1655.8559999999998</v>
      </c>
      <c r="Q18" s="195">
        <f t="shared" si="21"/>
        <v>2483.7839999999997</v>
      </c>
      <c r="R18" s="195">
        <f t="shared" si="22"/>
        <v>1601.9567999999999</v>
      </c>
      <c r="S18" s="195">
        <f t="shared" si="23"/>
        <v>2402.9351999999999</v>
      </c>
      <c r="T18" s="186" t="s">
        <v>94</v>
      </c>
      <c r="U18" s="186" t="s">
        <v>94</v>
      </c>
      <c r="V18" s="186"/>
      <c r="W18" s="186" t="s">
        <v>95</v>
      </c>
      <c r="X18" s="215">
        <f>ウルメイワシ!R209</f>
        <v>14121.247400000002</v>
      </c>
    </row>
    <row r="19" spans="1:24" ht="18" x14ac:dyDescent="0.25">
      <c r="A19" s="25" t="s">
        <v>77</v>
      </c>
      <c r="B19" s="211">
        <f>ウルメイワシ!O180</f>
        <v>1741.1089999999999</v>
      </c>
      <c r="C19" s="211">
        <f>ウルメイワシ!O179</f>
        <v>2927.2190000000001</v>
      </c>
      <c r="D19" s="211">
        <f>ウルメイワシ!O182</f>
        <v>2711.8048000000003</v>
      </c>
      <c r="E19" s="190">
        <f t="shared" si="12"/>
        <v>59.47997057958424</v>
      </c>
      <c r="F19" s="190">
        <f t="shared" si="13"/>
        <v>64.204805596626997</v>
      </c>
      <c r="G19" s="191">
        <f t="shared" si="14"/>
        <v>2341.7752</v>
      </c>
      <c r="H19" s="191">
        <f t="shared" si="15"/>
        <v>3512.6628000000001</v>
      </c>
      <c r="I19" s="191">
        <f t="shared" si="16"/>
        <v>2169.4438400000004</v>
      </c>
      <c r="J19" s="191">
        <f t="shared" si="17"/>
        <v>3254.1657600000003</v>
      </c>
      <c r="K19" s="192" t="str">
        <f t="shared" si="18"/>
        <v>下回った</v>
      </c>
      <c r="L19" s="192" t="str">
        <f t="shared" si="19"/>
        <v>下回った</v>
      </c>
      <c r="M19" s="192" t="s">
        <v>148</v>
      </c>
      <c r="N19" s="213">
        <f>ウルメイワシ!R179</f>
        <v>2981.74</v>
      </c>
      <c r="O19" s="214">
        <f>ウルメイワシ!R182</f>
        <v>3060.5463999999997</v>
      </c>
      <c r="P19" s="195">
        <f t="shared" si="20"/>
        <v>2385.3919999999998</v>
      </c>
      <c r="Q19" s="195">
        <f t="shared" si="21"/>
        <v>3578.0879999999997</v>
      </c>
      <c r="R19" s="195">
        <f t="shared" si="22"/>
        <v>2448.43712</v>
      </c>
      <c r="S19" s="195">
        <f t="shared" si="23"/>
        <v>3672.6556799999994</v>
      </c>
      <c r="T19" s="186" t="s">
        <v>93</v>
      </c>
      <c r="U19" s="186" t="s">
        <v>93</v>
      </c>
      <c r="V19" s="186"/>
      <c r="W19" s="186" t="s">
        <v>96</v>
      </c>
      <c r="X19" s="195">
        <f>AVERAGE(X14:X18)</f>
        <v>9539.0316800000019</v>
      </c>
    </row>
    <row r="20" spans="1:24" ht="18" x14ac:dyDescent="0.25">
      <c r="A20" s="28" t="s">
        <v>78</v>
      </c>
      <c r="B20" s="208">
        <f>SUM(B14:B19)</f>
        <v>5425.2160000000003</v>
      </c>
      <c r="C20" s="198">
        <f>SUM(C14:C19)</f>
        <v>11657.858</v>
      </c>
      <c r="D20" s="198">
        <f>SUM(D14:D19)</f>
        <v>7198.6470000000008</v>
      </c>
      <c r="E20" s="198">
        <f t="shared" si="12"/>
        <v>46.53698818427879</v>
      </c>
      <c r="F20" s="198">
        <f t="shared" si="13"/>
        <v>75.364384446132732</v>
      </c>
      <c r="G20" s="198">
        <f t="shared" si="14"/>
        <v>9326.2864000000009</v>
      </c>
      <c r="H20" s="198">
        <f t="shared" si="15"/>
        <v>13989.429599999999</v>
      </c>
      <c r="I20" s="198">
        <f t="shared" si="16"/>
        <v>5758.9176000000007</v>
      </c>
      <c r="J20" s="198">
        <f t="shared" si="17"/>
        <v>8638.376400000001</v>
      </c>
      <c r="K20" s="199" t="str">
        <f>IF(B20&gt;C20*1.2,"上回った",IF(B20&lt;C20*0.8,"下回った","並み"))</f>
        <v>下回った</v>
      </c>
      <c r="L20" s="199" t="str">
        <f>IF(B20&gt;D20*1.2,"上回った",IF(B20&lt;D20*0.8,"下回った","並み"))</f>
        <v>下回った</v>
      </c>
      <c r="M20" s="192"/>
      <c r="N20" s="200">
        <f>SUM(N14:N19)</f>
        <v>14121.247399999998</v>
      </c>
      <c r="O20" s="200">
        <f>SUM(O14:O19)</f>
        <v>9539.0316800000001</v>
      </c>
      <c r="P20" s="201">
        <f>N20*0.8</f>
        <v>11296.99792</v>
      </c>
      <c r="Q20" s="201">
        <f>N20*1.2</f>
        <v>16945.496879999999</v>
      </c>
      <c r="R20" s="201">
        <f t="shared" si="22"/>
        <v>7631.2253440000004</v>
      </c>
      <c r="S20" s="201">
        <f t="shared" si="23"/>
        <v>11446.838016</v>
      </c>
      <c r="T20" s="202"/>
      <c r="U20" s="202"/>
      <c r="V20" s="186"/>
      <c r="W20" s="186"/>
      <c r="X20" s="186"/>
    </row>
    <row r="21" spans="1:24" ht="18" x14ac:dyDescent="0.25">
      <c r="A21" s="26"/>
      <c r="B21" s="203"/>
      <c r="C21" s="203"/>
      <c r="D21" s="203"/>
      <c r="E21" s="203"/>
      <c r="F21" s="203"/>
      <c r="G21" s="203"/>
      <c r="H21" s="203"/>
      <c r="I21" s="203"/>
      <c r="J21" s="203"/>
      <c r="K21" s="189"/>
      <c r="L21" s="189"/>
      <c r="M21" s="192"/>
      <c r="N21" s="193"/>
      <c r="O21" s="194"/>
      <c r="P21" s="186"/>
      <c r="Q21" s="186"/>
      <c r="R21" s="186"/>
      <c r="S21" s="186"/>
      <c r="T21" s="186"/>
      <c r="U21" s="186"/>
      <c r="V21" s="186"/>
      <c r="W21" s="186"/>
      <c r="X21" s="186"/>
    </row>
    <row r="22" spans="1:24" ht="18" x14ac:dyDescent="0.25">
      <c r="A22" s="25"/>
      <c r="B22" s="209"/>
      <c r="C22" s="209"/>
      <c r="D22" s="209"/>
      <c r="E22" s="191"/>
      <c r="F22" s="191"/>
      <c r="G22" s="209"/>
      <c r="H22" s="209"/>
      <c r="I22" s="209"/>
      <c r="J22" s="209"/>
      <c r="K22" s="189"/>
      <c r="L22" s="189"/>
      <c r="M22" s="192"/>
      <c r="N22" s="193"/>
      <c r="O22" s="194"/>
      <c r="P22" s="186"/>
      <c r="Q22" s="186"/>
      <c r="R22" s="186"/>
      <c r="S22" s="186"/>
      <c r="T22" s="186" t="s">
        <v>88</v>
      </c>
      <c r="U22" s="186"/>
      <c r="V22" s="186"/>
      <c r="W22" s="186"/>
      <c r="X22" s="186"/>
    </row>
    <row r="23" spans="1:24" ht="18" x14ac:dyDescent="0.25">
      <c r="A23" s="28" t="s">
        <v>80</v>
      </c>
      <c r="B23" s="198" t="str">
        <f>$B$2&amp;"年"</f>
        <v>2018年</v>
      </c>
      <c r="C23" s="204" t="s">
        <v>62</v>
      </c>
      <c r="D23" s="204" t="s">
        <v>63</v>
      </c>
      <c r="E23" s="198" t="s">
        <v>64</v>
      </c>
      <c r="F23" s="198" t="s">
        <v>65</v>
      </c>
      <c r="G23" s="204" t="s">
        <v>66</v>
      </c>
      <c r="H23" s="204" t="s">
        <v>67</v>
      </c>
      <c r="I23" s="204" t="s">
        <v>68</v>
      </c>
      <c r="J23" s="204" t="s">
        <v>69</v>
      </c>
      <c r="K23" s="204" t="s">
        <v>70</v>
      </c>
      <c r="L23" s="204" t="s">
        <v>71</v>
      </c>
      <c r="M23" s="186" t="s">
        <v>124</v>
      </c>
      <c r="N23" s="205" t="s">
        <v>62</v>
      </c>
      <c r="O23" s="206" t="s">
        <v>63</v>
      </c>
      <c r="P23" s="204" t="s">
        <v>66</v>
      </c>
      <c r="Q23" s="204" t="s">
        <v>67</v>
      </c>
      <c r="R23" s="204" t="s">
        <v>68</v>
      </c>
      <c r="S23" s="204" t="s">
        <v>69</v>
      </c>
      <c r="T23" s="202" t="s">
        <v>87</v>
      </c>
      <c r="U23" s="202" t="s">
        <v>86</v>
      </c>
      <c r="V23" s="186"/>
      <c r="W23" s="186"/>
      <c r="X23" s="186"/>
    </row>
    <row r="24" spans="1:24" ht="18" x14ac:dyDescent="0.25">
      <c r="A24" s="25" t="s">
        <v>72</v>
      </c>
      <c r="B24" s="212">
        <f>カタクチイワシ!O31</f>
        <v>247.56</v>
      </c>
      <c r="C24" s="212">
        <f>カタクチイワシ!O30</f>
        <v>613.98</v>
      </c>
      <c r="D24" s="212">
        <f>カタクチイワシ!O32</f>
        <v>512.98040000000003</v>
      </c>
      <c r="E24" s="191">
        <f t="shared" ref="E24:E29" si="24">B24/C24*100</f>
        <v>40.320531613407603</v>
      </c>
      <c r="F24" s="191">
        <f t="shared" ref="F24:F30" si="25">B24/D24*100</f>
        <v>48.25915376104038</v>
      </c>
      <c r="G24" s="189">
        <f t="shared" ref="G24:G30" si="26">0.8*C24</f>
        <v>491.18400000000003</v>
      </c>
      <c r="H24" s="189">
        <f t="shared" ref="H24:H30" si="27">C24*1.2</f>
        <v>736.77599999999995</v>
      </c>
      <c r="I24" s="189">
        <f t="shared" ref="I24:I30" si="28">D24*0.8</f>
        <v>410.38432000000006</v>
      </c>
      <c r="J24" s="189">
        <f t="shared" ref="J24:J30" si="29">D24*1.2</f>
        <v>615.57648000000006</v>
      </c>
      <c r="K24" s="192" t="str">
        <f t="shared" ref="K24:K29" si="30">IF(C24=0,"-",IF(B24&gt;C24*1.2,"上回った",IF(B24&lt;C24*0.8,"下回った","並み")))</f>
        <v>下回った</v>
      </c>
      <c r="L24" s="192" t="str">
        <f t="shared" ref="L24:L29" si="31">IF(D24=0,"-",IF(B24&gt;D24*1.2,"上回った",IF(B24&lt;D24*0.8,"下回った","並み")))</f>
        <v>下回った</v>
      </c>
      <c r="M24" s="192" t="s">
        <v>148</v>
      </c>
      <c r="N24" s="213">
        <f>カタクチイワシ!R30</f>
        <v>851.9</v>
      </c>
      <c r="O24" s="214">
        <f>カタクチイワシ!R32</f>
        <v>388.11599999999999</v>
      </c>
      <c r="P24" s="195">
        <f t="shared" ref="P24:P30" si="32">N24*0.8</f>
        <v>681.52</v>
      </c>
      <c r="Q24" s="195">
        <f t="shared" ref="Q24:Q30" si="33">N24*1.2</f>
        <v>1022.28</v>
      </c>
      <c r="R24" s="195">
        <f t="shared" ref="R24:R30" si="34">O24*0.8</f>
        <v>310.49279999999999</v>
      </c>
      <c r="S24" s="195">
        <f t="shared" ref="S24:S30" si="35">O24*1.2</f>
        <v>465.73919999999998</v>
      </c>
      <c r="T24" s="185" t="s">
        <v>166</v>
      </c>
      <c r="U24" s="557" t="s">
        <v>388</v>
      </c>
      <c r="V24" s="186"/>
      <c r="W24" s="185">
        <f>$N$2-4</f>
        <v>2013</v>
      </c>
      <c r="X24" s="215">
        <f>カタクチイワシ!R206</f>
        <v>4967.984919999999</v>
      </c>
    </row>
    <row r="25" spans="1:24" ht="18" x14ac:dyDescent="0.25">
      <c r="A25" s="25" t="s">
        <v>73</v>
      </c>
      <c r="B25" s="212">
        <f>カタクチイワシ!O61</f>
        <v>7.6025</v>
      </c>
      <c r="C25" s="212">
        <f>カタクチイワシ!O60</f>
        <v>14.04575</v>
      </c>
      <c r="D25" s="212">
        <f>カタクチイワシ!O62</f>
        <v>18.072089999999996</v>
      </c>
      <c r="E25" s="191">
        <f t="shared" si="24"/>
        <v>54.126693127814463</v>
      </c>
      <c r="F25" s="191">
        <f>B25/D25*100</f>
        <v>42.067630251952053</v>
      </c>
      <c r="G25" s="189">
        <f t="shared" si="26"/>
        <v>11.236600000000001</v>
      </c>
      <c r="H25" s="189">
        <f t="shared" si="27"/>
        <v>16.854900000000001</v>
      </c>
      <c r="I25" s="189">
        <f t="shared" si="28"/>
        <v>14.457671999999997</v>
      </c>
      <c r="J25" s="189">
        <f t="shared" si="29"/>
        <v>21.686507999999993</v>
      </c>
      <c r="K25" s="192" t="str">
        <f t="shared" si="30"/>
        <v>下回った</v>
      </c>
      <c r="L25" s="192" t="str">
        <f t="shared" si="31"/>
        <v>下回った</v>
      </c>
      <c r="M25" s="192" t="s">
        <v>148</v>
      </c>
      <c r="N25" s="213">
        <f>カタクチイワシ!R60</f>
        <v>27.674500000000002</v>
      </c>
      <c r="O25" s="214">
        <f>カタクチイワシ!R62</f>
        <v>14.558344</v>
      </c>
      <c r="P25" s="195">
        <f t="shared" si="32"/>
        <v>22.139600000000002</v>
      </c>
      <c r="Q25" s="195">
        <f t="shared" si="33"/>
        <v>33.209400000000002</v>
      </c>
      <c r="R25" s="195">
        <f t="shared" si="34"/>
        <v>11.646675200000001</v>
      </c>
      <c r="S25" s="195">
        <f t="shared" si="35"/>
        <v>17.470012799999999</v>
      </c>
      <c r="T25" s="185" t="s">
        <v>389</v>
      </c>
      <c r="U25" s="185" t="s">
        <v>389</v>
      </c>
      <c r="V25" s="186"/>
      <c r="W25" s="185">
        <f>$N$2-3</f>
        <v>2014</v>
      </c>
      <c r="X25" s="215">
        <f>カタクチイワシ!R207</f>
        <v>7313.1519999999991</v>
      </c>
    </row>
    <row r="26" spans="1:24" ht="18" x14ac:dyDescent="0.25">
      <c r="A26" s="25" t="s">
        <v>74</v>
      </c>
      <c r="B26" s="212">
        <f>カタクチイワシ!O91</f>
        <v>7.7279999999999998</v>
      </c>
      <c r="C26" s="212">
        <f>カタクチイワシ!O90</f>
        <v>32.08</v>
      </c>
      <c r="D26" s="212">
        <f>カタクチイワシ!O92</f>
        <v>34.451000000000001</v>
      </c>
      <c r="E26" s="191">
        <f t="shared" si="24"/>
        <v>24.089775561097255</v>
      </c>
      <c r="F26" s="191">
        <f t="shared" si="25"/>
        <v>22.431859742823139</v>
      </c>
      <c r="G26" s="189">
        <f t="shared" si="26"/>
        <v>25.664000000000001</v>
      </c>
      <c r="H26" s="189">
        <f t="shared" si="27"/>
        <v>38.495999999999995</v>
      </c>
      <c r="I26" s="189">
        <f t="shared" si="28"/>
        <v>27.5608</v>
      </c>
      <c r="J26" s="189">
        <f t="shared" si="29"/>
        <v>41.341200000000001</v>
      </c>
      <c r="K26" s="192" t="str">
        <f t="shared" si="30"/>
        <v>下回った</v>
      </c>
      <c r="L26" s="192" t="str">
        <f t="shared" si="31"/>
        <v>下回った</v>
      </c>
      <c r="M26" s="192" t="s">
        <v>148</v>
      </c>
      <c r="N26" s="213">
        <f>カタクチイワシ!R90</f>
        <v>15.264000000000001</v>
      </c>
      <c r="O26" s="214">
        <f>カタクチイワシ!R92</f>
        <v>62.877040000000001</v>
      </c>
      <c r="P26" s="195">
        <f t="shared" si="32"/>
        <v>12.211200000000002</v>
      </c>
      <c r="Q26" s="195">
        <f t="shared" si="33"/>
        <v>18.316800000000001</v>
      </c>
      <c r="R26" s="195">
        <f t="shared" si="34"/>
        <v>50.301632000000005</v>
      </c>
      <c r="S26" s="195">
        <f t="shared" si="35"/>
        <v>75.452448000000004</v>
      </c>
      <c r="T26" s="185" t="s">
        <v>166</v>
      </c>
      <c r="U26" s="185" t="s">
        <v>166</v>
      </c>
      <c r="V26" s="186"/>
      <c r="W26" s="185">
        <f>$N$2-2</f>
        <v>2015</v>
      </c>
      <c r="X26" s="215">
        <f>カタクチイワシ!R208</f>
        <v>6944.5749999999989</v>
      </c>
    </row>
    <row r="27" spans="1:24" ht="18" x14ac:dyDescent="0.25">
      <c r="A27" s="25" t="s">
        <v>75</v>
      </c>
      <c r="B27" s="211">
        <f>カタクチイワシ!O121</f>
        <v>5920.4250000000011</v>
      </c>
      <c r="C27" s="211">
        <f>カタクチイワシ!O120</f>
        <v>6857.0809999999992</v>
      </c>
      <c r="D27" s="211">
        <f>カタクチイワシ!O122</f>
        <v>6199.5475999999999</v>
      </c>
      <c r="E27" s="191">
        <f>B27/C27*100</f>
        <v>86.340310111547495</v>
      </c>
      <c r="F27" s="191">
        <f>B27/D27*100</f>
        <v>95.497694057547051</v>
      </c>
      <c r="G27" s="189">
        <f t="shared" si="26"/>
        <v>5485.6647999999996</v>
      </c>
      <c r="H27" s="189">
        <f t="shared" si="27"/>
        <v>8228.497199999998</v>
      </c>
      <c r="I27" s="189">
        <f t="shared" si="28"/>
        <v>4959.6380800000006</v>
      </c>
      <c r="J27" s="189">
        <f t="shared" si="29"/>
        <v>7439.4571199999991</v>
      </c>
      <c r="K27" s="192" t="str">
        <f t="shared" si="30"/>
        <v>並み</v>
      </c>
      <c r="L27" s="192" t="str">
        <f t="shared" si="31"/>
        <v>並み</v>
      </c>
      <c r="M27" s="192" t="s">
        <v>148</v>
      </c>
      <c r="N27" s="213">
        <f>カタクチイワシ!R120</f>
        <v>940.27499999999998</v>
      </c>
      <c r="O27" s="214">
        <f>カタクチイワシ!R122</f>
        <v>1918.9255000000001</v>
      </c>
      <c r="P27" s="195">
        <f t="shared" si="32"/>
        <v>752.22</v>
      </c>
      <c r="Q27" s="195">
        <f t="shared" si="33"/>
        <v>1128.33</v>
      </c>
      <c r="R27" s="195">
        <f t="shared" si="34"/>
        <v>1535.1404000000002</v>
      </c>
      <c r="S27" s="195">
        <f t="shared" si="35"/>
        <v>2302.7105999999999</v>
      </c>
      <c r="T27" s="185" t="s">
        <v>390</v>
      </c>
      <c r="U27" s="185" t="s">
        <v>388</v>
      </c>
      <c r="V27" s="186"/>
      <c r="W27" s="185">
        <f>$N$2-1</f>
        <v>2016</v>
      </c>
      <c r="X27" s="215">
        <f>カタクチイワシ!R209</f>
        <v>4240.0239999999994</v>
      </c>
    </row>
    <row r="28" spans="1:24" ht="18" x14ac:dyDescent="0.25">
      <c r="A28" s="25" t="s">
        <v>76</v>
      </c>
      <c r="B28" s="211">
        <f>カタクチイワシ!O151</f>
        <v>3401.694</v>
      </c>
      <c r="C28" s="211">
        <f>カタクチイワシ!O150</f>
        <v>2960.2620000000002</v>
      </c>
      <c r="D28" s="211">
        <f>カタクチイワシ!O152</f>
        <v>2514.2868000000003</v>
      </c>
      <c r="E28" s="191">
        <f t="shared" si="24"/>
        <v>114.91192333651547</v>
      </c>
      <c r="F28" s="191">
        <f t="shared" si="25"/>
        <v>135.29458930460913</v>
      </c>
      <c r="G28" s="189">
        <f t="shared" si="26"/>
        <v>2368.2096000000001</v>
      </c>
      <c r="H28" s="189">
        <f t="shared" si="27"/>
        <v>3552.3144000000002</v>
      </c>
      <c r="I28" s="189">
        <f t="shared" si="28"/>
        <v>2011.4294400000003</v>
      </c>
      <c r="J28" s="189">
        <f t="shared" si="29"/>
        <v>3017.1441600000003</v>
      </c>
      <c r="K28" s="192" t="str">
        <f t="shared" si="30"/>
        <v>並み</v>
      </c>
      <c r="L28" s="192" t="str">
        <f t="shared" si="31"/>
        <v>上回った</v>
      </c>
      <c r="M28" s="192" t="s">
        <v>148</v>
      </c>
      <c r="N28" s="213">
        <f>カタクチイワシ!R150</f>
        <v>509.81399999999996</v>
      </c>
      <c r="O28" s="214">
        <f>カタクチイワシ!R152</f>
        <v>989.56439999999998</v>
      </c>
      <c r="P28" s="195">
        <f t="shared" si="32"/>
        <v>407.85120000000001</v>
      </c>
      <c r="Q28" s="195">
        <f t="shared" si="33"/>
        <v>611.77679999999998</v>
      </c>
      <c r="R28" s="195">
        <f t="shared" si="34"/>
        <v>791.65152</v>
      </c>
      <c r="S28" s="195">
        <f t="shared" si="35"/>
        <v>1187.4772799999998</v>
      </c>
      <c r="T28" s="185" t="s">
        <v>388</v>
      </c>
      <c r="U28" s="185" t="s">
        <v>166</v>
      </c>
      <c r="V28" s="186"/>
      <c r="W28" s="186" t="s">
        <v>95</v>
      </c>
      <c r="X28" s="215">
        <f>カタクチイワシ!R210</f>
        <v>2344.9274999999998</v>
      </c>
    </row>
    <row r="29" spans="1:24" ht="18" x14ac:dyDescent="0.25">
      <c r="A29" s="25" t="s">
        <v>77</v>
      </c>
      <c r="B29" s="211">
        <f>カタクチイワシ!O181</f>
        <v>1177.3900000000001</v>
      </c>
      <c r="C29" s="211">
        <f>カタクチイワシ!O180</f>
        <v>2549.0390000000002</v>
      </c>
      <c r="D29" s="211">
        <f>カタクチイワシ!O182</f>
        <v>2483.3302000000003</v>
      </c>
      <c r="E29" s="190">
        <f t="shared" si="24"/>
        <v>46.189563988624734</v>
      </c>
      <c r="F29" s="190">
        <f t="shared" si="25"/>
        <v>47.411737673870356</v>
      </c>
      <c r="G29" s="189">
        <f t="shared" si="26"/>
        <v>2039.2312000000002</v>
      </c>
      <c r="H29" s="189">
        <f t="shared" si="27"/>
        <v>3058.8468000000003</v>
      </c>
      <c r="I29" s="189">
        <f t="shared" si="28"/>
        <v>1986.6641600000003</v>
      </c>
      <c r="J29" s="189">
        <f t="shared" si="29"/>
        <v>2979.9962400000004</v>
      </c>
      <c r="K29" s="192" t="str">
        <f t="shared" si="30"/>
        <v>下回った</v>
      </c>
      <c r="L29" s="192" t="str">
        <f t="shared" si="31"/>
        <v>下回った</v>
      </c>
      <c r="M29" s="192" t="s">
        <v>148</v>
      </c>
      <c r="N29" s="213">
        <f>カタクチイワシ!R180</f>
        <v>0</v>
      </c>
      <c r="O29" s="214">
        <f>カタクチイワシ!R182</f>
        <v>1788.0913999999998</v>
      </c>
      <c r="P29" s="195">
        <f t="shared" si="32"/>
        <v>0</v>
      </c>
      <c r="Q29" s="195">
        <f t="shared" si="33"/>
        <v>0</v>
      </c>
      <c r="R29" s="195">
        <f t="shared" si="34"/>
        <v>1430.4731199999999</v>
      </c>
      <c r="S29" s="195">
        <f t="shared" si="35"/>
        <v>2145.7096799999995</v>
      </c>
      <c r="T29" s="185" t="s">
        <v>390</v>
      </c>
      <c r="U29" s="185" t="s">
        <v>166</v>
      </c>
      <c r="V29" s="186"/>
      <c r="W29" s="186" t="s">
        <v>96</v>
      </c>
      <c r="X29" s="195">
        <f>AVERAGE(X24:X28)</f>
        <v>5162.1326839999983</v>
      </c>
    </row>
    <row r="30" spans="1:24" ht="18" x14ac:dyDescent="0.25">
      <c r="A30" s="28" t="s">
        <v>78</v>
      </c>
      <c r="B30" s="208">
        <f>SUM(B24:B29)</f>
        <v>10762.3995</v>
      </c>
      <c r="C30" s="198">
        <f>SUM(C24:C29)</f>
        <v>13026.48775</v>
      </c>
      <c r="D30" s="198">
        <f>SUM(D24:D29)</f>
        <v>11762.668090000001</v>
      </c>
      <c r="E30" s="198">
        <f>B30/C30*100</f>
        <v>82.619349947187402</v>
      </c>
      <c r="F30" s="198">
        <f t="shared" si="25"/>
        <v>91.496244029444512</v>
      </c>
      <c r="G30" s="197">
        <f t="shared" si="26"/>
        <v>10421.190200000001</v>
      </c>
      <c r="H30" s="197">
        <f t="shared" si="27"/>
        <v>15631.7853</v>
      </c>
      <c r="I30" s="197">
        <f t="shared" si="28"/>
        <v>9410.1344720000016</v>
      </c>
      <c r="J30" s="197">
        <f t="shared" si="29"/>
        <v>14115.201708000001</v>
      </c>
      <c r="K30" s="199" t="str">
        <f>IF(B30&gt;C30*1.2,"上回った",IF(B30&lt;C30*0.8,"下回った","並み"))</f>
        <v>並み</v>
      </c>
      <c r="L30" s="199" t="str">
        <f>IF(B30&gt;D30*1.2,"上回った",IF(B30&lt;D30*0.8,"下回った","並み"))</f>
        <v>並み</v>
      </c>
      <c r="M30" s="192"/>
      <c r="N30" s="200">
        <f>SUM(N24:N29)</f>
        <v>2344.9274999999998</v>
      </c>
      <c r="O30" s="200">
        <f>SUM(O24:O29)</f>
        <v>5162.1326840000002</v>
      </c>
      <c r="P30" s="201">
        <f t="shared" si="32"/>
        <v>1875.942</v>
      </c>
      <c r="Q30" s="201">
        <f t="shared" si="33"/>
        <v>2813.9129999999996</v>
      </c>
      <c r="R30" s="201">
        <f t="shared" si="34"/>
        <v>4129.7061472000005</v>
      </c>
      <c r="S30" s="201">
        <f t="shared" si="35"/>
        <v>6194.5592207999998</v>
      </c>
      <c r="T30" s="202"/>
      <c r="U30" s="202"/>
      <c r="V30" s="186"/>
      <c r="W30" s="186"/>
      <c r="X30" s="186"/>
    </row>
    <row r="31" spans="1:24" x14ac:dyDescent="0.2">
      <c r="M31" s="26"/>
    </row>
    <row r="126" spans="5:6" x14ac:dyDescent="0.2">
      <c r="E126" s="43"/>
      <c r="F126" s="43"/>
    </row>
    <row r="136" spans="2:15" x14ac:dyDescent="0.2">
      <c r="B136" s="43">
        <v>105.282</v>
      </c>
      <c r="C136" s="43">
        <v>87.245999999999995</v>
      </c>
      <c r="D136" s="43">
        <v>149.94</v>
      </c>
      <c r="E136" s="43">
        <v>284.47199999999998</v>
      </c>
      <c r="F136" s="43">
        <v>347.346</v>
      </c>
      <c r="G136" s="43">
        <v>528.10199999999998</v>
      </c>
      <c r="H136" s="43">
        <v>685.78200000000004</v>
      </c>
      <c r="I136" s="43">
        <v>603.32399999999996</v>
      </c>
    </row>
    <row r="137" spans="2:15" x14ac:dyDescent="0.2">
      <c r="O137" s="43" t="e">
        <f>AVERAGE(O131:O135)</f>
        <v>#DIV/0!</v>
      </c>
    </row>
  </sheetData>
  <pageMargins left="0.7" right="0.7" top="0.75" bottom="0.75" header="0.3" footer="0.3"/>
  <pageSetup paperSize="9" orientation="portrait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CFFCC"/>
    <pageSetUpPr fitToPage="1"/>
  </sheetPr>
  <dimension ref="A1:X137"/>
  <sheetViews>
    <sheetView zoomScale="75" zoomScaleNormal="75" zoomScalePageLayoutView="75" workbookViewId="0">
      <selection activeCell="AS73" sqref="AS73"/>
    </sheetView>
  </sheetViews>
  <sheetFormatPr baseColWidth="10" defaultColWidth="9" defaultRowHeight="15" x14ac:dyDescent="0.2"/>
  <cols>
    <col min="1" max="1" width="11.25" style="43" customWidth="1"/>
    <col min="2" max="2" width="10.5" style="43" bestFit="1" customWidth="1"/>
    <col min="3" max="4" width="9.5" style="43" bestFit="1" customWidth="1"/>
    <col min="5" max="5" width="10.75" style="70" bestFit="1" customWidth="1"/>
    <col min="6" max="6" width="9.125" style="70" bestFit="1" customWidth="1"/>
    <col min="7" max="10" width="9.125" style="43" bestFit="1" customWidth="1"/>
    <col min="11" max="13" width="9" style="43"/>
    <col min="14" max="19" width="9.125" style="43" bestFit="1" customWidth="1"/>
    <col min="20" max="21" width="9" style="43"/>
    <col min="22" max="22" width="26.5" style="43" customWidth="1"/>
    <col min="23" max="23" width="9.125" style="43" bestFit="1" customWidth="1"/>
    <col min="24" max="24" width="9.75" style="43" bestFit="1" customWidth="1"/>
    <col min="25" max="16384" width="9" style="43"/>
  </cols>
  <sheetData>
    <row r="1" spans="1:24" x14ac:dyDescent="0.2">
      <c r="A1" s="25" t="s">
        <v>122</v>
      </c>
      <c r="B1" s="25"/>
      <c r="C1" s="25"/>
      <c r="D1" s="25"/>
      <c r="E1" s="149"/>
      <c r="F1" s="30"/>
      <c r="G1" s="25"/>
      <c r="H1" s="25"/>
      <c r="I1" s="25"/>
      <c r="J1" s="25"/>
      <c r="K1" s="25"/>
      <c r="L1" s="25"/>
      <c r="M1" s="26"/>
      <c r="N1" s="26" t="s">
        <v>123</v>
      </c>
      <c r="P1" s="109" t="s">
        <v>147</v>
      </c>
    </row>
    <row r="2" spans="1:24" x14ac:dyDescent="0.2">
      <c r="A2" s="25"/>
      <c r="B2" s="187">
        <v>2017</v>
      </c>
      <c r="C2" s="25">
        <f>B2-1</f>
        <v>2016</v>
      </c>
      <c r="D2" s="25" t="str">
        <f>C2&amp;"~"&amp;C2-4</f>
        <v>2016~2012</v>
      </c>
      <c r="E2" s="30"/>
      <c r="F2" s="30"/>
      <c r="G2" s="25"/>
      <c r="H2" s="25"/>
      <c r="I2" s="25"/>
      <c r="J2" s="25"/>
      <c r="K2" s="25"/>
      <c r="L2" s="25"/>
      <c r="M2" s="26"/>
      <c r="N2" s="187">
        <v>2017</v>
      </c>
      <c r="O2" s="25" t="str">
        <f>N2&amp;"~"&amp;N2-4</f>
        <v>2017~2013</v>
      </c>
      <c r="P2" s="25"/>
      <c r="T2" s="43" t="s">
        <v>88</v>
      </c>
      <c r="W2" s="43" t="s">
        <v>97</v>
      </c>
    </row>
    <row r="3" spans="1:24" x14ac:dyDescent="0.2">
      <c r="A3" s="27" t="s">
        <v>61</v>
      </c>
      <c r="B3" s="27" t="str">
        <f>$B$2&amp;"年"</f>
        <v>2017年</v>
      </c>
      <c r="C3" s="27" t="s">
        <v>62</v>
      </c>
      <c r="D3" s="27" t="s">
        <v>63</v>
      </c>
      <c r="E3" s="27" t="s">
        <v>64</v>
      </c>
      <c r="F3" s="27" t="s">
        <v>65</v>
      </c>
      <c r="G3" s="28" t="s">
        <v>66</v>
      </c>
      <c r="H3" s="28" t="s">
        <v>67</v>
      </c>
      <c r="I3" s="28" t="s">
        <v>68</v>
      </c>
      <c r="J3" s="28" t="s">
        <v>69</v>
      </c>
      <c r="K3" s="28" t="s">
        <v>70</v>
      </c>
      <c r="L3" s="28" t="s">
        <v>71</v>
      </c>
      <c r="M3" s="29" t="s">
        <v>124</v>
      </c>
      <c r="N3" s="50" t="s">
        <v>62</v>
      </c>
      <c r="O3" s="44" t="s">
        <v>63</v>
      </c>
      <c r="P3" s="28" t="s">
        <v>66</v>
      </c>
      <c r="Q3" s="28" t="s">
        <v>67</v>
      </c>
      <c r="R3" s="28" t="s">
        <v>68</v>
      </c>
      <c r="S3" s="28" t="s">
        <v>69</v>
      </c>
      <c r="T3" s="44" t="s">
        <v>87</v>
      </c>
      <c r="U3" s="44" t="s">
        <v>86</v>
      </c>
      <c r="V3" s="43" t="s">
        <v>124</v>
      </c>
      <c r="W3" s="43" t="s">
        <v>163</v>
      </c>
    </row>
    <row r="4" spans="1:24" ht="18" x14ac:dyDescent="0.25">
      <c r="A4" s="30" t="s">
        <v>72</v>
      </c>
      <c r="B4" s="210">
        <f>マイワシ!Q30</f>
        <v>0</v>
      </c>
      <c r="C4" s="210">
        <f>マイワシ!Q29</f>
        <v>0</v>
      </c>
      <c r="D4" s="210">
        <f>マイワシ!Q32</f>
        <v>1.6524000000000001</v>
      </c>
      <c r="E4" s="190" t="str">
        <f>IF(C4&lt;&gt;0,B4/C4*100, "-")</f>
        <v>-</v>
      </c>
      <c r="F4" s="190">
        <f>IF(D4&lt;&gt;0,C4/D4*100, "-")</f>
        <v>0</v>
      </c>
      <c r="G4" s="191">
        <f t="shared" ref="G4:G10" si="0">0.8*C4</f>
        <v>0</v>
      </c>
      <c r="H4" s="191">
        <f t="shared" ref="H4:H10" si="1">C4*1.2</f>
        <v>0</v>
      </c>
      <c r="I4" s="191">
        <f t="shared" ref="I4:I10" si="2">D4*0.8</f>
        <v>1.3219200000000002</v>
      </c>
      <c r="J4" s="191">
        <f t="shared" ref="J4:J10" si="3">D4*1.2</f>
        <v>1.98288</v>
      </c>
      <c r="K4" s="192" t="str">
        <f t="shared" ref="K4:K9" si="4">IF(C4=0,"-",IF(B4&gt;C4*1.2,"上回った",IF(B4&lt;C4*0.8,"下回った","並み")))</f>
        <v>-</v>
      </c>
      <c r="L4" s="192" t="str">
        <f>IF(D4=0,"-",IF(B4&gt;D4*1.2,"上回った",IF(B4&lt;D4*0.8,"下回った","並み")))</f>
        <v>下回った</v>
      </c>
      <c r="M4" s="192" t="s">
        <v>148</v>
      </c>
      <c r="N4" s="213">
        <f>マイワシ!P30</f>
        <v>14.914999999999999</v>
      </c>
      <c r="O4" s="214">
        <f>マイワシ!P32</f>
        <v>57.799799999999991</v>
      </c>
      <c r="P4" s="195">
        <f t="shared" ref="P4:P10" si="5">N4*0.8</f>
        <v>11.932</v>
      </c>
      <c r="Q4" s="195">
        <f t="shared" ref="Q4:Q9" si="6">N4*1.2</f>
        <v>17.898</v>
      </c>
      <c r="R4" s="195">
        <f t="shared" ref="R4:R10" si="7">O4*0.8</f>
        <v>46.239839999999994</v>
      </c>
      <c r="S4" s="195">
        <f t="shared" ref="S4:S9" si="8">O4*1.2</f>
        <v>69.35975999999998</v>
      </c>
      <c r="T4" s="186" t="s">
        <v>159</v>
      </c>
      <c r="U4" s="186" t="s">
        <v>160</v>
      </c>
      <c r="V4" s="186"/>
      <c r="W4" s="185">
        <f>$N$2-4</f>
        <v>2013</v>
      </c>
      <c r="X4" s="215">
        <f>マイワシ!P206</f>
        <v>7682.0839999999998</v>
      </c>
    </row>
    <row r="5" spans="1:24" ht="18" x14ac:dyDescent="0.25">
      <c r="A5" s="30" t="s">
        <v>73</v>
      </c>
      <c r="B5" s="210">
        <f>マイワシ!Q60</f>
        <v>0</v>
      </c>
      <c r="C5" s="210">
        <f>マイワシ!Q59</f>
        <v>0.29649999999999999</v>
      </c>
      <c r="D5" s="210">
        <f>マイワシ!Q62</f>
        <v>5.9299999999999999E-2</v>
      </c>
      <c r="E5" s="190">
        <f>IF(C5&lt;&gt;0,B5/C5*100, "-")</f>
        <v>0</v>
      </c>
      <c r="F5" s="190">
        <f>IF(D5&lt;&gt;0,C5/D5*100, "-")</f>
        <v>500</v>
      </c>
      <c r="G5" s="191">
        <f t="shared" si="0"/>
        <v>0.23719999999999999</v>
      </c>
      <c r="H5" s="191">
        <f t="shared" si="1"/>
        <v>0.35579999999999995</v>
      </c>
      <c r="I5" s="191">
        <f t="shared" si="2"/>
        <v>4.7440000000000003E-2</v>
      </c>
      <c r="J5" s="191">
        <f t="shared" si="3"/>
        <v>7.1160000000000001E-2</v>
      </c>
      <c r="K5" s="192" t="str">
        <f t="shared" si="4"/>
        <v>下回った</v>
      </c>
      <c r="L5" s="192" t="str">
        <f t="shared" ref="L5:L9" si="9">IF(D5=0,"-",IF(B5&gt;D5*1.2,"上回った",IF(B5&lt;D5*0.8,"下回った","並み")))</f>
        <v>下回った</v>
      </c>
      <c r="M5" s="192" t="s">
        <v>148</v>
      </c>
      <c r="N5" s="213">
        <f>マイワシ!P60</f>
        <v>15.470500000000001</v>
      </c>
      <c r="O5" s="214">
        <f>マイワシ!P62</f>
        <v>67.936800000000019</v>
      </c>
      <c r="P5" s="195">
        <f t="shared" si="5"/>
        <v>12.376400000000002</v>
      </c>
      <c r="Q5" s="195">
        <f t="shared" si="6"/>
        <v>18.564600000000002</v>
      </c>
      <c r="R5" s="195">
        <f t="shared" si="7"/>
        <v>54.349440000000016</v>
      </c>
      <c r="S5" s="195">
        <f t="shared" si="8"/>
        <v>81.524160000000023</v>
      </c>
      <c r="T5" s="186" t="s">
        <v>127</v>
      </c>
      <c r="U5" s="186"/>
      <c r="V5" s="186"/>
      <c r="W5" s="185">
        <f>$N$2-3</f>
        <v>2014</v>
      </c>
      <c r="X5" s="215">
        <f>マイワシ!P207</f>
        <v>2715.0974999999999</v>
      </c>
    </row>
    <row r="6" spans="1:24" ht="18" x14ac:dyDescent="0.25">
      <c r="A6" s="30" t="s">
        <v>74</v>
      </c>
      <c r="B6" s="210">
        <f>マイワシ!Q90</f>
        <v>0.46400000000000002</v>
      </c>
      <c r="C6" s="210">
        <f>マイワシ!Q89</f>
        <v>0.51200000000000001</v>
      </c>
      <c r="D6" s="210">
        <f>マイワシ!Q92</f>
        <v>0.97888000000000019</v>
      </c>
      <c r="E6" s="190">
        <f t="shared" ref="E6:E10" si="10">B6/C6*100</f>
        <v>90.625</v>
      </c>
      <c r="F6" s="190">
        <f t="shared" ref="F6:F9" si="11">B6/D6*100</f>
        <v>47.401111474338016</v>
      </c>
      <c r="G6" s="191">
        <f t="shared" si="0"/>
        <v>0.40960000000000002</v>
      </c>
      <c r="H6" s="191">
        <f t="shared" si="1"/>
        <v>0.61439999999999995</v>
      </c>
      <c r="I6" s="191">
        <f t="shared" si="2"/>
        <v>0.78310400000000024</v>
      </c>
      <c r="J6" s="191">
        <f t="shared" si="3"/>
        <v>1.1746560000000001</v>
      </c>
      <c r="K6" s="192" t="str">
        <f t="shared" si="4"/>
        <v>並み</v>
      </c>
      <c r="L6" s="192" t="str">
        <f t="shared" si="9"/>
        <v>下回った</v>
      </c>
      <c r="M6" s="192" t="s">
        <v>148</v>
      </c>
      <c r="N6" s="213">
        <f>マイワシ!P90</f>
        <v>0.48</v>
      </c>
      <c r="O6" s="214">
        <f>マイワシ!P92</f>
        <v>0.30080000000000001</v>
      </c>
      <c r="P6" s="195">
        <f t="shared" si="5"/>
        <v>0.38400000000000001</v>
      </c>
      <c r="Q6" s="195">
        <f t="shared" si="6"/>
        <v>0.57599999999999996</v>
      </c>
      <c r="R6" s="195">
        <f t="shared" si="7"/>
        <v>0.24064000000000002</v>
      </c>
      <c r="S6" s="195">
        <f t="shared" si="8"/>
        <v>0.36096</v>
      </c>
      <c r="T6" s="186" t="s">
        <v>165</v>
      </c>
      <c r="U6" s="186" t="s">
        <v>167</v>
      </c>
      <c r="V6" s="186"/>
      <c r="W6" s="185">
        <f>$N$2-2</f>
        <v>2015</v>
      </c>
      <c r="X6" s="215">
        <f>マイワシ!P208</f>
        <v>1407.2270000000001</v>
      </c>
    </row>
    <row r="7" spans="1:24" ht="18" x14ac:dyDescent="0.25">
      <c r="A7" s="30" t="s">
        <v>75</v>
      </c>
      <c r="B7" s="210">
        <f>マイワシ!Q120</f>
        <v>5.0039999999999996</v>
      </c>
      <c r="C7" s="210">
        <f>マイワシ!Q119</f>
        <v>1332.432</v>
      </c>
      <c r="D7" s="210">
        <f>マイワシ!Q122</f>
        <v>548.38439999999991</v>
      </c>
      <c r="E7" s="190">
        <f t="shared" si="10"/>
        <v>0.37555387441910726</v>
      </c>
      <c r="F7" s="190">
        <f t="shared" si="11"/>
        <v>0.91249860499313995</v>
      </c>
      <c r="G7" s="191">
        <f t="shared" si="0"/>
        <v>1065.9456</v>
      </c>
      <c r="H7" s="191">
        <f t="shared" si="1"/>
        <v>1598.9184</v>
      </c>
      <c r="I7" s="191">
        <f t="shared" si="2"/>
        <v>438.70751999999993</v>
      </c>
      <c r="J7" s="191">
        <f t="shared" si="3"/>
        <v>658.0612799999999</v>
      </c>
      <c r="K7" s="192" t="str">
        <f t="shared" si="4"/>
        <v>下回った</v>
      </c>
      <c r="L7" s="192" t="str">
        <f t="shared" si="9"/>
        <v>下回った</v>
      </c>
      <c r="M7" s="192" t="s">
        <v>148</v>
      </c>
      <c r="N7" s="213">
        <f>マイワシ!P120</f>
        <v>1820.8359999999998</v>
      </c>
      <c r="O7" s="214">
        <f>マイワシ!P122</f>
        <v>1065.1907999999999</v>
      </c>
      <c r="P7" s="195">
        <f t="shared" si="5"/>
        <v>1456.6687999999999</v>
      </c>
      <c r="Q7" s="195">
        <f t="shared" si="6"/>
        <v>2185.0031999999997</v>
      </c>
      <c r="R7" s="195">
        <f t="shared" si="7"/>
        <v>852.15263999999991</v>
      </c>
      <c r="S7" s="195">
        <f t="shared" si="8"/>
        <v>1278.2289599999997</v>
      </c>
      <c r="T7" s="186" t="s">
        <v>167</v>
      </c>
      <c r="U7" s="186" t="s">
        <v>167</v>
      </c>
      <c r="V7" s="186"/>
      <c r="W7" s="185">
        <f>$N$2-1</f>
        <v>2016</v>
      </c>
      <c r="X7" s="215">
        <f>マイワシ!P209</f>
        <v>5057.027000000001</v>
      </c>
    </row>
    <row r="8" spans="1:24" ht="18" x14ac:dyDescent="0.25">
      <c r="A8" s="30" t="s">
        <v>76</v>
      </c>
      <c r="B8" s="210">
        <f>マイワシ!Q150</f>
        <v>0.95399999999999996</v>
      </c>
      <c r="C8" s="210">
        <f>マイワシ!Q149</f>
        <v>266.65199999999999</v>
      </c>
      <c r="D8" s="210">
        <f>マイワシ!Q152</f>
        <v>252.36359999999999</v>
      </c>
      <c r="E8" s="190">
        <f t="shared" si="10"/>
        <v>0.35776967733225329</v>
      </c>
      <c r="F8" s="190">
        <f t="shared" si="11"/>
        <v>0.37802599107002754</v>
      </c>
      <c r="G8" s="191">
        <f t="shared" si="0"/>
        <v>213.32159999999999</v>
      </c>
      <c r="H8" s="191">
        <f t="shared" si="1"/>
        <v>319.98239999999998</v>
      </c>
      <c r="I8" s="191">
        <f t="shared" si="2"/>
        <v>201.89088000000001</v>
      </c>
      <c r="J8" s="191">
        <f t="shared" si="3"/>
        <v>302.83632</v>
      </c>
      <c r="K8" s="192" t="str">
        <f t="shared" si="4"/>
        <v>下回った</v>
      </c>
      <c r="L8" s="192" t="str">
        <f t="shared" si="9"/>
        <v>下回った</v>
      </c>
      <c r="M8" s="192" t="s">
        <v>148</v>
      </c>
      <c r="N8" s="213">
        <f>マイワシ!P150</f>
        <v>172.00799999999998</v>
      </c>
      <c r="O8" s="214">
        <f>マイワシ!P152</f>
        <v>439.81200000000001</v>
      </c>
      <c r="P8" s="195">
        <f t="shared" si="5"/>
        <v>137.60639999999998</v>
      </c>
      <c r="Q8" s="195">
        <f t="shared" si="6"/>
        <v>206.40959999999998</v>
      </c>
      <c r="R8" s="195">
        <f t="shared" si="7"/>
        <v>351.84960000000001</v>
      </c>
      <c r="S8" s="195">
        <f t="shared" si="8"/>
        <v>527.77440000000001</v>
      </c>
      <c r="T8" s="186" t="s">
        <v>167</v>
      </c>
      <c r="U8" s="186" t="s">
        <v>167</v>
      </c>
      <c r="V8" s="186"/>
      <c r="W8" s="186" t="s">
        <v>95</v>
      </c>
      <c r="X8" s="215">
        <f>マイワシ!P210</f>
        <v>2927.9364999999998</v>
      </c>
    </row>
    <row r="9" spans="1:24" ht="18" x14ac:dyDescent="0.25">
      <c r="A9" s="30" t="s">
        <v>77</v>
      </c>
      <c r="B9" s="210">
        <f>マイワシ!Q180</f>
        <v>109.74199999999999</v>
      </c>
      <c r="C9" s="210">
        <f>マイワシ!Q179</f>
        <v>657.322</v>
      </c>
      <c r="D9" s="210">
        <f>マイワシ!Q182</f>
        <v>1316.7328000000002</v>
      </c>
      <c r="E9" s="190">
        <f t="shared" si="10"/>
        <v>16.695318276278595</v>
      </c>
      <c r="F9" s="190">
        <f t="shared" si="11"/>
        <v>8.3344168232157632</v>
      </c>
      <c r="G9" s="191">
        <f t="shared" si="0"/>
        <v>525.85760000000005</v>
      </c>
      <c r="H9" s="191">
        <f t="shared" si="1"/>
        <v>788.78639999999996</v>
      </c>
      <c r="I9" s="191">
        <f t="shared" si="2"/>
        <v>1053.3862400000003</v>
      </c>
      <c r="J9" s="191">
        <f t="shared" si="3"/>
        <v>1580.0793600000002</v>
      </c>
      <c r="K9" s="192" t="str">
        <f t="shared" si="4"/>
        <v>下回った</v>
      </c>
      <c r="L9" s="192" t="str">
        <f t="shared" si="9"/>
        <v>下回った</v>
      </c>
      <c r="M9" s="192" t="s">
        <v>148</v>
      </c>
      <c r="N9" s="213">
        <f>マイワシ!P180</f>
        <v>904.22699999999986</v>
      </c>
      <c r="O9" s="214">
        <f>マイワシ!P182</f>
        <v>2326.8341999999998</v>
      </c>
      <c r="P9" s="195">
        <f t="shared" si="5"/>
        <v>723.38159999999993</v>
      </c>
      <c r="Q9" s="195">
        <f t="shared" si="6"/>
        <v>1085.0723999999998</v>
      </c>
      <c r="R9" s="195">
        <f t="shared" si="7"/>
        <v>1861.4673599999999</v>
      </c>
      <c r="S9" s="195">
        <f t="shared" si="8"/>
        <v>2792.2010399999995</v>
      </c>
      <c r="T9" s="186" t="s">
        <v>165</v>
      </c>
      <c r="U9" s="186" t="s">
        <v>167</v>
      </c>
      <c r="V9" s="186"/>
      <c r="W9" s="186" t="s">
        <v>96</v>
      </c>
      <c r="X9" s="195">
        <f>AVERAGE(X4:X8)</f>
        <v>3957.8743999999997</v>
      </c>
    </row>
    <row r="10" spans="1:24" ht="18" x14ac:dyDescent="0.25">
      <c r="A10" s="27" t="s">
        <v>78</v>
      </c>
      <c r="B10" s="196">
        <f>SUM(B4:B9)</f>
        <v>116.16399999999999</v>
      </c>
      <c r="C10" s="197">
        <f>SUM(C4:C9)</f>
        <v>2257.2145</v>
      </c>
      <c r="D10" s="197">
        <f>SUM(D4:D9)</f>
        <v>2120.1713800000002</v>
      </c>
      <c r="E10" s="198">
        <f t="shared" si="10"/>
        <v>5.1463429815819444</v>
      </c>
      <c r="F10" s="198">
        <f>B10/D10*100</f>
        <v>5.4789910426958022</v>
      </c>
      <c r="G10" s="198">
        <f t="shared" si="0"/>
        <v>1805.7716</v>
      </c>
      <c r="H10" s="198">
        <f t="shared" si="1"/>
        <v>2708.6574000000001</v>
      </c>
      <c r="I10" s="198">
        <f t="shared" si="2"/>
        <v>1696.1371040000004</v>
      </c>
      <c r="J10" s="198">
        <f t="shared" si="3"/>
        <v>2544.2056560000001</v>
      </c>
      <c r="K10" s="199" t="str">
        <f>IF(B10&gt;C10*1.2,"上回った",IF(B10&lt;C10*0.8,"下回った","並み"))</f>
        <v>下回った</v>
      </c>
      <c r="L10" s="199" t="str">
        <f>IF(B10&gt;D10*1.2,"上回った",IF(B10&lt;D10*0.8,"下回った","並み"))</f>
        <v>下回った</v>
      </c>
      <c r="M10" s="192"/>
      <c r="N10" s="200">
        <f>SUM(N4:N9)</f>
        <v>2927.9364999999998</v>
      </c>
      <c r="O10" s="200">
        <f>SUM(O4:O9)</f>
        <v>3957.8743999999997</v>
      </c>
      <c r="P10" s="201">
        <f t="shared" si="5"/>
        <v>2342.3492000000001</v>
      </c>
      <c r="Q10" s="201">
        <f>N10*1.2</f>
        <v>3513.5237999999995</v>
      </c>
      <c r="R10" s="201">
        <f t="shared" si="7"/>
        <v>3166.29952</v>
      </c>
      <c r="S10" s="201">
        <f>O10*1.2</f>
        <v>4749.4492799999998</v>
      </c>
      <c r="T10" s="202"/>
      <c r="U10" s="202"/>
      <c r="V10" s="186"/>
      <c r="W10" s="186"/>
      <c r="X10" s="186"/>
    </row>
    <row r="11" spans="1:24" ht="18" x14ac:dyDescent="0.25">
      <c r="A11" s="25"/>
      <c r="B11" s="191"/>
      <c r="C11" s="191"/>
      <c r="D11" s="191"/>
      <c r="E11" s="191"/>
      <c r="F11" s="191"/>
      <c r="G11" s="191"/>
      <c r="H11" s="191"/>
      <c r="I11" s="191"/>
      <c r="J11" s="191"/>
      <c r="K11" s="192"/>
      <c r="L11" s="192"/>
      <c r="M11" s="192"/>
      <c r="N11" s="193"/>
      <c r="O11" s="194"/>
      <c r="P11" s="186"/>
      <c r="Q11" s="186"/>
      <c r="R11" s="186"/>
      <c r="S11" s="186"/>
      <c r="T11" s="186"/>
      <c r="U11" s="186"/>
      <c r="V11" s="186"/>
      <c r="W11" s="186"/>
      <c r="X11" s="186"/>
    </row>
    <row r="12" spans="1:24" ht="18" x14ac:dyDescent="0.25">
      <c r="A12" s="26"/>
      <c r="B12" s="203"/>
      <c r="C12" s="203"/>
      <c r="D12" s="203"/>
      <c r="E12" s="203"/>
      <c r="F12" s="203"/>
      <c r="G12" s="203"/>
      <c r="H12" s="203"/>
      <c r="I12" s="203"/>
      <c r="J12" s="203"/>
      <c r="K12" s="189"/>
      <c r="L12" s="189"/>
      <c r="M12" s="192"/>
      <c r="N12" s="193"/>
      <c r="O12" s="194"/>
      <c r="P12" s="186"/>
      <c r="Q12" s="186"/>
      <c r="R12" s="186"/>
      <c r="S12" s="186"/>
      <c r="T12" s="186" t="s">
        <v>88</v>
      </c>
      <c r="U12" s="186"/>
      <c r="V12" s="186"/>
      <c r="W12" s="186"/>
      <c r="X12" s="186"/>
    </row>
    <row r="13" spans="1:24" ht="18" x14ac:dyDescent="0.25">
      <c r="A13" s="28" t="s">
        <v>79</v>
      </c>
      <c r="B13" s="198" t="str">
        <f>$B$2&amp;"年"</f>
        <v>2017年</v>
      </c>
      <c r="C13" s="198" t="s">
        <v>62</v>
      </c>
      <c r="D13" s="198" t="s">
        <v>63</v>
      </c>
      <c r="E13" s="198" t="s">
        <v>64</v>
      </c>
      <c r="F13" s="198" t="s">
        <v>65</v>
      </c>
      <c r="G13" s="198" t="s">
        <v>66</v>
      </c>
      <c r="H13" s="198" t="s">
        <v>67</v>
      </c>
      <c r="I13" s="198" t="s">
        <v>68</v>
      </c>
      <c r="J13" s="198" t="s">
        <v>69</v>
      </c>
      <c r="K13" s="204" t="s">
        <v>70</v>
      </c>
      <c r="L13" s="204" t="s">
        <v>71</v>
      </c>
      <c r="M13" s="192"/>
      <c r="N13" s="205" t="s">
        <v>62</v>
      </c>
      <c r="O13" s="206" t="s">
        <v>63</v>
      </c>
      <c r="P13" s="204" t="s">
        <v>66</v>
      </c>
      <c r="Q13" s="204" t="s">
        <v>67</v>
      </c>
      <c r="R13" s="204" t="s">
        <v>68</v>
      </c>
      <c r="S13" s="204" t="s">
        <v>69</v>
      </c>
      <c r="T13" s="202" t="s">
        <v>87</v>
      </c>
      <c r="U13" s="202" t="s">
        <v>86</v>
      </c>
      <c r="V13" s="186"/>
      <c r="W13" s="186"/>
      <c r="X13" s="186"/>
    </row>
    <row r="14" spans="1:24" ht="18" x14ac:dyDescent="0.25">
      <c r="A14" s="25" t="s">
        <v>72</v>
      </c>
      <c r="B14" s="211">
        <f>ウルメイワシ!Q30</f>
        <v>0</v>
      </c>
      <c r="C14" s="211">
        <f>ウルメイワシ!Q29</f>
        <v>0</v>
      </c>
      <c r="D14" s="211">
        <f>ウルメイワシ!Q32</f>
        <v>8.1080000000000005</v>
      </c>
      <c r="E14" s="190" t="str">
        <f>IF(C14&lt;&gt;0,B14/C14*100, "-")</f>
        <v>-</v>
      </c>
      <c r="F14" s="190">
        <f>IF(D14&lt;&gt;0,C14/D14*100, "-")</f>
        <v>0</v>
      </c>
      <c r="G14" s="191">
        <f t="shared" ref="G14:G20" si="12">0.8*C14</f>
        <v>0</v>
      </c>
      <c r="H14" s="191">
        <f t="shared" ref="H14:H20" si="13">C14*1.2</f>
        <v>0</v>
      </c>
      <c r="I14" s="191">
        <f t="shared" ref="I14:I20" si="14">D14*0.8</f>
        <v>6.4864000000000006</v>
      </c>
      <c r="J14" s="191">
        <f t="shared" ref="J14:J20" si="15">D14*1.2</f>
        <v>9.7295999999999996</v>
      </c>
      <c r="K14" s="192" t="str">
        <f t="shared" ref="K14:K19" si="16">IF(C14=0,"-",IF(B14&gt;C14*1.2,"上回った",IF(B14&lt;C14*0.8,"下回った","並み")))</f>
        <v>-</v>
      </c>
      <c r="L14" s="192" t="str">
        <f t="shared" ref="L14:L19" si="17">IF(D14=0,"-",IF(B14&gt;D14*1.2,"上回った",IF(B14&lt;D14*0.8,"下回った","並み")))</f>
        <v>下回った</v>
      </c>
      <c r="M14" s="192" t="s">
        <v>148</v>
      </c>
      <c r="N14" s="213">
        <f>ウルメイワシ!P30</f>
        <v>24.9</v>
      </c>
      <c r="O14" s="214">
        <f>ウルメイワシ!P32</f>
        <v>122.324</v>
      </c>
      <c r="P14" s="195">
        <f t="shared" ref="P14:P19" si="18">N14*0.8</f>
        <v>19.920000000000002</v>
      </c>
      <c r="Q14" s="195">
        <f t="shared" ref="Q14:Q19" si="19">N14*1.2</f>
        <v>29.879999999999995</v>
      </c>
      <c r="R14" s="195">
        <f t="shared" ref="R14:R20" si="20">O14*0.8</f>
        <v>97.859200000000001</v>
      </c>
      <c r="S14" s="195">
        <f>O14*1.2</f>
        <v>146.78879999999998</v>
      </c>
      <c r="T14" s="186" t="s">
        <v>159</v>
      </c>
      <c r="U14" s="186" t="s">
        <v>93</v>
      </c>
      <c r="V14" s="186"/>
      <c r="W14" s="185">
        <f>$N$2-4</f>
        <v>2013</v>
      </c>
      <c r="X14" s="215">
        <f>ウルメイワシ!P206</f>
        <v>11577.543000000001</v>
      </c>
    </row>
    <row r="15" spans="1:24" ht="18" x14ac:dyDescent="0.25">
      <c r="A15" s="25" t="s">
        <v>73</v>
      </c>
      <c r="B15" s="211">
        <f>ウルメイワシ!Q60</f>
        <v>0.03</v>
      </c>
      <c r="C15" s="211">
        <f>ウルメイワシ!Q59</f>
        <v>0.54</v>
      </c>
      <c r="D15" s="211">
        <f>ウルメイワシ!Q62</f>
        <v>0.126</v>
      </c>
      <c r="E15" s="190">
        <f>B15/C15*100</f>
        <v>5.5555555555555554</v>
      </c>
      <c r="F15" s="190">
        <f>B15/D15*100</f>
        <v>23.809523809523807</v>
      </c>
      <c r="G15" s="191">
        <f t="shared" si="12"/>
        <v>0.43200000000000005</v>
      </c>
      <c r="H15" s="191">
        <f t="shared" si="13"/>
        <v>0.64800000000000002</v>
      </c>
      <c r="I15" s="191">
        <f t="shared" si="14"/>
        <v>0.1008</v>
      </c>
      <c r="J15" s="191">
        <f t="shared" si="15"/>
        <v>0.1512</v>
      </c>
      <c r="K15" s="192" t="str">
        <f t="shared" si="16"/>
        <v>下回った</v>
      </c>
      <c r="L15" s="192" t="str">
        <f t="shared" si="17"/>
        <v>下回った</v>
      </c>
      <c r="M15" s="192"/>
      <c r="N15" s="213">
        <f>ウルメイワシ!P60</f>
        <v>6.915</v>
      </c>
      <c r="O15" s="214">
        <f>ウルメイワシ!P62</f>
        <v>58.688400000000001</v>
      </c>
      <c r="P15" s="195">
        <f t="shared" si="18"/>
        <v>5.532</v>
      </c>
      <c r="Q15" s="195">
        <f t="shared" si="19"/>
        <v>8.298</v>
      </c>
      <c r="R15" s="195">
        <f t="shared" si="20"/>
        <v>46.950720000000004</v>
      </c>
      <c r="S15" s="195">
        <f t="shared" ref="S15:S20" si="21">O15*1.2</f>
        <v>70.426079999999999</v>
      </c>
      <c r="T15" s="186" t="s">
        <v>127</v>
      </c>
      <c r="U15" s="186"/>
      <c r="V15" s="186"/>
      <c r="W15" s="185">
        <f>$N$2-3</f>
        <v>2014</v>
      </c>
      <c r="X15" s="215">
        <f>ウルメイワシ!P207</f>
        <v>8721.9239999999991</v>
      </c>
    </row>
    <row r="16" spans="1:24" ht="18" x14ac:dyDescent="0.25">
      <c r="A16" s="25" t="s">
        <v>74</v>
      </c>
      <c r="B16" s="211">
        <f>ウルメイワシ!Q90</f>
        <v>4.2720000000000002</v>
      </c>
      <c r="C16" s="211">
        <f>ウルメイワシ!Q89</f>
        <v>0</v>
      </c>
      <c r="D16" s="211">
        <f>ウルメイワシ!Q92</f>
        <v>0.40800000000000003</v>
      </c>
      <c r="E16" s="190">
        <f>IF(C16&lt;&gt;0,B16/C16*100,0)</f>
        <v>0</v>
      </c>
      <c r="F16" s="190">
        <f t="shared" ref="F16:F20" si="22">B16/D16*100</f>
        <v>1047.0588235294117</v>
      </c>
      <c r="G16" s="191">
        <f t="shared" si="12"/>
        <v>0</v>
      </c>
      <c r="H16" s="191">
        <f t="shared" si="13"/>
        <v>0</v>
      </c>
      <c r="I16" s="191">
        <f t="shared" si="14"/>
        <v>0.32640000000000002</v>
      </c>
      <c r="J16" s="191">
        <f t="shared" si="15"/>
        <v>0.48960000000000004</v>
      </c>
      <c r="K16" s="192" t="str">
        <f t="shared" si="16"/>
        <v>-</v>
      </c>
      <c r="L16" s="192" t="str">
        <f t="shared" si="17"/>
        <v>上回った</v>
      </c>
      <c r="M16" s="192" t="s">
        <v>148</v>
      </c>
      <c r="N16" s="213">
        <f>ウルメイワシ!P90</f>
        <v>1.0089999999999999</v>
      </c>
      <c r="O16" s="214">
        <f>ウルメイワシ!P92</f>
        <v>0.4708</v>
      </c>
      <c r="P16" s="195">
        <f t="shared" si="18"/>
        <v>0.80719999999999992</v>
      </c>
      <c r="Q16" s="195">
        <f t="shared" si="19"/>
        <v>1.2107999999999999</v>
      </c>
      <c r="R16" s="195">
        <f t="shared" si="20"/>
        <v>0.37664000000000003</v>
      </c>
      <c r="S16" s="195">
        <f t="shared" si="21"/>
        <v>0.56496000000000002</v>
      </c>
      <c r="T16" s="207" t="s">
        <v>99</v>
      </c>
      <c r="U16" s="207" t="s">
        <v>99</v>
      </c>
      <c r="V16" s="186"/>
      <c r="W16" s="185">
        <f>$N$2-2</f>
        <v>2015</v>
      </c>
      <c r="X16" s="215">
        <f>ウルメイワシ!P208</f>
        <v>4171.7839999999997</v>
      </c>
    </row>
    <row r="17" spans="1:24" ht="18" x14ac:dyDescent="0.25">
      <c r="A17" s="25" t="s">
        <v>75</v>
      </c>
      <c r="B17" s="211">
        <f>ウルメイワシ!Q120</f>
        <v>2387.7210000000005</v>
      </c>
      <c r="C17" s="211">
        <f>ウルメイワシ!Q119</f>
        <v>6765.3600000000006</v>
      </c>
      <c r="D17" s="211">
        <f>ウルメイワシ!Q122</f>
        <v>3220.8231999999998</v>
      </c>
      <c r="E17" s="190">
        <f t="shared" ref="E17:E20" si="23">B17/C17*100</f>
        <v>35.293332505587287</v>
      </c>
      <c r="F17" s="190">
        <f t="shared" si="22"/>
        <v>74.133873601009853</v>
      </c>
      <c r="G17" s="191">
        <f t="shared" si="12"/>
        <v>5412.2880000000005</v>
      </c>
      <c r="H17" s="191">
        <f t="shared" si="13"/>
        <v>8118.4320000000007</v>
      </c>
      <c r="I17" s="191">
        <f t="shared" si="14"/>
        <v>2576.6585599999999</v>
      </c>
      <c r="J17" s="191">
        <f t="shared" si="15"/>
        <v>3864.9878399999998</v>
      </c>
      <c r="K17" s="192" t="str">
        <f t="shared" si="16"/>
        <v>下回った</v>
      </c>
      <c r="L17" s="192" t="str">
        <f t="shared" si="17"/>
        <v>下回った</v>
      </c>
      <c r="M17" s="192" t="s">
        <v>148</v>
      </c>
      <c r="N17" s="213">
        <f>ウルメイワシ!P120</f>
        <v>4649.6850000000004</v>
      </c>
      <c r="O17" s="214">
        <f>ウルメイワシ!P122</f>
        <v>4278.1494000000002</v>
      </c>
      <c r="P17" s="195">
        <f t="shared" si="18"/>
        <v>3719.7480000000005</v>
      </c>
      <c r="Q17" s="195">
        <f t="shared" si="19"/>
        <v>5579.6220000000003</v>
      </c>
      <c r="R17" s="195">
        <f t="shared" si="20"/>
        <v>3422.5195200000003</v>
      </c>
      <c r="S17" s="195">
        <f t="shared" si="21"/>
        <v>5133.7792799999997</v>
      </c>
      <c r="T17" s="186" t="s">
        <v>167</v>
      </c>
      <c r="U17" s="186" t="s">
        <v>167</v>
      </c>
      <c r="V17" s="186"/>
      <c r="W17" s="185">
        <f>$N$2-1</f>
        <v>2016</v>
      </c>
      <c r="X17" s="215">
        <f>ウルメイワシ!P209</f>
        <v>12587.24</v>
      </c>
    </row>
    <row r="18" spans="1:24" ht="18" x14ac:dyDescent="0.25">
      <c r="A18" s="25" t="s">
        <v>76</v>
      </c>
      <c r="B18" s="211">
        <f>ウルメイワシ!Q150</f>
        <v>529.25400000000002</v>
      </c>
      <c r="C18" s="211">
        <f>ウルメイワシ!Q149</f>
        <v>1057.4099999999999</v>
      </c>
      <c r="D18" s="211">
        <f>ウルメイワシ!Q152</f>
        <v>1112.3856000000001</v>
      </c>
      <c r="E18" s="190">
        <f t="shared" si="23"/>
        <v>50.051919312281903</v>
      </c>
      <c r="F18" s="190">
        <f t="shared" si="22"/>
        <v>47.578285803052466</v>
      </c>
      <c r="G18" s="191">
        <f t="shared" si="12"/>
        <v>845.92799999999988</v>
      </c>
      <c r="H18" s="191">
        <f t="shared" si="13"/>
        <v>1268.8919999999998</v>
      </c>
      <c r="I18" s="191">
        <f t="shared" si="14"/>
        <v>889.90848000000005</v>
      </c>
      <c r="J18" s="191">
        <f t="shared" si="15"/>
        <v>1334.8627200000001</v>
      </c>
      <c r="K18" s="192" t="str">
        <f t="shared" si="16"/>
        <v>下回った</v>
      </c>
      <c r="L18" s="192" t="str">
        <f t="shared" si="17"/>
        <v>下回った</v>
      </c>
      <c r="M18" s="192" t="s">
        <v>148</v>
      </c>
      <c r="N18" s="213">
        <f>ウルメイワシ!P150</f>
        <v>598.62599999999998</v>
      </c>
      <c r="O18" s="214">
        <f>ウルメイワシ!P152</f>
        <v>1188.2256000000002</v>
      </c>
      <c r="P18" s="195">
        <f t="shared" si="18"/>
        <v>478.9008</v>
      </c>
      <c r="Q18" s="195">
        <f t="shared" si="19"/>
        <v>718.35119999999995</v>
      </c>
      <c r="R18" s="195">
        <f t="shared" si="20"/>
        <v>950.58048000000019</v>
      </c>
      <c r="S18" s="195">
        <f t="shared" si="21"/>
        <v>1425.8707200000001</v>
      </c>
      <c r="T18" s="186" t="s">
        <v>165</v>
      </c>
      <c r="U18" s="186" t="s">
        <v>167</v>
      </c>
      <c r="V18" s="186"/>
      <c r="W18" s="186" t="s">
        <v>95</v>
      </c>
      <c r="X18" s="215">
        <f>ウルメイワシ!P210</f>
        <v>7643.5130000000008</v>
      </c>
    </row>
    <row r="19" spans="1:24" ht="18" x14ac:dyDescent="0.25">
      <c r="A19" s="25" t="s">
        <v>77</v>
      </c>
      <c r="B19" s="211">
        <f>ウルメイワシ!Q180</f>
        <v>1910.7089999999998</v>
      </c>
      <c r="C19" s="211">
        <f>ウルメイワシ!Q179</f>
        <v>1922.396</v>
      </c>
      <c r="D19" s="211">
        <f>ウルメイワシ!Q182</f>
        <v>2338.4041999999999</v>
      </c>
      <c r="E19" s="190">
        <f t="shared" si="23"/>
        <v>99.392060740867123</v>
      </c>
      <c r="F19" s="190">
        <f t="shared" si="22"/>
        <v>81.709954164468229</v>
      </c>
      <c r="G19" s="191">
        <f t="shared" si="12"/>
        <v>1537.9168</v>
      </c>
      <c r="H19" s="191">
        <f t="shared" si="13"/>
        <v>2306.8751999999999</v>
      </c>
      <c r="I19" s="191">
        <f t="shared" si="14"/>
        <v>1870.72336</v>
      </c>
      <c r="J19" s="191">
        <f t="shared" si="15"/>
        <v>2806.0850399999999</v>
      </c>
      <c r="K19" s="192" t="str">
        <f t="shared" si="16"/>
        <v>並み</v>
      </c>
      <c r="L19" s="192" t="str">
        <f t="shared" si="17"/>
        <v>並み</v>
      </c>
      <c r="M19" s="192" t="s">
        <v>148</v>
      </c>
      <c r="N19" s="213">
        <f>ウルメイワシ!P180</f>
        <v>2362.3779999999997</v>
      </c>
      <c r="O19" s="214">
        <f>ウルメイワシ!P182</f>
        <v>3292.5425999999998</v>
      </c>
      <c r="P19" s="195">
        <f t="shared" si="18"/>
        <v>1889.9023999999999</v>
      </c>
      <c r="Q19" s="195">
        <f t="shared" si="19"/>
        <v>2834.8535999999995</v>
      </c>
      <c r="R19" s="195">
        <f t="shared" si="20"/>
        <v>2634.0340799999999</v>
      </c>
      <c r="S19" s="195">
        <f t="shared" si="21"/>
        <v>3951.0511199999996</v>
      </c>
      <c r="T19" s="186" t="s">
        <v>167</v>
      </c>
      <c r="U19" s="186" t="s">
        <v>167</v>
      </c>
      <c r="V19" s="186"/>
      <c r="W19" s="186" t="s">
        <v>96</v>
      </c>
      <c r="X19" s="195">
        <f>AVERAGE(X14:X18)</f>
        <v>8940.4007999999994</v>
      </c>
    </row>
    <row r="20" spans="1:24" ht="18" x14ac:dyDescent="0.25">
      <c r="A20" s="28" t="s">
        <v>78</v>
      </c>
      <c r="B20" s="208">
        <f>SUM(B14:B19)</f>
        <v>4831.9860000000008</v>
      </c>
      <c r="C20" s="198">
        <f>SUM(C14:C19)</f>
        <v>9745.7060000000001</v>
      </c>
      <c r="D20" s="198">
        <f>SUM(D14:D19)</f>
        <v>6680.2550000000001</v>
      </c>
      <c r="E20" s="198">
        <f t="shared" si="23"/>
        <v>49.580666603322534</v>
      </c>
      <c r="F20" s="198">
        <f t="shared" si="22"/>
        <v>72.332358570144422</v>
      </c>
      <c r="G20" s="198">
        <f t="shared" si="12"/>
        <v>7796.5648000000001</v>
      </c>
      <c r="H20" s="198">
        <f t="shared" si="13"/>
        <v>11694.8472</v>
      </c>
      <c r="I20" s="198">
        <f t="shared" si="14"/>
        <v>5344.2040000000006</v>
      </c>
      <c r="J20" s="198">
        <f t="shared" si="15"/>
        <v>8016.3059999999996</v>
      </c>
      <c r="K20" s="199" t="str">
        <f>IF(B20&gt;C20*1.2,"上回った",IF(B20&lt;C20*0.8,"下回った","並み"))</f>
        <v>下回った</v>
      </c>
      <c r="L20" s="199" t="str">
        <f>IF(B20&gt;D20*1.2,"上回った",IF(B20&lt;D20*0.8,"下回った","並み"))</f>
        <v>下回った</v>
      </c>
      <c r="M20" s="192"/>
      <c r="N20" s="200">
        <f>SUM(N14:N19)</f>
        <v>7643.5129999999999</v>
      </c>
      <c r="O20" s="200">
        <f>SUM(O14:O19)</f>
        <v>8940.4007999999994</v>
      </c>
      <c r="P20" s="201">
        <f>N20*0.8</f>
        <v>6114.8104000000003</v>
      </c>
      <c r="Q20" s="201">
        <f>N20*1.2</f>
        <v>9172.2155999999995</v>
      </c>
      <c r="R20" s="201">
        <f t="shared" si="20"/>
        <v>7152.3206399999999</v>
      </c>
      <c r="S20" s="201">
        <f t="shared" si="21"/>
        <v>10728.480959999999</v>
      </c>
      <c r="T20" s="202"/>
      <c r="U20" s="202"/>
      <c r="V20" s="186"/>
      <c r="W20" s="186"/>
      <c r="X20" s="186"/>
    </row>
    <row r="21" spans="1:24" ht="18" x14ac:dyDescent="0.25">
      <c r="A21" s="26"/>
      <c r="B21" s="203"/>
      <c r="C21" s="203"/>
      <c r="D21" s="203"/>
      <c r="E21" s="203"/>
      <c r="F21" s="203"/>
      <c r="G21" s="203"/>
      <c r="H21" s="203"/>
      <c r="I21" s="203"/>
      <c r="J21" s="203"/>
      <c r="K21" s="189"/>
      <c r="L21" s="189"/>
      <c r="M21" s="192"/>
      <c r="N21" s="193"/>
      <c r="O21" s="194"/>
      <c r="P21" s="186"/>
      <c r="Q21" s="186"/>
      <c r="R21" s="186"/>
      <c r="S21" s="186"/>
      <c r="T21" s="186"/>
      <c r="U21" s="186"/>
      <c r="V21" s="186"/>
      <c r="W21" s="186"/>
      <c r="X21" s="186"/>
    </row>
    <row r="22" spans="1:24" ht="18" x14ac:dyDescent="0.25">
      <c r="A22" s="25"/>
      <c r="B22" s="209"/>
      <c r="C22" s="209"/>
      <c r="D22" s="209"/>
      <c r="E22" s="191"/>
      <c r="F22" s="191"/>
      <c r="G22" s="209"/>
      <c r="H22" s="209"/>
      <c r="I22" s="209"/>
      <c r="J22" s="209"/>
      <c r="K22" s="189"/>
      <c r="L22" s="189"/>
      <c r="M22" s="192"/>
      <c r="N22" s="193"/>
      <c r="O22" s="194"/>
      <c r="P22" s="186"/>
      <c r="Q22" s="186"/>
      <c r="R22" s="186"/>
      <c r="S22" s="186"/>
      <c r="T22" s="186" t="s">
        <v>88</v>
      </c>
      <c r="U22" s="186"/>
      <c r="V22" s="186"/>
      <c r="W22" s="186"/>
      <c r="X22" s="186"/>
    </row>
    <row r="23" spans="1:24" ht="18" x14ac:dyDescent="0.25">
      <c r="A23" s="28" t="s">
        <v>80</v>
      </c>
      <c r="B23" s="198" t="str">
        <f>$B$2&amp;"年"</f>
        <v>2017年</v>
      </c>
      <c r="C23" s="204" t="s">
        <v>62</v>
      </c>
      <c r="D23" s="204" t="s">
        <v>63</v>
      </c>
      <c r="E23" s="198" t="s">
        <v>64</v>
      </c>
      <c r="F23" s="198" t="s">
        <v>65</v>
      </c>
      <c r="G23" s="204" t="s">
        <v>66</v>
      </c>
      <c r="H23" s="204" t="s">
        <v>67</v>
      </c>
      <c r="I23" s="204" t="s">
        <v>68</v>
      </c>
      <c r="J23" s="204" t="s">
        <v>69</v>
      </c>
      <c r="K23" s="204" t="s">
        <v>70</v>
      </c>
      <c r="L23" s="204" t="s">
        <v>71</v>
      </c>
      <c r="M23" s="192"/>
      <c r="N23" s="205" t="s">
        <v>62</v>
      </c>
      <c r="O23" s="206" t="s">
        <v>63</v>
      </c>
      <c r="P23" s="204" t="s">
        <v>66</v>
      </c>
      <c r="Q23" s="204" t="s">
        <v>67</v>
      </c>
      <c r="R23" s="204" t="s">
        <v>68</v>
      </c>
      <c r="S23" s="204" t="s">
        <v>69</v>
      </c>
      <c r="T23" s="202" t="s">
        <v>87</v>
      </c>
      <c r="U23" s="202" t="s">
        <v>86</v>
      </c>
      <c r="V23" s="186"/>
      <c r="W23" s="186"/>
      <c r="X23" s="186"/>
    </row>
    <row r="24" spans="1:24" ht="18" x14ac:dyDescent="0.25">
      <c r="A24" s="25" t="s">
        <v>72</v>
      </c>
      <c r="B24" s="212">
        <f>カタクチイワシ!Q30</f>
        <v>353.36</v>
      </c>
      <c r="C24" s="212">
        <f>カタクチイワシ!Q29</f>
        <v>137.4</v>
      </c>
      <c r="D24" s="212">
        <f>カタクチイワシ!Q32</f>
        <v>169.94400000000002</v>
      </c>
      <c r="E24" s="191">
        <f t="shared" ref="E24:E30" si="24">B24/C24*100</f>
        <v>257.17612809315864</v>
      </c>
      <c r="F24" s="191">
        <f t="shared" ref="F24:F30" si="25">B24/D24*100</f>
        <v>207.92731723391236</v>
      </c>
      <c r="G24" s="189">
        <f t="shared" ref="G24:G30" si="26">0.8*C24</f>
        <v>109.92000000000002</v>
      </c>
      <c r="H24" s="189">
        <f t="shared" ref="H24:H30" si="27">C24*1.2</f>
        <v>164.88</v>
      </c>
      <c r="I24" s="189">
        <f t="shared" ref="I24:I30" si="28">D24*0.8</f>
        <v>135.95520000000002</v>
      </c>
      <c r="J24" s="189">
        <f t="shared" ref="J24:J30" si="29">D24*1.2</f>
        <v>203.93280000000001</v>
      </c>
      <c r="K24" s="192" t="str">
        <f t="shared" ref="K24:K29" si="30">IF(C24=0,"-",IF(B24&gt;C24*1.2,"上回った",IF(B24&lt;C24*0.8,"下回った","並み")))</f>
        <v>上回った</v>
      </c>
      <c r="L24" s="192" t="str">
        <f t="shared" ref="L24:L29" si="31">IF(D24=0,"-",IF(B24&gt;D24*1.2,"上回った",IF(B24&lt;D24*0.8,"下回った","並み")))</f>
        <v>上回った</v>
      </c>
      <c r="M24" s="192" t="s">
        <v>148</v>
      </c>
      <c r="N24" s="213">
        <f>カタクチイワシ!P30</f>
        <v>656.6</v>
      </c>
      <c r="O24" s="214">
        <f>カタクチイワシ!P32</f>
        <v>556.76840000000004</v>
      </c>
      <c r="P24" s="195">
        <f t="shared" ref="P24:P30" si="32">N24*0.8</f>
        <v>525.28000000000009</v>
      </c>
      <c r="Q24" s="195">
        <f t="shared" ref="Q24:Q30" si="33">N24*1.2</f>
        <v>787.92</v>
      </c>
      <c r="R24" s="195">
        <f t="shared" ref="R24:R30" si="34">O24*0.8</f>
        <v>445.41472000000005</v>
      </c>
      <c r="S24" s="195">
        <f t="shared" ref="S24:S30" si="35">O24*1.2</f>
        <v>668.12207999999998</v>
      </c>
      <c r="T24" s="207" t="s">
        <v>159</v>
      </c>
      <c r="U24" s="207" t="s">
        <v>159</v>
      </c>
      <c r="V24" s="186"/>
      <c r="W24" s="185">
        <f>$N$2-4</f>
        <v>2013</v>
      </c>
      <c r="X24" s="215">
        <f>カタクチイワシ!P206</f>
        <v>11709.6368</v>
      </c>
    </row>
    <row r="25" spans="1:24" ht="18" x14ac:dyDescent="0.25">
      <c r="A25" s="25" t="s">
        <v>73</v>
      </c>
      <c r="B25" s="212">
        <f>カタクチイワシ!Q60</f>
        <v>20.344000000000001</v>
      </c>
      <c r="C25" s="212">
        <f>カタクチイワシ!Q59</f>
        <v>2.9370000000000003</v>
      </c>
      <c r="D25" s="212">
        <f>カタクチイワシ!Q62</f>
        <v>11.4359</v>
      </c>
      <c r="E25" s="191">
        <f>B25/C25*100</f>
        <v>692.67960503915549</v>
      </c>
      <c r="F25" s="191">
        <f t="shared" si="25"/>
        <v>177.89592423858204</v>
      </c>
      <c r="G25" s="189">
        <f t="shared" si="26"/>
        <v>2.3496000000000001</v>
      </c>
      <c r="H25" s="189">
        <f t="shared" si="27"/>
        <v>3.5244000000000004</v>
      </c>
      <c r="I25" s="189">
        <f t="shared" si="28"/>
        <v>9.1487200000000009</v>
      </c>
      <c r="J25" s="189">
        <f t="shared" si="29"/>
        <v>13.72308</v>
      </c>
      <c r="K25" s="192" t="str">
        <f t="shared" si="30"/>
        <v>上回った</v>
      </c>
      <c r="L25" s="192" t="str">
        <f t="shared" si="31"/>
        <v>上回った</v>
      </c>
      <c r="M25" s="192" t="s">
        <v>148</v>
      </c>
      <c r="N25" s="213">
        <f>カタクチイワシ!P60</f>
        <v>18.077750000000002</v>
      </c>
      <c r="O25" s="214">
        <f>カタクチイワシ!P62</f>
        <v>19.982889999999998</v>
      </c>
      <c r="P25" s="195">
        <f t="shared" si="32"/>
        <v>14.462200000000003</v>
      </c>
      <c r="Q25" s="195">
        <f t="shared" si="33"/>
        <v>21.693300000000001</v>
      </c>
      <c r="R25" s="195">
        <f t="shared" si="34"/>
        <v>15.986311999999998</v>
      </c>
      <c r="S25" s="195">
        <f t="shared" si="35"/>
        <v>23.979467999999997</v>
      </c>
      <c r="T25" s="186" t="s">
        <v>127</v>
      </c>
      <c r="U25" s="207"/>
      <c r="V25" s="186"/>
      <c r="W25" s="185">
        <f>$N$2-3</f>
        <v>2014</v>
      </c>
      <c r="X25" s="215">
        <f>カタクチイワシ!P207</f>
        <v>16587.491999999998</v>
      </c>
    </row>
    <row r="26" spans="1:24" ht="18" x14ac:dyDescent="0.25">
      <c r="A26" s="25" t="s">
        <v>74</v>
      </c>
      <c r="B26" s="212">
        <f>カタクチイワシ!Q90</f>
        <v>15.056000000000001</v>
      </c>
      <c r="C26" s="212">
        <f>カタクチイワシ!Q89</f>
        <v>56.4</v>
      </c>
      <c r="D26" s="212">
        <f>カタクチイワシ!Q92</f>
        <v>36.664239999999999</v>
      </c>
      <c r="E26" s="191">
        <f t="shared" si="24"/>
        <v>26.695035460992912</v>
      </c>
      <c r="F26" s="191">
        <f t="shared" si="25"/>
        <v>41.064535907467331</v>
      </c>
      <c r="G26" s="189">
        <f t="shared" si="26"/>
        <v>45.120000000000005</v>
      </c>
      <c r="H26" s="189">
        <f t="shared" si="27"/>
        <v>67.679999999999993</v>
      </c>
      <c r="I26" s="189">
        <f t="shared" si="28"/>
        <v>29.331392000000001</v>
      </c>
      <c r="J26" s="189">
        <f t="shared" si="29"/>
        <v>43.997087999999998</v>
      </c>
      <c r="K26" s="192" t="str">
        <f t="shared" si="30"/>
        <v>下回った</v>
      </c>
      <c r="L26" s="192" t="str">
        <f t="shared" si="31"/>
        <v>下回った</v>
      </c>
      <c r="M26" s="192" t="s">
        <v>148</v>
      </c>
      <c r="N26" s="213">
        <f>カタクチイワシ!P90</f>
        <v>32.08</v>
      </c>
      <c r="O26" s="214">
        <f>カタクチイワシ!P92</f>
        <v>34.720219999999998</v>
      </c>
      <c r="P26" s="195">
        <f t="shared" si="32"/>
        <v>25.664000000000001</v>
      </c>
      <c r="Q26" s="195">
        <f t="shared" si="33"/>
        <v>38.495999999999995</v>
      </c>
      <c r="R26" s="195">
        <f t="shared" si="34"/>
        <v>27.776176</v>
      </c>
      <c r="S26" s="195">
        <f t="shared" si="35"/>
        <v>41.664263999999996</v>
      </c>
      <c r="T26" s="186" t="s">
        <v>167</v>
      </c>
      <c r="U26" s="186" t="s">
        <v>167</v>
      </c>
      <c r="V26" s="186"/>
      <c r="W26" s="185">
        <f>$N$2-2</f>
        <v>2015</v>
      </c>
      <c r="X26" s="215">
        <f>カタクチイワシ!P208</f>
        <v>12136.918</v>
      </c>
    </row>
    <row r="27" spans="1:24" ht="18" x14ac:dyDescent="0.25">
      <c r="A27" s="25" t="s">
        <v>75</v>
      </c>
      <c r="B27" s="211">
        <f>カタクチイワシ!Q120</f>
        <v>424.755</v>
      </c>
      <c r="C27" s="211">
        <f>カタクチイワシ!Q119</f>
        <v>660.45900000000006</v>
      </c>
      <c r="D27" s="211">
        <f>カタクチイワシ!Q122</f>
        <v>864.44920000000002</v>
      </c>
      <c r="E27" s="191">
        <f>B27/C27*100</f>
        <v>64.312092045077733</v>
      </c>
      <c r="F27" s="191">
        <f>B27/D27*100</f>
        <v>49.135912208606356</v>
      </c>
      <c r="G27" s="189">
        <f t="shared" si="26"/>
        <v>528.36720000000003</v>
      </c>
      <c r="H27" s="189">
        <f t="shared" si="27"/>
        <v>792.55080000000009</v>
      </c>
      <c r="I27" s="189">
        <f t="shared" si="28"/>
        <v>691.55936000000008</v>
      </c>
      <c r="J27" s="189">
        <f t="shared" si="29"/>
        <v>1037.3390400000001</v>
      </c>
      <c r="K27" s="192" t="str">
        <f t="shared" si="30"/>
        <v>下回った</v>
      </c>
      <c r="L27" s="192" t="str">
        <f t="shared" si="31"/>
        <v>下回った</v>
      </c>
      <c r="M27" s="192" t="s">
        <v>148</v>
      </c>
      <c r="N27" s="213">
        <f>カタクチイワシ!P120</f>
        <v>6936.5209999999988</v>
      </c>
      <c r="O27" s="214">
        <f>カタクチイワシ!P122</f>
        <v>6868.782799999999</v>
      </c>
      <c r="P27" s="195">
        <f t="shared" si="32"/>
        <v>5549.2167999999992</v>
      </c>
      <c r="Q27" s="195">
        <f t="shared" si="33"/>
        <v>8323.8251999999975</v>
      </c>
      <c r="R27" s="195">
        <f t="shared" si="34"/>
        <v>5495.0262399999992</v>
      </c>
      <c r="S27" s="195">
        <f t="shared" si="35"/>
        <v>8242.5393599999989</v>
      </c>
      <c r="T27" s="186" t="s">
        <v>167</v>
      </c>
      <c r="U27" s="186" t="s">
        <v>167</v>
      </c>
      <c r="V27" s="186"/>
      <c r="W27" s="185">
        <f>$N$2-1</f>
        <v>2016</v>
      </c>
      <c r="X27" s="215">
        <f>カタクチイワシ!P209</f>
        <v>12833.140000000001</v>
      </c>
    </row>
    <row r="28" spans="1:24" ht="18" x14ac:dyDescent="0.25">
      <c r="A28" s="25" t="s">
        <v>76</v>
      </c>
      <c r="B28" s="211">
        <f>カタクチイワシ!Q150</f>
        <v>256.77</v>
      </c>
      <c r="C28" s="211">
        <f>カタクチイワシ!Q149</f>
        <v>107.244</v>
      </c>
      <c r="D28" s="211">
        <f>カタクチイワシ!Q152</f>
        <v>548.08199999999999</v>
      </c>
      <c r="E28" s="191">
        <f t="shared" si="24"/>
        <v>239.42598187311174</v>
      </c>
      <c r="F28" s="191">
        <f t="shared" si="25"/>
        <v>46.848829189792767</v>
      </c>
      <c r="G28" s="189">
        <f t="shared" si="26"/>
        <v>85.795200000000008</v>
      </c>
      <c r="H28" s="189">
        <f t="shared" si="27"/>
        <v>128.69280000000001</v>
      </c>
      <c r="I28" s="189">
        <f t="shared" si="28"/>
        <v>438.46559999999999</v>
      </c>
      <c r="J28" s="189">
        <f t="shared" si="29"/>
        <v>657.69839999999999</v>
      </c>
      <c r="K28" s="192" t="str">
        <f t="shared" si="30"/>
        <v>上回った</v>
      </c>
      <c r="L28" s="192" t="str">
        <f t="shared" si="31"/>
        <v>下回った</v>
      </c>
      <c r="M28" s="192" t="s">
        <v>148</v>
      </c>
      <c r="N28" s="213">
        <f>カタクチイワシ!P150</f>
        <v>3228.0480000000002</v>
      </c>
      <c r="O28" s="214">
        <f>カタクチイワシ!P152</f>
        <v>2967.6420000000003</v>
      </c>
      <c r="P28" s="195">
        <f t="shared" si="32"/>
        <v>2582.4384000000005</v>
      </c>
      <c r="Q28" s="195">
        <f t="shared" si="33"/>
        <v>3873.6576</v>
      </c>
      <c r="R28" s="195">
        <f t="shared" si="34"/>
        <v>2374.1136000000001</v>
      </c>
      <c r="S28" s="195">
        <f t="shared" si="35"/>
        <v>3561.1704000000004</v>
      </c>
      <c r="T28" s="186" t="s">
        <v>165</v>
      </c>
      <c r="U28" s="186" t="s">
        <v>165</v>
      </c>
      <c r="V28" s="186"/>
      <c r="W28" s="186" t="s">
        <v>95</v>
      </c>
      <c r="X28" s="215">
        <f>カタクチイワシ!P210</f>
        <v>13432.703749999999</v>
      </c>
    </row>
    <row r="29" spans="1:24" ht="18" x14ac:dyDescent="0.25">
      <c r="A29" s="25" t="s">
        <v>77</v>
      </c>
      <c r="B29" s="211">
        <f>カタクチイワシ!Q180</f>
        <v>0</v>
      </c>
      <c r="C29" s="211">
        <f>カタクチイワシ!Q179</f>
        <v>498.01</v>
      </c>
      <c r="D29" s="211">
        <f>カタクチイワシ!Q182</f>
        <v>1264.2238000000002</v>
      </c>
      <c r="E29" s="190">
        <f t="shared" si="24"/>
        <v>0</v>
      </c>
      <c r="F29" s="190">
        <f t="shared" si="25"/>
        <v>0</v>
      </c>
      <c r="G29" s="189">
        <f t="shared" si="26"/>
        <v>398.40800000000002</v>
      </c>
      <c r="H29" s="189">
        <f t="shared" si="27"/>
        <v>597.61199999999997</v>
      </c>
      <c r="I29" s="189">
        <f t="shared" si="28"/>
        <v>1011.3790400000003</v>
      </c>
      <c r="J29" s="189">
        <f t="shared" si="29"/>
        <v>1517.0685600000002</v>
      </c>
      <c r="K29" s="192" t="str">
        <f t="shared" si="30"/>
        <v>下回った</v>
      </c>
      <c r="L29" s="192" t="str">
        <f t="shared" si="31"/>
        <v>下回った</v>
      </c>
      <c r="M29" s="192" t="s">
        <v>148</v>
      </c>
      <c r="N29" s="213">
        <f>カタクチイワシ!P180</f>
        <v>2561.3770000000004</v>
      </c>
      <c r="O29" s="214">
        <f>カタクチイワシ!P182</f>
        <v>2892.0818000000004</v>
      </c>
      <c r="P29" s="195">
        <f t="shared" si="32"/>
        <v>2049.1016000000004</v>
      </c>
      <c r="Q29" s="195">
        <f t="shared" si="33"/>
        <v>3073.6524000000004</v>
      </c>
      <c r="R29" s="195">
        <f t="shared" si="34"/>
        <v>2313.6654400000002</v>
      </c>
      <c r="S29" s="195">
        <f t="shared" si="35"/>
        <v>3470.4981600000006</v>
      </c>
      <c r="T29" s="185" t="s">
        <v>166</v>
      </c>
      <c r="U29" s="185" t="s">
        <v>166</v>
      </c>
      <c r="V29" s="186"/>
      <c r="W29" s="186" t="s">
        <v>96</v>
      </c>
      <c r="X29" s="195">
        <f>AVERAGE(X24:X28)</f>
        <v>13339.97811</v>
      </c>
    </row>
    <row r="30" spans="1:24" ht="18" x14ac:dyDescent="0.25">
      <c r="A30" s="28" t="s">
        <v>78</v>
      </c>
      <c r="B30" s="208">
        <f>SUM(B24:B29)</f>
        <v>1070.2849999999999</v>
      </c>
      <c r="C30" s="198">
        <f>SUM(C24:C29)</f>
        <v>1462.4500000000003</v>
      </c>
      <c r="D30" s="198">
        <f>SUM(D24:D29)</f>
        <v>2894.7991400000001</v>
      </c>
      <c r="E30" s="198">
        <f t="shared" si="24"/>
        <v>73.184382372046883</v>
      </c>
      <c r="F30" s="198">
        <f t="shared" si="25"/>
        <v>36.972686125642554</v>
      </c>
      <c r="G30" s="197">
        <f t="shared" si="26"/>
        <v>1169.9600000000003</v>
      </c>
      <c r="H30" s="197">
        <f t="shared" si="27"/>
        <v>1754.9400000000003</v>
      </c>
      <c r="I30" s="197">
        <f t="shared" si="28"/>
        <v>2315.8393120000001</v>
      </c>
      <c r="J30" s="197">
        <f t="shared" si="29"/>
        <v>3473.7589680000001</v>
      </c>
      <c r="K30" s="199" t="str">
        <f>IF(B30&gt;C30*1.2,"上回った",IF(B30&lt;C30*0.8,"下回った","並み"))</f>
        <v>下回った</v>
      </c>
      <c r="L30" s="199" t="str">
        <f>IF(B30&gt;D30*1.2,"上回った",IF(B30&lt;D30*0.8,"下回った","並み"))</f>
        <v>下回った</v>
      </c>
      <c r="M30" s="192"/>
      <c r="N30" s="200">
        <f>SUM(N24:N29)</f>
        <v>13432.703749999999</v>
      </c>
      <c r="O30" s="200">
        <f>SUM(O24:O29)</f>
        <v>13339.97811</v>
      </c>
      <c r="P30" s="201">
        <f t="shared" si="32"/>
        <v>10746.163</v>
      </c>
      <c r="Q30" s="201">
        <f t="shared" si="33"/>
        <v>16119.244499999997</v>
      </c>
      <c r="R30" s="201">
        <f t="shared" si="34"/>
        <v>10671.982488000001</v>
      </c>
      <c r="S30" s="201">
        <f t="shared" si="35"/>
        <v>16007.973731999999</v>
      </c>
      <c r="T30" s="202"/>
      <c r="U30" s="202"/>
      <c r="V30" s="186"/>
      <c r="W30" s="186"/>
      <c r="X30" s="186"/>
    </row>
    <row r="31" spans="1:24" x14ac:dyDescent="0.2">
      <c r="M31" s="26"/>
    </row>
    <row r="126" spans="5:6" x14ac:dyDescent="0.2">
      <c r="E126" s="43"/>
      <c r="F126" s="43"/>
    </row>
    <row r="135" spans="2:17" x14ac:dyDescent="0.2"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</row>
    <row r="136" spans="2:17" x14ac:dyDescent="0.2">
      <c r="B136" s="43">
        <v>105.282</v>
      </c>
      <c r="C136" s="43">
        <v>87.245999999999995</v>
      </c>
      <c r="D136" s="43">
        <v>149.94</v>
      </c>
      <c r="E136" s="70">
        <v>284.47199999999998</v>
      </c>
      <c r="F136" s="70">
        <v>347.346</v>
      </c>
      <c r="G136" s="43">
        <v>528.10199999999998</v>
      </c>
      <c r="H136" s="43">
        <v>685.78200000000004</v>
      </c>
      <c r="I136" s="43">
        <v>603.32399999999996</v>
      </c>
      <c r="O136" s="70"/>
    </row>
    <row r="137" spans="2:17" x14ac:dyDescent="0.2">
      <c r="O137" s="43" t="e">
        <f>AVERAGE(O131:O135)</f>
        <v>#DIV/0!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4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topLeftCell="N1" zoomScale="75" zoomScaleNormal="75" zoomScalePageLayoutView="75" workbookViewId="0">
      <selection activeCell="X6" sqref="X6"/>
    </sheetView>
  </sheetViews>
  <sheetFormatPr baseColWidth="10" defaultColWidth="9" defaultRowHeight="15" x14ac:dyDescent="0.2"/>
  <cols>
    <col min="1" max="1" width="11.25" style="43" customWidth="1"/>
    <col min="2" max="2" width="10.5" style="43" bestFit="1" customWidth="1"/>
    <col min="3" max="4" width="9.5" style="43" bestFit="1" customWidth="1"/>
    <col min="5" max="5" width="10.75" style="70" bestFit="1" customWidth="1"/>
    <col min="6" max="6" width="9.125" style="70" bestFit="1" customWidth="1"/>
    <col min="7" max="10" width="9.125" style="43" bestFit="1" customWidth="1"/>
    <col min="11" max="13" width="9" style="43"/>
    <col min="14" max="19" width="9.125" style="43" bestFit="1" customWidth="1"/>
    <col min="20" max="21" width="9" style="43"/>
    <col min="22" max="22" width="26.5" style="43" customWidth="1"/>
    <col min="23" max="23" width="9.125" style="43" bestFit="1" customWidth="1"/>
    <col min="24" max="24" width="9.75" style="43" bestFit="1" customWidth="1"/>
    <col min="25" max="16384" width="9" style="43"/>
  </cols>
  <sheetData>
    <row r="1" spans="1:24" x14ac:dyDescent="0.2">
      <c r="A1" s="25" t="s">
        <v>125</v>
      </c>
      <c r="B1" s="25"/>
      <c r="C1" s="25"/>
      <c r="D1" s="25"/>
      <c r="E1" s="30"/>
      <c r="F1" s="30"/>
      <c r="G1" s="25"/>
      <c r="H1" s="25"/>
      <c r="I1" s="25"/>
      <c r="J1" s="25"/>
      <c r="K1" s="25"/>
      <c r="L1" s="25"/>
      <c r="M1" s="26"/>
      <c r="N1" s="26" t="s">
        <v>126</v>
      </c>
    </row>
    <row r="2" spans="1:24" x14ac:dyDescent="0.2">
      <c r="A2" s="25"/>
      <c r="B2" s="187">
        <v>2017</v>
      </c>
      <c r="C2" s="25">
        <f>B2-1</f>
        <v>2016</v>
      </c>
      <c r="D2" s="25" t="str">
        <f>C2&amp;"~"&amp;C2-4</f>
        <v>2016~2012</v>
      </c>
      <c r="E2" s="30"/>
      <c r="F2" s="30"/>
      <c r="G2" s="25"/>
      <c r="H2" s="25"/>
      <c r="I2" s="25"/>
      <c r="J2" s="25"/>
      <c r="K2" s="25"/>
      <c r="L2" s="25"/>
      <c r="M2" s="26"/>
      <c r="N2" s="187">
        <v>2016</v>
      </c>
      <c r="O2" s="25" t="str">
        <f>N2&amp;"~"&amp;N2-4</f>
        <v>2016~2012</v>
      </c>
      <c r="T2" s="43" t="s">
        <v>88</v>
      </c>
      <c r="W2" s="43" t="s">
        <v>97</v>
      </c>
    </row>
    <row r="3" spans="1:24" x14ac:dyDescent="0.2">
      <c r="A3" s="27" t="s">
        <v>61</v>
      </c>
      <c r="B3" s="27" t="str">
        <f>$B$2&amp;"年"</f>
        <v>2017年</v>
      </c>
      <c r="C3" s="27" t="s">
        <v>62</v>
      </c>
      <c r="D3" s="27" t="s">
        <v>63</v>
      </c>
      <c r="E3" s="27" t="s">
        <v>64</v>
      </c>
      <c r="F3" s="27" t="s">
        <v>65</v>
      </c>
      <c r="G3" s="28" t="s">
        <v>66</v>
      </c>
      <c r="H3" s="28" t="s">
        <v>67</v>
      </c>
      <c r="I3" s="28" t="s">
        <v>68</v>
      </c>
      <c r="J3" s="28" t="s">
        <v>69</v>
      </c>
      <c r="K3" s="28" t="s">
        <v>70</v>
      </c>
      <c r="L3" s="28" t="s">
        <v>71</v>
      </c>
      <c r="M3" s="43" t="s">
        <v>124</v>
      </c>
      <c r="N3" s="50" t="s">
        <v>62</v>
      </c>
      <c r="O3" s="44" t="s">
        <v>63</v>
      </c>
      <c r="P3" s="28" t="s">
        <v>66</v>
      </c>
      <c r="Q3" s="28" t="s">
        <v>67</v>
      </c>
      <c r="R3" s="28" t="s">
        <v>68</v>
      </c>
      <c r="S3" s="28" t="s">
        <v>69</v>
      </c>
      <c r="T3" s="44" t="s">
        <v>87</v>
      </c>
      <c r="U3" s="44" t="s">
        <v>86</v>
      </c>
      <c r="V3" s="43" t="s">
        <v>124</v>
      </c>
      <c r="W3" s="43" t="s">
        <v>139</v>
      </c>
    </row>
    <row r="4" spans="1:24" ht="18" x14ac:dyDescent="0.25">
      <c r="A4" s="30" t="s">
        <v>72</v>
      </c>
      <c r="B4" s="210">
        <f>マイワシ!O30</f>
        <v>7.8250000000000002</v>
      </c>
      <c r="C4" s="210">
        <f>マイワシ!O29</f>
        <v>191.07499999999996</v>
      </c>
      <c r="D4" s="210">
        <f>マイワシ!O32</f>
        <v>52.405799999999985</v>
      </c>
      <c r="E4" s="190">
        <f t="shared" ref="E4:E10" si="0">B4/C4*100</f>
        <v>4.0952505560643733</v>
      </c>
      <c r="F4" s="190">
        <f t="shared" ref="F4:F9" si="1">B4/D4*100</f>
        <v>14.931553377679574</v>
      </c>
      <c r="G4" s="191">
        <f>0.8*C4</f>
        <v>152.85999999999999</v>
      </c>
      <c r="H4" s="191">
        <f t="shared" ref="H4:H10" si="2">C4*1.2</f>
        <v>229.28999999999994</v>
      </c>
      <c r="I4" s="191">
        <f t="shared" ref="I4:I10" si="3">D4*0.8</f>
        <v>41.924639999999989</v>
      </c>
      <c r="J4" s="191">
        <f t="shared" ref="J4:J10" si="4">D4*1.2</f>
        <v>62.886959999999981</v>
      </c>
      <c r="K4" s="192" t="str">
        <f t="shared" ref="K4:K9" si="5">IF(C4=0,"-",IF(B4&gt;C4*1.2,"上回った",IF(B4&lt;C4*0.8,"下回った","並み")))</f>
        <v>下回った</v>
      </c>
      <c r="L4" s="192" t="str">
        <f t="shared" ref="L4:L9" si="6">IF(D4=0,"-",IF(B4&gt;D4*1.2,"上回った",IF(B4&lt;D4*0.8,"下回った","並み")))</f>
        <v>下回った</v>
      </c>
      <c r="M4" s="186" t="s">
        <v>148</v>
      </c>
      <c r="N4" s="213">
        <f>マイワシ!S29</f>
        <v>0</v>
      </c>
      <c r="O4" s="214">
        <f>マイワシ!S32</f>
        <v>2.4674</v>
      </c>
      <c r="P4" s="216">
        <f t="shared" ref="P4:P10" si="7">N4*0.8</f>
        <v>0</v>
      </c>
      <c r="Q4" s="216">
        <f t="shared" ref="Q4:Q9" si="8">N4*1.2</f>
        <v>0</v>
      </c>
      <c r="R4" s="216">
        <f t="shared" ref="R4:R10" si="9">O4*0.8</f>
        <v>1.9739200000000001</v>
      </c>
      <c r="S4" s="216">
        <f t="shared" ref="S4:S9" si="10">O4*1.2</f>
        <v>2.96088</v>
      </c>
      <c r="T4" s="186" t="s">
        <v>155</v>
      </c>
      <c r="U4" s="186"/>
      <c r="V4" s="186" t="s">
        <v>156</v>
      </c>
      <c r="W4" s="185">
        <f>$N$2-4</f>
        <v>2012</v>
      </c>
      <c r="X4" s="215">
        <f>マイワシ!R205</f>
        <v>667.89339999999993</v>
      </c>
    </row>
    <row r="5" spans="1:24" ht="18" x14ac:dyDescent="0.25">
      <c r="A5" s="30" t="s">
        <v>73</v>
      </c>
      <c r="B5" s="210">
        <f>マイワシ!O60</f>
        <v>15.470500000000001</v>
      </c>
      <c r="C5" s="210">
        <f>マイワシ!O59</f>
        <v>12.143000000000001</v>
      </c>
      <c r="D5" s="210">
        <f>マイワシ!O62</f>
        <v>65.28479999999999</v>
      </c>
      <c r="E5" s="190">
        <f t="shared" si="0"/>
        <v>127.40261879272008</v>
      </c>
      <c r="F5" s="190">
        <f t="shared" si="1"/>
        <v>23.696940175967459</v>
      </c>
      <c r="G5" s="191">
        <f t="shared" ref="G5:G10" si="11">0.8*C5</f>
        <v>9.7144000000000013</v>
      </c>
      <c r="H5" s="191">
        <f t="shared" si="2"/>
        <v>14.5716</v>
      </c>
      <c r="I5" s="191">
        <f t="shared" si="3"/>
        <v>52.227839999999993</v>
      </c>
      <c r="J5" s="191">
        <f t="shared" si="4"/>
        <v>78.341759999999979</v>
      </c>
      <c r="K5" s="192" t="str">
        <f t="shared" si="5"/>
        <v>上回った</v>
      </c>
      <c r="L5" s="192" t="str">
        <f t="shared" si="6"/>
        <v>下回った</v>
      </c>
      <c r="M5" s="186" t="s">
        <v>148</v>
      </c>
      <c r="N5" s="213">
        <f>マイワシ!S59</f>
        <v>0.29649999999999999</v>
      </c>
      <c r="O5" s="214">
        <f>マイワシ!S62</f>
        <v>5.9299999999999999E-2</v>
      </c>
      <c r="P5" s="216">
        <f t="shared" si="7"/>
        <v>0.23719999999999999</v>
      </c>
      <c r="Q5" s="216">
        <f t="shared" si="8"/>
        <v>0.35579999999999995</v>
      </c>
      <c r="R5" s="216">
        <f t="shared" si="9"/>
        <v>4.7440000000000003E-2</v>
      </c>
      <c r="S5" s="216">
        <f t="shared" si="10"/>
        <v>7.1160000000000001E-2</v>
      </c>
      <c r="T5" s="186" t="s">
        <v>127</v>
      </c>
      <c r="U5" s="186"/>
      <c r="V5" s="186" t="s">
        <v>156</v>
      </c>
      <c r="W5" s="185">
        <f>$N$2-3</f>
        <v>2013</v>
      </c>
      <c r="X5" s="215">
        <f>マイワシ!R206</f>
        <v>2432.8890000000001</v>
      </c>
    </row>
    <row r="6" spans="1:24" ht="18" x14ac:dyDescent="0.25">
      <c r="A6" s="30" t="s">
        <v>74</v>
      </c>
      <c r="B6" s="210">
        <f>マイワシ!O90</f>
        <v>0.48</v>
      </c>
      <c r="C6" s="210">
        <f>マイワシ!O89</f>
        <v>0</v>
      </c>
      <c r="D6" s="210">
        <f>マイワシ!O92</f>
        <v>0.29759999999999998</v>
      </c>
      <c r="E6" s="190" t="e">
        <f>B6/C6*100</f>
        <v>#DIV/0!</v>
      </c>
      <c r="F6" s="190">
        <f t="shared" si="1"/>
        <v>161.29032258064518</v>
      </c>
      <c r="G6" s="191">
        <f t="shared" si="11"/>
        <v>0</v>
      </c>
      <c r="H6" s="191">
        <f t="shared" si="2"/>
        <v>0</v>
      </c>
      <c r="I6" s="191">
        <f t="shared" si="3"/>
        <v>0.23807999999999999</v>
      </c>
      <c r="J6" s="191">
        <f t="shared" si="4"/>
        <v>0.35711999999999994</v>
      </c>
      <c r="K6" s="192" t="str">
        <f t="shared" si="5"/>
        <v>-</v>
      </c>
      <c r="L6" s="192" t="str">
        <f t="shared" si="6"/>
        <v>上回った</v>
      </c>
      <c r="M6" s="186" t="s">
        <v>148</v>
      </c>
      <c r="N6" s="213">
        <f>マイワシ!S89</f>
        <v>1.0720000000000001</v>
      </c>
      <c r="O6" s="214">
        <f>マイワシ!S92</f>
        <v>2.5564800000000005</v>
      </c>
      <c r="P6" s="216">
        <f t="shared" si="7"/>
        <v>0.85760000000000014</v>
      </c>
      <c r="Q6" s="216">
        <f t="shared" si="8"/>
        <v>1.2864</v>
      </c>
      <c r="R6" s="216">
        <f t="shared" si="9"/>
        <v>2.0451840000000003</v>
      </c>
      <c r="S6" s="216">
        <f t="shared" si="10"/>
        <v>3.0677760000000007</v>
      </c>
      <c r="T6" s="186" t="s">
        <v>94</v>
      </c>
      <c r="U6" s="186" t="s">
        <v>94</v>
      </c>
      <c r="V6" s="186" t="s">
        <v>156</v>
      </c>
      <c r="W6" s="185">
        <f>$N$2-2</f>
        <v>2014</v>
      </c>
      <c r="X6" s="215">
        <f>マイワシ!R207</f>
        <v>1311.0419999999999</v>
      </c>
    </row>
    <row r="7" spans="1:24" ht="18" x14ac:dyDescent="0.25">
      <c r="A7" s="30" t="s">
        <v>75</v>
      </c>
      <c r="B7" s="210">
        <f>マイワシ!O120</f>
        <v>1629.4559999999999</v>
      </c>
      <c r="C7" s="210">
        <f>マイワシ!O119</f>
        <v>2440.6869999999999</v>
      </c>
      <c r="D7" s="210">
        <f>マイワシ!O122</f>
        <v>881.53</v>
      </c>
      <c r="E7" s="190">
        <f>B7/C7*100</f>
        <v>66.762186220519055</v>
      </c>
      <c r="F7" s="190">
        <f>B7/D7*100</f>
        <v>184.8440779099974</v>
      </c>
      <c r="G7" s="191">
        <f t="shared" si="11"/>
        <v>1952.5496000000001</v>
      </c>
      <c r="H7" s="191">
        <f t="shared" si="2"/>
        <v>2928.8244</v>
      </c>
      <c r="I7" s="191">
        <f t="shared" si="3"/>
        <v>705.22400000000005</v>
      </c>
      <c r="J7" s="191">
        <f t="shared" si="4"/>
        <v>1057.836</v>
      </c>
      <c r="K7" s="192" t="str">
        <f t="shared" si="5"/>
        <v>下回った</v>
      </c>
      <c r="L7" s="192" t="str">
        <f t="shared" si="6"/>
        <v>上回った</v>
      </c>
      <c r="M7" s="186" t="s">
        <v>148</v>
      </c>
      <c r="N7" s="213">
        <f>マイワシ!S119</f>
        <v>2635.3620000000001</v>
      </c>
      <c r="O7" s="214">
        <f>マイワシ!S122</f>
        <v>932.65319999999997</v>
      </c>
      <c r="P7" s="216">
        <f t="shared" si="7"/>
        <v>2108.2896000000001</v>
      </c>
      <c r="Q7" s="216">
        <f t="shared" si="8"/>
        <v>3162.4344000000001</v>
      </c>
      <c r="R7" s="216">
        <f t="shared" si="9"/>
        <v>746.12256000000002</v>
      </c>
      <c r="S7" s="216">
        <f t="shared" si="10"/>
        <v>1119.1838399999999</v>
      </c>
      <c r="T7" s="186" t="s">
        <v>93</v>
      </c>
      <c r="U7" s="186" t="s">
        <v>99</v>
      </c>
      <c r="V7" s="186" t="s">
        <v>156</v>
      </c>
      <c r="W7" s="185">
        <f>$N$2-1</f>
        <v>2015</v>
      </c>
      <c r="X7" s="215">
        <f>マイワシ!R208</f>
        <v>5836.7119999999995</v>
      </c>
    </row>
    <row r="8" spans="1:24" ht="18" x14ac:dyDescent="0.25">
      <c r="A8" s="30" t="s">
        <v>76</v>
      </c>
      <c r="B8" s="210">
        <f>マイワシ!O150</f>
        <v>172.00799999999998</v>
      </c>
      <c r="C8" s="210">
        <f>マイワシ!O149</f>
        <v>88.902000000000001</v>
      </c>
      <c r="D8" s="210">
        <f>マイワシ!O152</f>
        <v>412.81920000000002</v>
      </c>
      <c r="E8" s="190">
        <f t="shared" si="0"/>
        <v>193.48046163190926</v>
      </c>
      <c r="F8" s="190">
        <f t="shared" si="1"/>
        <v>41.666666666666657</v>
      </c>
      <c r="G8" s="191">
        <f t="shared" si="11"/>
        <v>71.121600000000001</v>
      </c>
      <c r="H8" s="191">
        <f t="shared" si="2"/>
        <v>106.6824</v>
      </c>
      <c r="I8" s="191">
        <f t="shared" si="3"/>
        <v>330.25536000000005</v>
      </c>
      <c r="J8" s="191">
        <f t="shared" si="4"/>
        <v>495.38303999999999</v>
      </c>
      <c r="K8" s="192" t="str">
        <f t="shared" si="5"/>
        <v>上回った</v>
      </c>
      <c r="L8" s="192" t="str">
        <f t="shared" si="6"/>
        <v>下回った</v>
      </c>
      <c r="M8" s="186" t="s">
        <v>148</v>
      </c>
      <c r="N8" s="213">
        <f>マイワシ!S149</f>
        <v>272.73599999999993</v>
      </c>
      <c r="O8" s="214">
        <f>マイワシ!S152</f>
        <v>343.95479999999998</v>
      </c>
      <c r="P8" s="216">
        <f t="shared" si="7"/>
        <v>218.18879999999996</v>
      </c>
      <c r="Q8" s="216">
        <f t="shared" si="8"/>
        <v>327.28319999999991</v>
      </c>
      <c r="R8" s="216">
        <f t="shared" si="9"/>
        <v>275.16383999999999</v>
      </c>
      <c r="S8" s="216">
        <f t="shared" si="10"/>
        <v>412.74575999999996</v>
      </c>
      <c r="T8" s="186" t="s">
        <v>94</v>
      </c>
      <c r="U8" s="186" t="s">
        <v>93</v>
      </c>
      <c r="V8" s="186" t="s">
        <v>157</v>
      </c>
      <c r="W8" s="186" t="s">
        <v>95</v>
      </c>
      <c r="X8" s="215">
        <f>マイワシ!R209</f>
        <v>3695.6754999999998</v>
      </c>
    </row>
    <row r="9" spans="1:24" ht="18" x14ac:dyDescent="0.25">
      <c r="A9" s="30" t="s">
        <v>77</v>
      </c>
      <c r="B9" s="210">
        <f>マイワシ!O180</f>
        <v>693.8069999999999</v>
      </c>
      <c r="C9" s="210">
        <f>マイワシ!O179</f>
        <v>2166.777</v>
      </c>
      <c r="D9" s="210">
        <f>マイワシ!O182</f>
        <v>1897.2105999999999</v>
      </c>
      <c r="E9" s="190">
        <f t="shared" si="0"/>
        <v>32.020230969776762</v>
      </c>
      <c r="F9" s="190">
        <f t="shared" si="1"/>
        <v>36.569846278531223</v>
      </c>
      <c r="G9" s="191">
        <f t="shared" si="11"/>
        <v>1733.4216000000001</v>
      </c>
      <c r="H9" s="191">
        <f t="shared" si="2"/>
        <v>2600.1324</v>
      </c>
      <c r="I9" s="191">
        <f t="shared" si="3"/>
        <v>1517.76848</v>
      </c>
      <c r="J9" s="191">
        <f t="shared" si="4"/>
        <v>2276.6527199999996</v>
      </c>
      <c r="K9" s="192" t="str">
        <f t="shared" si="5"/>
        <v>下回った</v>
      </c>
      <c r="L9" s="192" t="str">
        <f t="shared" si="6"/>
        <v>下回った</v>
      </c>
      <c r="M9" s="186" t="s">
        <v>148</v>
      </c>
      <c r="N9" s="213">
        <f>マイワシ!S179</f>
        <v>786.20900000000006</v>
      </c>
      <c r="O9" s="214">
        <f>マイワシ!S182</f>
        <v>1507.1512</v>
      </c>
      <c r="P9" s="216">
        <f t="shared" si="7"/>
        <v>628.96720000000005</v>
      </c>
      <c r="Q9" s="216">
        <f t="shared" si="8"/>
        <v>943.45080000000007</v>
      </c>
      <c r="R9" s="216">
        <f t="shared" si="9"/>
        <v>1205.7209600000001</v>
      </c>
      <c r="S9" s="216">
        <f t="shared" si="10"/>
        <v>1808.5814399999999</v>
      </c>
      <c r="T9" s="186" t="s">
        <v>93</v>
      </c>
      <c r="U9" s="186" t="s">
        <v>93</v>
      </c>
      <c r="V9" s="186" t="s">
        <v>156</v>
      </c>
      <c r="W9" s="186" t="s">
        <v>96</v>
      </c>
      <c r="X9" s="195">
        <f>AVERAGE(X4:X8)</f>
        <v>2788.8423799999996</v>
      </c>
    </row>
    <row r="10" spans="1:24" ht="18" x14ac:dyDescent="0.25">
      <c r="A10" s="27" t="s">
        <v>78</v>
      </c>
      <c r="B10" s="196">
        <f>SUM(B4:B9)</f>
        <v>2519.0464999999999</v>
      </c>
      <c r="C10" s="197">
        <f>SUM(C4:C9)</f>
        <v>4899.5839999999998</v>
      </c>
      <c r="D10" s="197">
        <f>SUM(D4:D9)</f>
        <v>3309.5479999999998</v>
      </c>
      <c r="E10" s="198">
        <f t="shared" si="0"/>
        <v>51.413477144182039</v>
      </c>
      <c r="F10" s="198">
        <f>B10/D10*100</f>
        <v>76.114517752877433</v>
      </c>
      <c r="G10" s="198">
        <f t="shared" si="11"/>
        <v>3919.6671999999999</v>
      </c>
      <c r="H10" s="198">
        <f t="shared" si="2"/>
        <v>5879.5007999999998</v>
      </c>
      <c r="I10" s="198">
        <f t="shared" si="3"/>
        <v>2647.6383999999998</v>
      </c>
      <c r="J10" s="198">
        <f t="shared" si="4"/>
        <v>3971.4575999999997</v>
      </c>
      <c r="K10" s="199" t="str">
        <f>IF(B10&gt;C10*1.2,"上回った",IF(B10&lt;C10*0.8,"下回った","並み"))</f>
        <v>下回った</v>
      </c>
      <c r="L10" s="199" t="str">
        <f>IF(B10&gt;D10*1.2,"上回った",IF(B10&lt;D10*0.8,"下回った","並み"))</f>
        <v>下回った</v>
      </c>
      <c r="M10" s="192"/>
      <c r="N10" s="200">
        <f>SUM(N4:N9)</f>
        <v>3695.6755000000003</v>
      </c>
      <c r="O10" s="200">
        <f>SUM(O4:O9)</f>
        <v>2788.84238</v>
      </c>
      <c r="P10" s="201">
        <f t="shared" si="7"/>
        <v>2956.5404000000003</v>
      </c>
      <c r="Q10" s="201">
        <f>N10*1.2</f>
        <v>4434.8105999999998</v>
      </c>
      <c r="R10" s="201">
        <f t="shared" si="9"/>
        <v>2231.0739040000003</v>
      </c>
      <c r="S10" s="201">
        <f>O10*1.2</f>
        <v>3346.6108559999998</v>
      </c>
      <c r="T10" s="202"/>
      <c r="U10" s="202"/>
      <c r="V10" s="186"/>
      <c r="W10" s="186"/>
      <c r="X10" s="186"/>
    </row>
    <row r="11" spans="1:24" ht="18" x14ac:dyDescent="0.25">
      <c r="A11" s="25"/>
      <c r="B11" s="191"/>
      <c r="C11" s="191"/>
      <c r="D11" s="191"/>
      <c r="E11" s="191"/>
      <c r="F11" s="191"/>
      <c r="G11" s="191"/>
      <c r="H11" s="191"/>
      <c r="I11" s="191"/>
      <c r="J11" s="191"/>
      <c r="K11" s="192"/>
      <c r="L11" s="192"/>
      <c r="M11" s="192"/>
      <c r="N11" s="193"/>
      <c r="O11" s="194"/>
      <c r="P11" s="186"/>
      <c r="Q11" s="186"/>
      <c r="R11" s="186"/>
      <c r="S11" s="186"/>
      <c r="T11" s="186"/>
      <c r="U11" s="186"/>
      <c r="V11" s="186"/>
      <c r="W11" s="186"/>
      <c r="X11" s="186"/>
    </row>
    <row r="12" spans="1:24" ht="18" x14ac:dyDescent="0.25">
      <c r="A12" s="26"/>
      <c r="B12" s="203"/>
      <c r="C12" s="203"/>
      <c r="D12" s="203"/>
      <c r="E12" s="203"/>
      <c r="F12" s="203"/>
      <c r="G12" s="203"/>
      <c r="H12" s="203"/>
      <c r="I12" s="203"/>
      <c r="J12" s="203"/>
      <c r="K12" s="189"/>
      <c r="L12" s="189"/>
      <c r="M12" s="192"/>
      <c r="N12" s="193"/>
      <c r="O12" s="194"/>
      <c r="P12" s="186"/>
      <c r="Q12" s="186"/>
      <c r="R12" s="186"/>
      <c r="S12" s="186"/>
      <c r="T12" s="186" t="s">
        <v>88</v>
      </c>
      <c r="U12" s="186"/>
      <c r="V12" s="186"/>
      <c r="W12" s="186"/>
      <c r="X12" s="186"/>
    </row>
    <row r="13" spans="1:24" ht="18" x14ac:dyDescent="0.25">
      <c r="A13" s="28" t="s">
        <v>79</v>
      </c>
      <c r="B13" s="198" t="str">
        <f>$B$2&amp;"年"</f>
        <v>2017年</v>
      </c>
      <c r="C13" s="198" t="s">
        <v>62</v>
      </c>
      <c r="D13" s="198" t="s">
        <v>63</v>
      </c>
      <c r="E13" s="198" t="s">
        <v>64</v>
      </c>
      <c r="F13" s="198" t="s">
        <v>65</v>
      </c>
      <c r="G13" s="198" t="s">
        <v>66</v>
      </c>
      <c r="H13" s="198" t="s">
        <v>67</v>
      </c>
      <c r="I13" s="198" t="s">
        <v>68</v>
      </c>
      <c r="J13" s="198" t="s">
        <v>69</v>
      </c>
      <c r="K13" s="204" t="s">
        <v>70</v>
      </c>
      <c r="L13" s="204" t="s">
        <v>71</v>
      </c>
      <c r="M13" s="186" t="s">
        <v>124</v>
      </c>
      <c r="N13" s="205" t="s">
        <v>62</v>
      </c>
      <c r="O13" s="206" t="s">
        <v>63</v>
      </c>
      <c r="P13" s="204" t="s">
        <v>66</v>
      </c>
      <c r="Q13" s="204" t="s">
        <v>67</v>
      </c>
      <c r="R13" s="204" t="s">
        <v>68</v>
      </c>
      <c r="S13" s="204" t="s">
        <v>69</v>
      </c>
      <c r="T13" s="202" t="s">
        <v>87</v>
      </c>
      <c r="U13" s="202" t="s">
        <v>86</v>
      </c>
      <c r="V13" s="186"/>
      <c r="W13" s="186"/>
      <c r="X13" s="186"/>
    </row>
    <row r="14" spans="1:24" ht="18" x14ac:dyDescent="0.25">
      <c r="A14" s="25" t="s">
        <v>72</v>
      </c>
      <c r="B14" s="211">
        <f>ウルメイワシ!O30</f>
        <v>13.739999999999998</v>
      </c>
      <c r="C14" s="211">
        <f>ウルメイワシ!O29</f>
        <v>33.980000000000004</v>
      </c>
      <c r="D14" s="211">
        <f>ウルメイワシ!O32</f>
        <v>34.091999999999999</v>
      </c>
      <c r="E14" s="190">
        <f t="shared" ref="E14:E20" si="12">B14/C14*100</f>
        <v>40.435550323719823</v>
      </c>
      <c r="F14" s="190">
        <f t="shared" ref="F14:F20" si="13">B14/D14*100</f>
        <v>40.302710313269976</v>
      </c>
      <c r="G14" s="191">
        <f t="shared" ref="G14:G20" si="14">0.8*C14</f>
        <v>27.184000000000005</v>
      </c>
      <c r="H14" s="191">
        <f t="shared" ref="H14:H20" si="15">C14*1.2</f>
        <v>40.776000000000003</v>
      </c>
      <c r="I14" s="191">
        <f t="shared" ref="I14:I20" si="16">D14*0.8</f>
        <v>27.273600000000002</v>
      </c>
      <c r="J14" s="191">
        <f t="shared" ref="J14:J20" si="17">D14*1.2</f>
        <v>40.910399999999996</v>
      </c>
      <c r="K14" s="192" t="str">
        <f t="shared" ref="K14:K19" si="18">IF(C14=0,"-",IF(B14&gt;C14*1.2,"上回った",IF(B14&lt;C14*0.8,"下回った","並み")))</f>
        <v>下回った</v>
      </c>
      <c r="L14" s="192" t="str">
        <f t="shared" ref="L14:L19" si="19">IF(D14=0,"-",IF(B14&gt;D14*1.2,"上回った",IF(B14&lt;D14*0.8,"下回った","並み")))</f>
        <v>下回った</v>
      </c>
      <c r="M14" s="192" t="s">
        <v>148</v>
      </c>
      <c r="N14" s="213">
        <f>ウルメイワシ!R29</f>
        <v>0</v>
      </c>
      <c r="O14" s="214">
        <f>ウルメイワシ!R32</f>
        <v>8.1080000000000005</v>
      </c>
      <c r="P14" s="195">
        <f t="shared" ref="P14:P19" si="20">N14*0.8</f>
        <v>0</v>
      </c>
      <c r="Q14" s="195">
        <f t="shared" ref="Q14:Q19" si="21">N14*1.2</f>
        <v>0</v>
      </c>
      <c r="R14" s="195">
        <f t="shared" ref="R14:R20" si="22">O14*0.8</f>
        <v>6.4864000000000006</v>
      </c>
      <c r="S14" s="195">
        <f>O14*1.2</f>
        <v>9.7295999999999996</v>
      </c>
      <c r="T14" s="186" t="s">
        <v>142</v>
      </c>
      <c r="U14" s="186"/>
      <c r="V14" s="186"/>
      <c r="W14" s="185">
        <f>$N$2-4</f>
        <v>2012</v>
      </c>
      <c r="X14" s="215">
        <f>ウルメイワシ!R205</f>
        <v>4885.7379999999994</v>
      </c>
    </row>
    <row r="15" spans="1:24" ht="18" x14ac:dyDescent="0.25">
      <c r="A15" s="25" t="s">
        <v>73</v>
      </c>
      <c r="B15" s="211">
        <f>ウルメイワシ!O60</f>
        <v>6.81</v>
      </c>
      <c r="C15" s="211">
        <f>ウルメイワシ!O59</f>
        <v>64.86</v>
      </c>
      <c r="D15" s="211">
        <f>ウルメイワシ!O62</f>
        <v>58.628399999999999</v>
      </c>
      <c r="E15" s="190">
        <f t="shared" si="12"/>
        <v>10.499537465309897</v>
      </c>
      <c r="F15" s="190">
        <f>B15/D15*100</f>
        <v>11.615531039564443</v>
      </c>
      <c r="G15" s="191">
        <f t="shared" si="14"/>
        <v>51.888000000000005</v>
      </c>
      <c r="H15" s="191">
        <f t="shared" si="15"/>
        <v>77.831999999999994</v>
      </c>
      <c r="I15" s="191">
        <f t="shared" si="16"/>
        <v>46.902720000000002</v>
      </c>
      <c r="J15" s="191">
        <f t="shared" si="17"/>
        <v>70.354079999999996</v>
      </c>
      <c r="K15" s="192" t="str">
        <f t="shared" si="18"/>
        <v>下回った</v>
      </c>
      <c r="L15" s="192" t="str">
        <f t="shared" si="19"/>
        <v>下回った</v>
      </c>
      <c r="M15" s="192" t="s">
        <v>148</v>
      </c>
      <c r="N15" s="213">
        <f>ウルメイワシ!R59</f>
        <v>0.54</v>
      </c>
      <c r="O15" s="214">
        <f>ウルメイワシ!R62</f>
        <v>0.126</v>
      </c>
      <c r="P15" s="195">
        <f t="shared" si="20"/>
        <v>0.43200000000000005</v>
      </c>
      <c r="Q15" s="195">
        <f t="shared" si="21"/>
        <v>0.64800000000000002</v>
      </c>
      <c r="R15" s="195">
        <f t="shared" si="22"/>
        <v>0.1008</v>
      </c>
      <c r="S15" s="195">
        <f t="shared" ref="S15:S20" si="23">O15*1.2</f>
        <v>0.1512</v>
      </c>
      <c r="T15" s="186" t="s">
        <v>127</v>
      </c>
      <c r="U15" s="186"/>
      <c r="V15" s="186"/>
      <c r="W15" s="185">
        <f>$N$2-3</f>
        <v>2013</v>
      </c>
      <c r="X15" s="215">
        <f>ウルメイワシ!R206</f>
        <v>7237.1820000000016</v>
      </c>
    </row>
    <row r="16" spans="1:24" ht="18" x14ac:dyDescent="0.25">
      <c r="A16" s="25" t="s">
        <v>74</v>
      </c>
      <c r="B16" s="211">
        <f>ウルメイワシ!O90</f>
        <v>3.2000000000000001E-2</v>
      </c>
      <c r="C16" s="211">
        <f>ウルメイワシ!O89</f>
        <v>0.33699999999999997</v>
      </c>
      <c r="D16" s="211">
        <f>ウルメイワシ!O92</f>
        <v>0.25939999999999996</v>
      </c>
      <c r="E16" s="190">
        <f t="shared" si="12"/>
        <v>9.4955489614243334</v>
      </c>
      <c r="F16" s="190">
        <f t="shared" si="13"/>
        <v>12.336160370084812</v>
      </c>
      <c r="G16" s="191">
        <f t="shared" si="14"/>
        <v>0.26960000000000001</v>
      </c>
      <c r="H16" s="191">
        <f t="shared" si="15"/>
        <v>0.40439999999999993</v>
      </c>
      <c r="I16" s="191">
        <f t="shared" si="16"/>
        <v>0.20751999999999998</v>
      </c>
      <c r="J16" s="191">
        <f t="shared" si="17"/>
        <v>0.31127999999999995</v>
      </c>
      <c r="K16" s="192" t="str">
        <f t="shared" si="18"/>
        <v>下回った</v>
      </c>
      <c r="L16" s="192" t="str">
        <f t="shared" si="19"/>
        <v>下回った</v>
      </c>
      <c r="M16" s="192" t="s">
        <v>148</v>
      </c>
      <c r="N16" s="213">
        <f>ウルメイワシ!R89</f>
        <v>6.4000000000000003E-3</v>
      </c>
      <c r="O16" s="214">
        <f>ウルメイワシ!R92</f>
        <v>0.95008000000000004</v>
      </c>
      <c r="P16" s="195">
        <f t="shared" si="20"/>
        <v>5.1200000000000004E-3</v>
      </c>
      <c r="Q16" s="195">
        <f t="shared" si="21"/>
        <v>7.6800000000000002E-3</v>
      </c>
      <c r="R16" s="195">
        <f t="shared" si="22"/>
        <v>0.76006400000000007</v>
      </c>
      <c r="S16" s="195">
        <f t="shared" si="23"/>
        <v>1.140096</v>
      </c>
      <c r="T16" s="186" t="s">
        <v>93</v>
      </c>
      <c r="U16" s="186" t="s">
        <v>93</v>
      </c>
      <c r="V16" s="186"/>
      <c r="W16" s="185">
        <f>$N$2-2</f>
        <v>2014</v>
      </c>
      <c r="X16" s="215">
        <f>ウルメイワシ!R207</f>
        <v>5245.8760000000002</v>
      </c>
    </row>
    <row r="17" spans="1:24" ht="18" x14ac:dyDescent="0.25">
      <c r="A17" s="25" t="s">
        <v>75</v>
      </c>
      <c r="B17" s="211">
        <f>ウルメイワシ!O120</f>
        <v>3313.6230000000005</v>
      </c>
      <c r="C17" s="211">
        <f>ウルメイワシ!O119</f>
        <v>7815.54</v>
      </c>
      <c r="D17" s="211">
        <f>ウルメイワシ!O122</f>
        <v>3337.5875999999998</v>
      </c>
      <c r="E17" s="190">
        <f t="shared" si="12"/>
        <v>42.39787653828143</v>
      </c>
      <c r="F17" s="190">
        <f t="shared" si="13"/>
        <v>99.28197839661199</v>
      </c>
      <c r="G17" s="191">
        <f t="shared" si="14"/>
        <v>6252.4320000000007</v>
      </c>
      <c r="H17" s="191">
        <f t="shared" si="15"/>
        <v>9378.6479999999992</v>
      </c>
      <c r="I17" s="191">
        <f t="shared" si="16"/>
        <v>2670.07008</v>
      </c>
      <c r="J17" s="191">
        <f t="shared" si="17"/>
        <v>4005.1051199999997</v>
      </c>
      <c r="K17" s="192" t="str">
        <f t="shared" si="18"/>
        <v>下回った</v>
      </c>
      <c r="L17" s="192" t="str">
        <f t="shared" si="19"/>
        <v>並み</v>
      </c>
      <c r="M17" s="192" t="s">
        <v>148</v>
      </c>
      <c r="N17" s="213">
        <f>ウルメイワシ!R119</f>
        <v>9069.1409999999996</v>
      </c>
      <c r="O17" s="214">
        <f>ウルメイワシ!R122</f>
        <v>4466.8552</v>
      </c>
      <c r="P17" s="195">
        <f t="shared" si="20"/>
        <v>7255.3127999999997</v>
      </c>
      <c r="Q17" s="195">
        <f t="shared" si="21"/>
        <v>10882.9692</v>
      </c>
      <c r="R17" s="195">
        <f t="shared" si="22"/>
        <v>3573.48416</v>
      </c>
      <c r="S17" s="195">
        <f t="shared" si="23"/>
        <v>5360.22624</v>
      </c>
      <c r="T17" s="186" t="s">
        <v>93</v>
      </c>
      <c r="U17" s="186" t="s">
        <v>94</v>
      </c>
      <c r="V17" s="186"/>
      <c r="W17" s="185">
        <f>$N$2-1</f>
        <v>2015</v>
      </c>
      <c r="X17" s="215">
        <f>ウルメイワシ!R208</f>
        <v>16205.115000000002</v>
      </c>
    </row>
    <row r="18" spans="1:24" ht="18" x14ac:dyDescent="0.25">
      <c r="A18" s="25" t="s">
        <v>76</v>
      </c>
      <c r="B18" s="211">
        <f>ウルメイワシ!O150</f>
        <v>349.90199999999999</v>
      </c>
      <c r="C18" s="211">
        <f>ウルメイワシ!O149</f>
        <v>815.92200000000003</v>
      </c>
      <c r="D18" s="211">
        <f>ウルメイワシ!O152</f>
        <v>1056.2747999999999</v>
      </c>
      <c r="E18" s="190">
        <f t="shared" si="12"/>
        <v>42.884246288248143</v>
      </c>
      <c r="F18" s="190">
        <f t="shared" si="13"/>
        <v>33.126038792177951</v>
      </c>
      <c r="G18" s="191">
        <f t="shared" si="14"/>
        <v>652.73760000000004</v>
      </c>
      <c r="H18" s="191">
        <f t="shared" si="15"/>
        <v>979.10640000000001</v>
      </c>
      <c r="I18" s="191">
        <f t="shared" si="16"/>
        <v>845.01983999999993</v>
      </c>
      <c r="J18" s="191">
        <f t="shared" si="17"/>
        <v>1267.5297599999999</v>
      </c>
      <c r="K18" s="192" t="str">
        <f t="shared" si="18"/>
        <v>下回った</v>
      </c>
      <c r="L18" s="192" t="str">
        <f t="shared" si="19"/>
        <v>下回った</v>
      </c>
      <c r="M18" s="192" t="s">
        <v>148</v>
      </c>
      <c r="N18" s="213">
        <f>ウルメイワシ!R149</f>
        <v>2069.8199999999997</v>
      </c>
      <c r="O18" s="214">
        <f>ウルメイワシ!R152</f>
        <v>2002.4459999999999</v>
      </c>
      <c r="P18" s="195">
        <f t="shared" si="20"/>
        <v>1655.8559999999998</v>
      </c>
      <c r="Q18" s="195">
        <f t="shared" si="21"/>
        <v>2483.7839999999997</v>
      </c>
      <c r="R18" s="195">
        <f t="shared" si="22"/>
        <v>1601.9567999999999</v>
      </c>
      <c r="S18" s="195">
        <f t="shared" si="23"/>
        <v>2402.9351999999999</v>
      </c>
      <c r="T18" s="186" t="s">
        <v>94</v>
      </c>
      <c r="U18" s="186" t="s">
        <v>94</v>
      </c>
      <c r="V18" s="186"/>
      <c r="W18" s="186" t="s">
        <v>95</v>
      </c>
      <c r="X18" s="215">
        <f>ウルメイワシ!R209</f>
        <v>14121.247400000002</v>
      </c>
    </row>
    <row r="19" spans="1:24" ht="18" x14ac:dyDescent="0.25">
      <c r="A19" s="25" t="s">
        <v>77</v>
      </c>
      <c r="B19" s="211">
        <f>ウルメイワシ!O180</f>
        <v>1741.1089999999999</v>
      </c>
      <c r="C19" s="211">
        <f>ウルメイワシ!O179</f>
        <v>2927.2190000000001</v>
      </c>
      <c r="D19" s="211">
        <f>ウルメイワシ!O182</f>
        <v>2711.8048000000003</v>
      </c>
      <c r="E19" s="190">
        <f t="shared" si="12"/>
        <v>59.47997057958424</v>
      </c>
      <c r="F19" s="190">
        <f t="shared" si="13"/>
        <v>64.204805596626997</v>
      </c>
      <c r="G19" s="191">
        <f t="shared" si="14"/>
        <v>2341.7752</v>
      </c>
      <c r="H19" s="191">
        <f t="shared" si="15"/>
        <v>3512.6628000000001</v>
      </c>
      <c r="I19" s="191">
        <f t="shared" si="16"/>
        <v>2169.4438400000004</v>
      </c>
      <c r="J19" s="191">
        <f t="shared" si="17"/>
        <v>3254.1657600000003</v>
      </c>
      <c r="K19" s="192" t="str">
        <f t="shared" si="18"/>
        <v>下回った</v>
      </c>
      <c r="L19" s="192" t="str">
        <f t="shared" si="19"/>
        <v>下回った</v>
      </c>
      <c r="M19" s="192" t="s">
        <v>148</v>
      </c>
      <c r="N19" s="213">
        <f>ウルメイワシ!R179</f>
        <v>2981.74</v>
      </c>
      <c r="O19" s="214">
        <f>ウルメイワシ!R182</f>
        <v>3060.5463999999997</v>
      </c>
      <c r="P19" s="195">
        <f t="shared" si="20"/>
        <v>2385.3919999999998</v>
      </c>
      <c r="Q19" s="195">
        <f t="shared" si="21"/>
        <v>3578.0879999999997</v>
      </c>
      <c r="R19" s="195">
        <f t="shared" si="22"/>
        <v>2448.43712</v>
      </c>
      <c r="S19" s="195">
        <f t="shared" si="23"/>
        <v>3672.6556799999994</v>
      </c>
      <c r="T19" s="186" t="s">
        <v>93</v>
      </c>
      <c r="U19" s="186" t="s">
        <v>93</v>
      </c>
      <c r="V19" s="186"/>
      <c r="W19" s="186" t="s">
        <v>96</v>
      </c>
      <c r="X19" s="195">
        <f>AVERAGE(X14:X18)</f>
        <v>9539.0316800000019</v>
      </c>
    </row>
    <row r="20" spans="1:24" ht="18" x14ac:dyDescent="0.25">
      <c r="A20" s="28" t="s">
        <v>78</v>
      </c>
      <c r="B20" s="208">
        <f>SUM(B14:B19)</f>
        <v>5425.2160000000003</v>
      </c>
      <c r="C20" s="198">
        <f>SUM(C14:C19)</f>
        <v>11657.858</v>
      </c>
      <c r="D20" s="198">
        <f>SUM(D14:D19)</f>
        <v>7198.6470000000008</v>
      </c>
      <c r="E20" s="198">
        <f t="shared" si="12"/>
        <v>46.53698818427879</v>
      </c>
      <c r="F20" s="198">
        <f t="shared" si="13"/>
        <v>75.364384446132732</v>
      </c>
      <c r="G20" s="198">
        <f t="shared" si="14"/>
        <v>9326.2864000000009</v>
      </c>
      <c r="H20" s="198">
        <f t="shared" si="15"/>
        <v>13989.429599999999</v>
      </c>
      <c r="I20" s="198">
        <f t="shared" si="16"/>
        <v>5758.9176000000007</v>
      </c>
      <c r="J20" s="198">
        <f t="shared" si="17"/>
        <v>8638.376400000001</v>
      </c>
      <c r="K20" s="199" t="str">
        <f>IF(B20&gt;C20*1.2,"上回った",IF(B20&lt;C20*0.8,"下回った","並み"))</f>
        <v>下回った</v>
      </c>
      <c r="L20" s="199" t="str">
        <f>IF(B20&gt;D20*1.2,"上回った",IF(B20&lt;D20*0.8,"下回った","並み"))</f>
        <v>下回った</v>
      </c>
      <c r="M20" s="192"/>
      <c r="N20" s="200">
        <f>SUM(N14:N19)</f>
        <v>14121.247399999998</v>
      </c>
      <c r="O20" s="200">
        <f>SUM(O14:O19)</f>
        <v>9539.0316800000001</v>
      </c>
      <c r="P20" s="201">
        <f>N20*0.8</f>
        <v>11296.99792</v>
      </c>
      <c r="Q20" s="201">
        <f>N20*1.2</f>
        <v>16945.496879999999</v>
      </c>
      <c r="R20" s="201">
        <f t="shared" si="22"/>
        <v>7631.2253440000004</v>
      </c>
      <c r="S20" s="201">
        <f t="shared" si="23"/>
        <v>11446.838016</v>
      </c>
      <c r="T20" s="202"/>
      <c r="U20" s="202"/>
      <c r="V20" s="186"/>
      <c r="W20" s="186"/>
      <c r="X20" s="186"/>
    </row>
    <row r="21" spans="1:24" ht="18" x14ac:dyDescent="0.25">
      <c r="A21" s="26"/>
      <c r="B21" s="203"/>
      <c r="C21" s="203"/>
      <c r="D21" s="203"/>
      <c r="E21" s="203"/>
      <c r="F21" s="203"/>
      <c r="G21" s="203"/>
      <c r="H21" s="203"/>
      <c r="I21" s="203"/>
      <c r="J21" s="203"/>
      <c r="K21" s="189"/>
      <c r="L21" s="189"/>
      <c r="M21" s="192"/>
      <c r="N21" s="193"/>
      <c r="O21" s="194"/>
      <c r="P21" s="186"/>
      <c r="Q21" s="186"/>
      <c r="R21" s="186"/>
      <c r="S21" s="186"/>
      <c r="T21" s="186"/>
      <c r="U21" s="186"/>
      <c r="V21" s="186"/>
      <c r="W21" s="186"/>
      <c r="X21" s="186"/>
    </row>
    <row r="22" spans="1:24" ht="18" x14ac:dyDescent="0.25">
      <c r="A22" s="25"/>
      <c r="B22" s="209"/>
      <c r="C22" s="209"/>
      <c r="D22" s="209"/>
      <c r="E22" s="191"/>
      <c r="F22" s="191"/>
      <c r="G22" s="209"/>
      <c r="H22" s="209"/>
      <c r="I22" s="209"/>
      <c r="J22" s="209"/>
      <c r="K22" s="189"/>
      <c r="L22" s="189"/>
      <c r="M22" s="192"/>
      <c r="N22" s="193"/>
      <c r="O22" s="194"/>
      <c r="P22" s="186"/>
      <c r="Q22" s="186"/>
      <c r="R22" s="186"/>
      <c r="S22" s="186"/>
      <c r="T22" s="186" t="s">
        <v>88</v>
      </c>
      <c r="U22" s="186"/>
      <c r="V22" s="186"/>
      <c r="W22" s="186"/>
      <c r="X22" s="186"/>
    </row>
    <row r="23" spans="1:24" ht="18" x14ac:dyDescent="0.25">
      <c r="A23" s="28" t="s">
        <v>80</v>
      </c>
      <c r="B23" s="198" t="str">
        <f>$B$2&amp;"年"</f>
        <v>2017年</v>
      </c>
      <c r="C23" s="204" t="s">
        <v>62</v>
      </c>
      <c r="D23" s="204" t="s">
        <v>63</v>
      </c>
      <c r="E23" s="198" t="s">
        <v>64</v>
      </c>
      <c r="F23" s="198" t="s">
        <v>65</v>
      </c>
      <c r="G23" s="204" t="s">
        <v>66</v>
      </c>
      <c r="H23" s="204" t="s">
        <v>67</v>
      </c>
      <c r="I23" s="204" t="s">
        <v>68</v>
      </c>
      <c r="J23" s="204" t="s">
        <v>69</v>
      </c>
      <c r="K23" s="204" t="s">
        <v>70</v>
      </c>
      <c r="L23" s="204" t="s">
        <v>71</v>
      </c>
      <c r="M23" s="186" t="s">
        <v>124</v>
      </c>
      <c r="N23" s="205" t="s">
        <v>62</v>
      </c>
      <c r="O23" s="206" t="s">
        <v>63</v>
      </c>
      <c r="P23" s="204" t="s">
        <v>66</v>
      </c>
      <c r="Q23" s="204" t="s">
        <v>67</v>
      </c>
      <c r="R23" s="204" t="s">
        <v>68</v>
      </c>
      <c r="S23" s="204" t="s">
        <v>69</v>
      </c>
      <c r="T23" s="202" t="s">
        <v>87</v>
      </c>
      <c r="U23" s="202" t="s">
        <v>86</v>
      </c>
      <c r="V23" s="186"/>
      <c r="W23" s="186"/>
      <c r="X23" s="186"/>
    </row>
    <row r="24" spans="1:24" ht="18" x14ac:dyDescent="0.25">
      <c r="A24" s="25" t="s">
        <v>72</v>
      </c>
      <c r="B24" s="212">
        <f>カタクチイワシ!O30</f>
        <v>613.98</v>
      </c>
      <c r="C24" s="212">
        <f>カタクチイワシ!O29</f>
        <v>222.28</v>
      </c>
      <c r="D24" s="212">
        <f>カタクチイワシ!O32</f>
        <v>512.98040000000003</v>
      </c>
      <c r="E24" s="191">
        <f t="shared" ref="E24:E29" si="24">B24/C24*100</f>
        <v>276.21918301241675</v>
      </c>
      <c r="F24" s="191">
        <f t="shared" ref="F24:F30" si="25">B24/D24*100</f>
        <v>119.68878343110185</v>
      </c>
      <c r="G24" s="189">
        <f t="shared" ref="G24:G30" si="26">0.8*C24</f>
        <v>177.82400000000001</v>
      </c>
      <c r="H24" s="189">
        <f t="shared" ref="H24:H30" si="27">C24*1.2</f>
        <v>266.73599999999999</v>
      </c>
      <c r="I24" s="189">
        <f t="shared" ref="I24:I30" si="28">D24*0.8</f>
        <v>410.38432000000006</v>
      </c>
      <c r="J24" s="189">
        <f t="shared" ref="J24:J30" si="29">D24*1.2</f>
        <v>615.57648000000006</v>
      </c>
      <c r="K24" s="192" t="str">
        <f t="shared" ref="K24:K29" si="30">IF(C24=0,"-",IF(B24&gt;C24*1.2,"上回った",IF(B24&lt;C24*0.8,"下回った","並み")))</f>
        <v>上回った</v>
      </c>
      <c r="L24" s="192" t="str">
        <f t="shared" ref="L24:L29" si="31">IF(D24=0,"-",IF(B24&gt;D24*1.2,"上回った",IF(B24&lt;D24*0.8,"下回った","並み")))</f>
        <v>並み</v>
      </c>
      <c r="M24" s="192" t="s">
        <v>148</v>
      </c>
      <c r="N24" s="213">
        <f>カタクチイワシ!R29</f>
        <v>290.18</v>
      </c>
      <c r="O24" s="214">
        <f>カタクチイワシ!R32</f>
        <v>388.11599999999999</v>
      </c>
      <c r="P24" s="195">
        <f t="shared" ref="P24:P30" si="32">N24*0.8</f>
        <v>232.14400000000001</v>
      </c>
      <c r="Q24" s="195">
        <f t="shared" ref="Q24:Q30" si="33">N24*1.2</f>
        <v>348.21600000000001</v>
      </c>
      <c r="R24" s="195">
        <f t="shared" ref="R24:R30" si="34">O24*0.8</f>
        <v>310.49279999999999</v>
      </c>
      <c r="S24" s="195">
        <f t="shared" ref="S24:S30" si="35">O24*1.2</f>
        <v>465.73919999999998</v>
      </c>
      <c r="T24" s="207"/>
      <c r="U24" s="207"/>
      <c r="V24" s="186"/>
      <c r="W24" s="185">
        <f>$N$2-4</f>
        <v>2012</v>
      </c>
      <c r="X24" s="215">
        <f>カタクチイワシ!R205</f>
        <v>2061.7325000000001</v>
      </c>
    </row>
    <row r="25" spans="1:24" ht="18" x14ac:dyDescent="0.25">
      <c r="A25" s="25" t="s">
        <v>73</v>
      </c>
      <c r="B25" s="212">
        <f>カタクチイワシ!O60</f>
        <v>14.04575</v>
      </c>
      <c r="C25" s="212">
        <f>カタクチイワシ!O59</f>
        <v>8.2850000000000001</v>
      </c>
      <c r="D25" s="212">
        <f>カタクチイワシ!O62</f>
        <v>18.072089999999996</v>
      </c>
      <c r="E25" s="191">
        <f t="shared" si="24"/>
        <v>169.53228726614361</v>
      </c>
      <c r="F25" s="191">
        <f>B25/D25*100</f>
        <v>77.720673148484778</v>
      </c>
      <c r="G25" s="189">
        <f t="shared" si="26"/>
        <v>6.6280000000000001</v>
      </c>
      <c r="H25" s="189">
        <f t="shared" si="27"/>
        <v>9.9420000000000002</v>
      </c>
      <c r="I25" s="189">
        <f t="shared" si="28"/>
        <v>14.457671999999997</v>
      </c>
      <c r="J25" s="189">
        <f t="shared" si="29"/>
        <v>21.686507999999993</v>
      </c>
      <c r="K25" s="192" t="str">
        <f t="shared" si="30"/>
        <v>上回った</v>
      </c>
      <c r="L25" s="192" t="str">
        <f t="shared" si="31"/>
        <v>下回った</v>
      </c>
      <c r="M25" s="192" t="s">
        <v>148</v>
      </c>
      <c r="N25" s="213">
        <f>カタクチイワシ!R59</f>
        <v>2.9370000000000003</v>
      </c>
      <c r="O25" s="214">
        <f>カタクチイワシ!R62</f>
        <v>14.558344</v>
      </c>
      <c r="P25" s="195">
        <f t="shared" si="32"/>
        <v>2.3496000000000001</v>
      </c>
      <c r="Q25" s="195">
        <f t="shared" si="33"/>
        <v>3.5244000000000004</v>
      </c>
      <c r="R25" s="195">
        <f t="shared" si="34"/>
        <v>11.646675200000001</v>
      </c>
      <c r="S25" s="195">
        <f t="shared" si="35"/>
        <v>17.470012799999999</v>
      </c>
      <c r="T25" s="186"/>
      <c r="U25" s="207"/>
      <c r="V25" s="186"/>
      <c r="W25" s="185">
        <f>$N$2-3</f>
        <v>2013</v>
      </c>
      <c r="X25" s="215">
        <f>カタクチイワシ!R206</f>
        <v>4967.984919999999</v>
      </c>
    </row>
    <row r="26" spans="1:24" ht="18" x14ac:dyDescent="0.25">
      <c r="A26" s="25" t="s">
        <v>74</v>
      </c>
      <c r="B26" s="212">
        <f>カタクチイワシ!O90</f>
        <v>32.08</v>
      </c>
      <c r="C26" s="212">
        <f>カタクチイワシ!O89</f>
        <v>1.8410000000000002</v>
      </c>
      <c r="D26" s="212">
        <f>カタクチイワシ!O92</f>
        <v>34.451000000000001</v>
      </c>
      <c r="E26" s="191">
        <f t="shared" si="24"/>
        <v>1742.5312330255294</v>
      </c>
      <c r="F26" s="191">
        <f t="shared" si="25"/>
        <v>93.117761458303093</v>
      </c>
      <c r="G26" s="189">
        <f t="shared" si="26"/>
        <v>1.4728000000000003</v>
      </c>
      <c r="H26" s="189">
        <f t="shared" si="27"/>
        <v>2.2092000000000001</v>
      </c>
      <c r="I26" s="189">
        <f t="shared" si="28"/>
        <v>27.5608</v>
      </c>
      <c r="J26" s="189">
        <f t="shared" si="29"/>
        <v>41.341200000000001</v>
      </c>
      <c r="K26" s="192" t="str">
        <f t="shared" si="30"/>
        <v>上回った</v>
      </c>
      <c r="L26" s="192" t="str">
        <f t="shared" si="31"/>
        <v>並み</v>
      </c>
      <c r="M26" s="192" t="s">
        <v>148</v>
      </c>
      <c r="N26" s="213">
        <f>カタクチイワシ!R89</f>
        <v>99.199999999999989</v>
      </c>
      <c r="O26" s="214">
        <f>カタクチイワシ!R92</f>
        <v>62.877040000000001</v>
      </c>
      <c r="P26" s="195">
        <f t="shared" si="32"/>
        <v>79.36</v>
      </c>
      <c r="Q26" s="195">
        <f t="shared" si="33"/>
        <v>119.03999999999998</v>
      </c>
      <c r="R26" s="195">
        <f t="shared" si="34"/>
        <v>50.301632000000005</v>
      </c>
      <c r="S26" s="195">
        <f t="shared" si="35"/>
        <v>75.452448000000004</v>
      </c>
      <c r="T26" s="207"/>
      <c r="U26" s="207"/>
      <c r="V26" s="186"/>
      <c r="W26" s="185">
        <f>$N$2-2</f>
        <v>2014</v>
      </c>
      <c r="X26" s="215">
        <f>カタクチイワシ!R207</f>
        <v>7313.1519999999991</v>
      </c>
    </row>
    <row r="27" spans="1:24" ht="18" x14ac:dyDescent="0.25">
      <c r="A27" s="25" t="s">
        <v>75</v>
      </c>
      <c r="B27" s="211">
        <f>カタクチイワシ!O120</f>
        <v>6857.0809999999992</v>
      </c>
      <c r="C27" s="211">
        <f>カタクチイワシ!O119</f>
        <v>6098.302999999999</v>
      </c>
      <c r="D27" s="211">
        <f>カタクチイワシ!O122</f>
        <v>6199.5475999999999</v>
      </c>
      <c r="E27" s="191">
        <f>B27/C27*100</f>
        <v>112.44244505397648</v>
      </c>
      <c r="F27" s="191">
        <f>B27/D27*100</f>
        <v>110.60615132626775</v>
      </c>
      <c r="G27" s="189">
        <f t="shared" si="26"/>
        <v>4878.6423999999997</v>
      </c>
      <c r="H27" s="189">
        <f t="shared" si="27"/>
        <v>7317.9635999999982</v>
      </c>
      <c r="I27" s="189">
        <f t="shared" si="28"/>
        <v>4959.6380800000006</v>
      </c>
      <c r="J27" s="189">
        <f t="shared" si="29"/>
        <v>7439.4571199999991</v>
      </c>
      <c r="K27" s="192" t="str">
        <f t="shared" si="30"/>
        <v>並み</v>
      </c>
      <c r="L27" s="192" t="str">
        <f t="shared" si="31"/>
        <v>並み</v>
      </c>
      <c r="M27" s="192" t="s">
        <v>148</v>
      </c>
      <c r="N27" s="213">
        <f>カタクチイワシ!R119</f>
        <v>1808.848</v>
      </c>
      <c r="O27" s="214">
        <f>カタクチイワシ!R122</f>
        <v>1918.9255000000001</v>
      </c>
      <c r="P27" s="195">
        <f t="shared" si="32"/>
        <v>1447.0784000000001</v>
      </c>
      <c r="Q27" s="195">
        <f t="shared" si="33"/>
        <v>2170.6176</v>
      </c>
      <c r="R27" s="195">
        <f t="shared" si="34"/>
        <v>1535.1404000000002</v>
      </c>
      <c r="S27" s="195">
        <f t="shared" si="35"/>
        <v>2302.7105999999999</v>
      </c>
      <c r="T27" s="207"/>
      <c r="U27" s="207"/>
      <c r="V27" s="186"/>
      <c r="W27" s="185">
        <f>$N$2-1</f>
        <v>2015</v>
      </c>
      <c r="X27" s="215">
        <f>カタクチイワシ!R208</f>
        <v>6944.5749999999989</v>
      </c>
    </row>
    <row r="28" spans="1:24" ht="18" x14ac:dyDescent="0.25">
      <c r="A28" s="25" t="s">
        <v>76</v>
      </c>
      <c r="B28" s="211">
        <f>カタクチイワシ!O150</f>
        <v>2960.2620000000002</v>
      </c>
      <c r="C28" s="211">
        <f>カタクチイワシ!O149</f>
        <v>2481.0120000000002</v>
      </c>
      <c r="D28" s="211">
        <f>カタクチイワシ!O152</f>
        <v>2514.2868000000003</v>
      </c>
      <c r="E28" s="191">
        <f t="shared" si="24"/>
        <v>119.31671430851605</v>
      </c>
      <c r="F28" s="191">
        <f t="shared" si="25"/>
        <v>117.73764234056353</v>
      </c>
      <c r="G28" s="189">
        <f t="shared" si="26"/>
        <v>1984.8096000000003</v>
      </c>
      <c r="H28" s="189">
        <f t="shared" si="27"/>
        <v>2977.2144000000003</v>
      </c>
      <c r="I28" s="189">
        <f t="shared" si="28"/>
        <v>2011.4294400000003</v>
      </c>
      <c r="J28" s="189">
        <f t="shared" si="29"/>
        <v>3017.1441600000003</v>
      </c>
      <c r="K28" s="192" t="str">
        <f t="shared" si="30"/>
        <v>並み</v>
      </c>
      <c r="L28" s="192" t="str">
        <f t="shared" si="31"/>
        <v>並み</v>
      </c>
      <c r="M28" s="192" t="s">
        <v>148</v>
      </c>
      <c r="N28" s="213">
        <f>カタクチイワシ!R149</f>
        <v>760.10399999999993</v>
      </c>
      <c r="O28" s="214">
        <f>カタクチイワシ!R152</f>
        <v>989.56439999999998</v>
      </c>
      <c r="P28" s="195">
        <f t="shared" si="32"/>
        <v>608.08319999999992</v>
      </c>
      <c r="Q28" s="195">
        <f t="shared" si="33"/>
        <v>912.12479999999994</v>
      </c>
      <c r="R28" s="195">
        <f t="shared" si="34"/>
        <v>791.65152</v>
      </c>
      <c r="S28" s="195">
        <f t="shared" si="35"/>
        <v>1187.4772799999998</v>
      </c>
      <c r="T28" s="207"/>
      <c r="U28" s="207"/>
      <c r="V28" s="186"/>
      <c r="W28" s="186" t="s">
        <v>95</v>
      </c>
      <c r="X28" s="215">
        <f>カタクチイワシ!R209</f>
        <v>4240.0239999999994</v>
      </c>
    </row>
    <row r="29" spans="1:24" ht="18" x14ac:dyDescent="0.25">
      <c r="A29" s="25" t="s">
        <v>77</v>
      </c>
      <c r="B29" s="211">
        <f>カタクチイワシ!O180</f>
        <v>2549.0390000000002</v>
      </c>
      <c r="C29" s="211">
        <f>カタクチイワシ!O179</f>
        <v>2585.5070000000001</v>
      </c>
      <c r="D29" s="211">
        <f>カタクチイワシ!O182</f>
        <v>2483.3302000000003</v>
      </c>
      <c r="E29" s="190">
        <f t="shared" si="24"/>
        <v>98.589522287118157</v>
      </c>
      <c r="F29" s="190">
        <f t="shared" si="25"/>
        <v>102.64599528487994</v>
      </c>
      <c r="G29" s="189">
        <f t="shared" si="26"/>
        <v>2068.4056</v>
      </c>
      <c r="H29" s="189">
        <f t="shared" si="27"/>
        <v>3102.6084000000001</v>
      </c>
      <c r="I29" s="189">
        <f t="shared" si="28"/>
        <v>1986.6641600000003</v>
      </c>
      <c r="J29" s="189">
        <f t="shared" si="29"/>
        <v>2979.9962400000004</v>
      </c>
      <c r="K29" s="192" t="str">
        <f t="shared" si="30"/>
        <v>並み</v>
      </c>
      <c r="L29" s="192" t="str">
        <f t="shared" si="31"/>
        <v>並み</v>
      </c>
      <c r="M29" s="192" t="s">
        <v>148</v>
      </c>
      <c r="N29" s="213">
        <f>カタクチイワシ!R179</f>
        <v>1278.7550000000001</v>
      </c>
      <c r="O29" s="214">
        <f>カタクチイワシ!R182</f>
        <v>1788.0913999999998</v>
      </c>
      <c r="P29" s="195">
        <f t="shared" si="32"/>
        <v>1023.0040000000001</v>
      </c>
      <c r="Q29" s="195">
        <f t="shared" si="33"/>
        <v>1534.5060000000001</v>
      </c>
      <c r="R29" s="195">
        <f t="shared" si="34"/>
        <v>1430.4731199999999</v>
      </c>
      <c r="S29" s="195">
        <f t="shared" si="35"/>
        <v>2145.7096799999995</v>
      </c>
      <c r="T29" s="207"/>
      <c r="U29" s="207"/>
      <c r="V29" s="186"/>
      <c r="W29" s="186" t="s">
        <v>96</v>
      </c>
      <c r="X29" s="195">
        <f>AVERAGE(X24:X28)</f>
        <v>5105.4936839999991</v>
      </c>
    </row>
    <row r="30" spans="1:24" ht="18" x14ac:dyDescent="0.25">
      <c r="A30" s="28" t="s">
        <v>78</v>
      </c>
      <c r="B30" s="208">
        <f>SUM(B24:B29)</f>
        <v>13026.48775</v>
      </c>
      <c r="C30" s="198">
        <f>SUM(C24:C29)</f>
        <v>11397.227999999999</v>
      </c>
      <c r="D30" s="198">
        <f>SUM(D24:D29)</f>
        <v>11762.668090000001</v>
      </c>
      <c r="E30" s="198">
        <f>B30/C30*100</f>
        <v>114.29522819057408</v>
      </c>
      <c r="F30" s="198">
        <f t="shared" si="25"/>
        <v>110.74432816032981</v>
      </c>
      <c r="G30" s="197">
        <f t="shared" si="26"/>
        <v>9117.7824000000001</v>
      </c>
      <c r="H30" s="197">
        <f t="shared" si="27"/>
        <v>13676.673599999998</v>
      </c>
      <c r="I30" s="197">
        <f t="shared" si="28"/>
        <v>9410.1344720000016</v>
      </c>
      <c r="J30" s="197">
        <f t="shared" si="29"/>
        <v>14115.201708000001</v>
      </c>
      <c r="K30" s="199" t="str">
        <f>IF(B30&gt;C30*1.2,"上回った",IF(B30&lt;C30*0.8,"下回った","並み"))</f>
        <v>並み</v>
      </c>
      <c r="L30" s="199" t="str">
        <f>IF(B30&gt;D30*1.2,"上回った",IF(B30&lt;D30*0.8,"下回った","並み"))</f>
        <v>並み</v>
      </c>
      <c r="M30" s="192"/>
      <c r="N30" s="200">
        <f>SUM(N24:N29)</f>
        <v>4240.0239999999994</v>
      </c>
      <c r="O30" s="200">
        <f>SUM(O24:O29)</f>
        <v>5162.1326840000002</v>
      </c>
      <c r="P30" s="201">
        <f t="shared" si="32"/>
        <v>3392.0191999999997</v>
      </c>
      <c r="Q30" s="201">
        <f t="shared" si="33"/>
        <v>5088.0287999999991</v>
      </c>
      <c r="R30" s="201">
        <f t="shared" si="34"/>
        <v>4129.7061472000005</v>
      </c>
      <c r="S30" s="201">
        <f t="shared" si="35"/>
        <v>6194.5592207999998</v>
      </c>
      <c r="T30" s="202"/>
      <c r="U30" s="202"/>
      <c r="V30" s="186"/>
      <c r="W30" s="186"/>
      <c r="X30" s="186"/>
    </row>
    <row r="31" spans="1:24" x14ac:dyDescent="0.2">
      <c r="M31" s="26"/>
    </row>
    <row r="126" spans="5:6" x14ac:dyDescent="0.2">
      <c r="E126" s="43"/>
      <c r="F126" s="43"/>
    </row>
    <row r="136" spans="2:15" x14ac:dyDescent="0.2">
      <c r="B136" s="43">
        <v>105.282</v>
      </c>
      <c r="C136" s="43">
        <v>87.245999999999995</v>
      </c>
      <c r="D136" s="43">
        <v>149.94</v>
      </c>
      <c r="E136" s="43">
        <v>284.47199999999998</v>
      </c>
      <c r="F136" s="43">
        <v>347.346</v>
      </c>
      <c r="G136" s="43">
        <v>528.10199999999998</v>
      </c>
      <c r="H136" s="43">
        <v>685.78200000000004</v>
      </c>
      <c r="I136" s="43">
        <v>603.32399999999996</v>
      </c>
    </row>
    <row r="137" spans="2:15" x14ac:dyDescent="0.2">
      <c r="O137" s="43" t="e">
        <f>AVERAGE(O131:O135)</f>
        <v>#DIV/0!</v>
      </c>
    </row>
  </sheetData>
  <phoneticPr fontId="2"/>
  <pageMargins left="0.7" right="0.7" top="0.75" bottom="0.75" header="0.3" footer="0.3"/>
  <pageSetup paperSize="9" orientation="portrait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37"/>
  <sheetViews>
    <sheetView zoomScale="70" zoomScaleNormal="70" zoomScalePageLayoutView="70" workbookViewId="0">
      <pane xSplit="1" ySplit="3" topLeftCell="C4" activePane="bottomRight" state="frozen"/>
      <selection activeCell="O138" sqref="O138"/>
      <selection pane="topRight" activeCell="O138" sqref="O138"/>
      <selection pane="bottomLeft" activeCell="O138" sqref="O138"/>
      <selection pane="bottomRight" activeCell="X32" sqref="X32"/>
    </sheetView>
  </sheetViews>
  <sheetFormatPr baseColWidth="10" defaultColWidth="9" defaultRowHeight="15" x14ac:dyDescent="0.2"/>
  <cols>
    <col min="1" max="1" width="11.25" style="43" customWidth="1"/>
    <col min="2" max="2" width="10.5" style="43" bestFit="1" customWidth="1"/>
    <col min="3" max="4" width="9.5" style="43" bestFit="1" customWidth="1"/>
    <col min="5" max="5" width="10.75" style="70" bestFit="1" customWidth="1"/>
    <col min="6" max="6" width="9.125" style="70" bestFit="1" customWidth="1"/>
    <col min="7" max="10" width="9.125" style="43" bestFit="1" customWidth="1"/>
    <col min="11" max="13" width="9" style="43"/>
    <col min="14" max="19" width="9.125" style="43" bestFit="1" customWidth="1"/>
    <col min="20" max="21" width="9" style="43"/>
    <col min="22" max="22" width="26.5" style="43" customWidth="1"/>
    <col min="23" max="23" width="9.125" style="43" bestFit="1" customWidth="1"/>
    <col min="24" max="24" width="9.75" style="43" bestFit="1" customWidth="1"/>
    <col min="25" max="16384" width="9" style="43"/>
  </cols>
  <sheetData>
    <row r="1" spans="1:24" x14ac:dyDescent="0.2">
      <c r="A1" s="25" t="s">
        <v>122</v>
      </c>
      <c r="B1" s="25"/>
      <c r="C1" s="25"/>
      <c r="D1" s="25"/>
      <c r="E1" s="149" t="s">
        <v>146</v>
      </c>
      <c r="F1" s="30"/>
      <c r="G1" s="25"/>
      <c r="H1" s="25"/>
      <c r="I1" s="25"/>
      <c r="J1" s="25"/>
      <c r="K1" s="25"/>
      <c r="L1" s="25"/>
      <c r="M1" s="26"/>
      <c r="N1" s="26" t="s">
        <v>123</v>
      </c>
      <c r="P1" s="109" t="s">
        <v>147</v>
      </c>
    </row>
    <row r="2" spans="1:24" x14ac:dyDescent="0.2">
      <c r="A2" s="25"/>
      <c r="B2" s="25"/>
      <c r="C2" s="25"/>
      <c r="D2" s="25"/>
      <c r="E2" s="30"/>
      <c r="F2" s="30"/>
      <c r="G2" s="25"/>
      <c r="H2" s="25"/>
      <c r="I2" s="25"/>
      <c r="J2" s="25"/>
      <c r="K2" s="25"/>
      <c r="L2" s="25"/>
      <c r="M2" s="26"/>
      <c r="N2" s="26"/>
      <c r="T2" s="43" t="s">
        <v>88</v>
      </c>
    </row>
    <row r="3" spans="1:24" x14ac:dyDescent="0.2">
      <c r="A3" s="27" t="s">
        <v>61</v>
      </c>
      <c r="B3" s="27" t="s">
        <v>151</v>
      </c>
      <c r="C3" s="27" t="s">
        <v>62</v>
      </c>
      <c r="D3" s="27" t="s">
        <v>63</v>
      </c>
      <c r="E3" s="27" t="s">
        <v>64</v>
      </c>
      <c r="F3" s="27" t="s">
        <v>65</v>
      </c>
      <c r="G3" s="28" t="s">
        <v>66</v>
      </c>
      <c r="H3" s="28" t="s">
        <v>67</v>
      </c>
      <c r="I3" s="28" t="s">
        <v>68</v>
      </c>
      <c r="J3" s="28" t="s">
        <v>69</v>
      </c>
      <c r="K3" s="28" t="s">
        <v>70</v>
      </c>
      <c r="L3" s="28" t="s">
        <v>71</v>
      </c>
      <c r="M3" s="29" t="s">
        <v>124</v>
      </c>
      <c r="N3" s="50" t="s">
        <v>62</v>
      </c>
      <c r="O3" s="44" t="s">
        <v>63</v>
      </c>
      <c r="P3" s="28" t="s">
        <v>66</v>
      </c>
      <c r="Q3" s="28" t="s">
        <v>67</v>
      </c>
      <c r="R3" s="28" t="s">
        <v>68</v>
      </c>
      <c r="S3" s="28" t="s">
        <v>69</v>
      </c>
      <c r="T3" s="44" t="s">
        <v>87</v>
      </c>
      <c r="U3" s="44" t="s">
        <v>86</v>
      </c>
      <c r="V3" s="43" t="s">
        <v>124</v>
      </c>
      <c r="W3" s="43" t="s">
        <v>97</v>
      </c>
    </row>
    <row r="4" spans="1:24" x14ac:dyDescent="0.2">
      <c r="A4" s="30" t="s">
        <v>72</v>
      </c>
      <c r="B4" s="33">
        <f>マイワシ!Q29</f>
        <v>0</v>
      </c>
      <c r="C4" s="33">
        <f>マイワシ!Q28</f>
        <v>4.8819999999999997</v>
      </c>
      <c r="D4" s="33">
        <f>マイワシ!Q32</f>
        <v>1.6524000000000001</v>
      </c>
      <c r="E4" s="31">
        <f t="shared" ref="E4:E10" si="0">B4/C4*100</f>
        <v>0</v>
      </c>
      <c r="F4" s="31">
        <f>B4/D4*100</f>
        <v>0</v>
      </c>
      <c r="G4" s="30">
        <f t="shared" ref="G4:G10" si="1">0.8*C4</f>
        <v>3.9055999999999997</v>
      </c>
      <c r="H4" s="30">
        <f t="shared" ref="H4:H10" si="2">C4*1.2</f>
        <v>5.8583999999999996</v>
      </c>
      <c r="I4" s="30">
        <f t="shared" ref="I4:I10" si="3">D4*0.8</f>
        <v>1.3219200000000002</v>
      </c>
      <c r="J4" s="30">
        <f t="shared" ref="J4:J10" si="4">D4*1.2</f>
        <v>1.98288</v>
      </c>
      <c r="K4" s="26" t="str">
        <f t="shared" ref="K4:K9" si="5">IF(C4=0,"-",IF(B4&gt;C4*1.2,"上回った",IF(B4&lt;C4*0.8,"下回った","並み")))</f>
        <v>下回った</v>
      </c>
      <c r="L4" s="26" t="str">
        <f t="shared" ref="L4:L9" si="6">IF(D4=0,"-",IF(B4&gt;D4*1.2,"上回った",IF(B4&lt;D4*0.8,"下回った","並み")))</f>
        <v>下回った</v>
      </c>
      <c r="M4" s="26" t="s">
        <v>148</v>
      </c>
      <c r="N4" s="49">
        <f>マイワシ!P29</f>
        <v>193.43499999999997</v>
      </c>
      <c r="O4" s="48">
        <f>マイワシ!P32</f>
        <v>57.799799999999991</v>
      </c>
      <c r="P4" s="47">
        <f t="shared" ref="P4:P10" si="7">N4*0.8</f>
        <v>154.74799999999999</v>
      </c>
      <c r="Q4" s="47">
        <f t="shared" ref="Q4:Q9" si="8">N4*1.2</f>
        <v>232.12199999999996</v>
      </c>
      <c r="R4" s="47">
        <f t="shared" ref="R4:R10" si="9">O4*0.8</f>
        <v>46.239839999999994</v>
      </c>
      <c r="S4" s="47">
        <f t="shared" ref="S4:S9" si="10">O4*1.2</f>
        <v>69.35975999999998</v>
      </c>
      <c r="T4" s="43" t="s">
        <v>152</v>
      </c>
      <c r="U4" s="43" t="s">
        <v>99</v>
      </c>
      <c r="V4" s="43" t="s">
        <v>148</v>
      </c>
      <c r="W4" s="43">
        <v>2012</v>
      </c>
      <c r="X4" s="47">
        <f>マイワシ!P205</f>
        <v>1328.4627999999998</v>
      </c>
    </row>
    <row r="5" spans="1:24" x14ac:dyDescent="0.2">
      <c r="A5" s="30" t="s">
        <v>73</v>
      </c>
      <c r="B5" s="33">
        <f>マイワシ!Q59</f>
        <v>0.29649999999999999</v>
      </c>
      <c r="C5" s="33">
        <f>マイワシ!Q58</f>
        <v>0</v>
      </c>
      <c r="D5" s="33">
        <f>マイワシ!Q62</f>
        <v>5.9299999999999999E-2</v>
      </c>
      <c r="E5" s="31" t="e">
        <f t="shared" si="0"/>
        <v>#DIV/0!</v>
      </c>
      <c r="F5" s="31">
        <f t="shared" ref="F5:F9" si="11">B5/D5*100</f>
        <v>500</v>
      </c>
      <c r="G5" s="30">
        <f t="shared" si="1"/>
        <v>0</v>
      </c>
      <c r="H5" s="30">
        <f t="shared" si="2"/>
        <v>0</v>
      </c>
      <c r="I5" s="30">
        <f t="shared" si="3"/>
        <v>4.7440000000000003E-2</v>
      </c>
      <c r="J5" s="30">
        <f t="shared" si="4"/>
        <v>7.1160000000000001E-2</v>
      </c>
      <c r="K5" s="26" t="str">
        <f t="shared" si="5"/>
        <v>-</v>
      </c>
      <c r="L5" s="26" t="str">
        <f t="shared" si="6"/>
        <v>上回った</v>
      </c>
      <c r="M5" s="26" t="s">
        <v>148</v>
      </c>
      <c r="N5" s="49">
        <f>マイワシ!P59</f>
        <v>12.143000000000001</v>
      </c>
      <c r="O5" s="48">
        <f>マイワシ!P62</f>
        <v>67.936800000000019</v>
      </c>
      <c r="P5" s="47">
        <f t="shared" si="7"/>
        <v>9.7144000000000013</v>
      </c>
      <c r="Q5" s="47">
        <f t="shared" si="8"/>
        <v>14.5716</v>
      </c>
      <c r="R5" s="47">
        <f t="shared" si="9"/>
        <v>54.349440000000016</v>
      </c>
      <c r="S5" s="47">
        <f t="shared" si="10"/>
        <v>81.524160000000023</v>
      </c>
      <c r="T5" s="43" t="s">
        <v>127</v>
      </c>
      <c r="V5" s="43" t="s">
        <v>148</v>
      </c>
      <c r="W5" s="43">
        <v>2013</v>
      </c>
      <c r="X5" s="47">
        <f>マイワシ!P206</f>
        <v>7682.0839999999998</v>
      </c>
    </row>
    <row r="6" spans="1:24" x14ac:dyDescent="0.2">
      <c r="A6" s="30" t="s">
        <v>74</v>
      </c>
      <c r="B6" s="33">
        <f>マイワシ!Q89</f>
        <v>0.51200000000000001</v>
      </c>
      <c r="C6" s="33">
        <f>マイワシ!Q88</f>
        <v>3.2000000000000001E-2</v>
      </c>
      <c r="D6" s="33">
        <f>マイワシ!Q92</f>
        <v>0.97888000000000019</v>
      </c>
      <c r="E6" s="31">
        <f t="shared" si="0"/>
        <v>1600</v>
      </c>
      <c r="F6" s="31">
        <f t="shared" si="11"/>
        <v>52.304674730304015</v>
      </c>
      <c r="G6" s="30">
        <f t="shared" si="1"/>
        <v>2.5600000000000001E-2</v>
      </c>
      <c r="H6" s="30">
        <f t="shared" si="2"/>
        <v>3.8399999999999997E-2</v>
      </c>
      <c r="I6" s="30">
        <f t="shared" si="3"/>
        <v>0.78310400000000024</v>
      </c>
      <c r="J6" s="30">
        <f t="shared" si="4"/>
        <v>1.1746560000000001</v>
      </c>
      <c r="K6" s="26" t="str">
        <f t="shared" si="5"/>
        <v>上回った</v>
      </c>
      <c r="L6" s="26" t="str">
        <f t="shared" si="6"/>
        <v>下回った</v>
      </c>
      <c r="M6" s="26" t="s">
        <v>148</v>
      </c>
      <c r="N6" s="49">
        <f>マイワシ!P89</f>
        <v>0</v>
      </c>
      <c r="O6" s="48">
        <f>マイワシ!P92</f>
        <v>0.30080000000000001</v>
      </c>
      <c r="P6" s="47">
        <f t="shared" si="7"/>
        <v>0</v>
      </c>
      <c r="Q6" s="47">
        <f t="shared" si="8"/>
        <v>0</v>
      </c>
      <c r="R6" s="47">
        <f t="shared" si="9"/>
        <v>0.24064000000000002</v>
      </c>
      <c r="S6" s="47">
        <f t="shared" si="10"/>
        <v>0.36096</v>
      </c>
      <c r="T6" s="43" t="s">
        <v>99</v>
      </c>
      <c r="U6" s="43" t="s">
        <v>94</v>
      </c>
      <c r="V6" s="43" t="s">
        <v>148</v>
      </c>
      <c r="W6" s="43">
        <v>2014</v>
      </c>
      <c r="X6" s="47">
        <f>マイワシ!P207</f>
        <v>2715.0974999999999</v>
      </c>
    </row>
    <row r="7" spans="1:24" x14ac:dyDescent="0.2">
      <c r="A7" s="30" t="s">
        <v>75</v>
      </c>
      <c r="B7" s="33">
        <f>マイワシ!Q119</f>
        <v>1332.432</v>
      </c>
      <c r="C7" s="33">
        <f>マイワシ!Q118</f>
        <v>256.89</v>
      </c>
      <c r="D7" s="33">
        <f>マイワシ!Q122</f>
        <v>548.38439999999991</v>
      </c>
      <c r="E7" s="31">
        <f t="shared" si="0"/>
        <v>518.67803339950956</v>
      </c>
      <c r="F7" s="31">
        <f t="shared" si="11"/>
        <v>242.97408897846117</v>
      </c>
      <c r="G7" s="30">
        <f t="shared" si="1"/>
        <v>205.512</v>
      </c>
      <c r="H7" s="30">
        <f t="shared" si="2"/>
        <v>308.26799999999997</v>
      </c>
      <c r="I7" s="30">
        <f t="shared" si="3"/>
        <v>438.70751999999993</v>
      </c>
      <c r="J7" s="30">
        <f t="shared" si="4"/>
        <v>658.0612799999999</v>
      </c>
      <c r="K7" s="26" t="str">
        <f t="shared" si="5"/>
        <v>上回った</v>
      </c>
      <c r="L7" s="26" t="str">
        <f t="shared" si="6"/>
        <v>上回った</v>
      </c>
      <c r="M7" s="26" t="s">
        <v>148</v>
      </c>
      <c r="N7" s="49">
        <f>マイワシ!P119</f>
        <v>2495.473</v>
      </c>
      <c r="O7" s="48">
        <f>マイワシ!P122</f>
        <v>1065.1907999999999</v>
      </c>
      <c r="P7" s="47">
        <f t="shared" si="7"/>
        <v>1996.3784000000001</v>
      </c>
      <c r="Q7" s="47">
        <f t="shared" si="8"/>
        <v>2994.5675999999999</v>
      </c>
      <c r="R7" s="47">
        <f t="shared" si="9"/>
        <v>852.15263999999991</v>
      </c>
      <c r="S7" s="47">
        <f t="shared" si="10"/>
        <v>1278.2289599999997</v>
      </c>
      <c r="T7" s="43" t="s">
        <v>152</v>
      </c>
      <c r="U7" s="43" t="s">
        <v>94</v>
      </c>
      <c r="V7" s="43" t="s">
        <v>154</v>
      </c>
      <c r="W7" s="43">
        <v>2015</v>
      </c>
      <c r="X7" s="47">
        <f>マイワシ!P208</f>
        <v>1407.2270000000001</v>
      </c>
    </row>
    <row r="8" spans="1:24" x14ac:dyDescent="0.2">
      <c r="A8" s="30" t="s">
        <v>76</v>
      </c>
      <c r="B8" s="33">
        <f>マイワシ!Q149</f>
        <v>266.65199999999999</v>
      </c>
      <c r="C8" s="33">
        <f>マイワシ!Q148</f>
        <v>489.11399999999998</v>
      </c>
      <c r="D8" s="33">
        <f>マイワシ!Q152</f>
        <v>252.36359999999999</v>
      </c>
      <c r="E8" s="31">
        <f t="shared" si="0"/>
        <v>54.517351783019905</v>
      </c>
      <c r="F8" s="31">
        <f t="shared" si="11"/>
        <v>105.66183078700733</v>
      </c>
      <c r="G8" s="30">
        <f t="shared" si="1"/>
        <v>391.2912</v>
      </c>
      <c r="H8" s="30">
        <f t="shared" si="2"/>
        <v>586.93679999999995</v>
      </c>
      <c r="I8" s="30">
        <f t="shared" si="3"/>
        <v>201.89088000000001</v>
      </c>
      <c r="J8" s="30">
        <f t="shared" si="4"/>
        <v>302.83632</v>
      </c>
      <c r="K8" s="26" t="str">
        <f t="shared" si="5"/>
        <v>下回った</v>
      </c>
      <c r="L8" s="26" t="str">
        <f t="shared" si="6"/>
        <v>並み</v>
      </c>
      <c r="M8" s="26" t="s">
        <v>148</v>
      </c>
      <c r="N8" s="49">
        <f>マイワシ!P149</f>
        <v>88.938000000000002</v>
      </c>
      <c r="O8" s="48">
        <f>マイワシ!P152</f>
        <v>439.81200000000001</v>
      </c>
      <c r="P8" s="47">
        <f t="shared" si="7"/>
        <v>71.150400000000005</v>
      </c>
      <c r="Q8" s="47">
        <f t="shared" si="8"/>
        <v>106.7256</v>
      </c>
      <c r="R8" s="47">
        <f t="shared" si="9"/>
        <v>351.84960000000001</v>
      </c>
      <c r="S8" s="47">
        <f t="shared" si="10"/>
        <v>527.77440000000001</v>
      </c>
      <c r="T8" s="43" t="s">
        <v>94</v>
      </c>
      <c r="U8" s="43" t="s">
        <v>93</v>
      </c>
      <c r="V8" s="43" t="s">
        <v>148</v>
      </c>
      <c r="W8" s="43" t="s">
        <v>95</v>
      </c>
      <c r="X8" s="47">
        <f>マイワシ!P209</f>
        <v>5057.027000000001</v>
      </c>
    </row>
    <row r="9" spans="1:24" x14ac:dyDescent="0.2">
      <c r="A9" s="30" t="s">
        <v>77</v>
      </c>
      <c r="B9" s="33">
        <f>マイワシ!Q179</f>
        <v>657.322</v>
      </c>
      <c r="C9" s="33">
        <f>マイワシ!Q178</f>
        <v>4707.5280000000002</v>
      </c>
      <c r="D9" s="33">
        <f>マイワシ!Q182</f>
        <v>1316.7328000000002</v>
      </c>
      <c r="E9" s="31">
        <f t="shared" si="0"/>
        <v>13.963209565614903</v>
      </c>
      <c r="F9" s="31">
        <f t="shared" si="11"/>
        <v>49.92068246496175</v>
      </c>
      <c r="G9" s="30">
        <f t="shared" si="1"/>
        <v>3766.0224000000003</v>
      </c>
      <c r="H9" s="30">
        <f t="shared" si="2"/>
        <v>5649.0335999999998</v>
      </c>
      <c r="I9" s="30">
        <f t="shared" si="3"/>
        <v>1053.3862400000003</v>
      </c>
      <c r="J9" s="30">
        <f t="shared" si="4"/>
        <v>1580.0793600000002</v>
      </c>
      <c r="K9" s="26" t="str">
        <f t="shared" si="5"/>
        <v>下回った</v>
      </c>
      <c r="L9" s="26" t="str">
        <f t="shared" si="6"/>
        <v>下回った</v>
      </c>
      <c r="M9" s="26" t="s">
        <v>148</v>
      </c>
      <c r="N9" s="49">
        <f>マイワシ!P179</f>
        <v>2267.038</v>
      </c>
      <c r="O9" s="48">
        <f>マイワシ!P182</f>
        <v>2326.8341999999998</v>
      </c>
      <c r="P9" s="47">
        <f t="shared" si="7"/>
        <v>1813.6304</v>
      </c>
      <c r="Q9" s="47">
        <f t="shared" si="8"/>
        <v>2720.4456</v>
      </c>
      <c r="R9" s="47">
        <f t="shared" si="9"/>
        <v>1861.4673599999999</v>
      </c>
      <c r="S9" s="47">
        <f t="shared" si="10"/>
        <v>2792.2010399999995</v>
      </c>
      <c r="T9" s="43" t="s">
        <v>93</v>
      </c>
      <c r="U9" s="43" t="s">
        <v>93</v>
      </c>
      <c r="V9" s="43" t="s">
        <v>148</v>
      </c>
      <c r="W9" s="43" t="s">
        <v>96</v>
      </c>
      <c r="X9" s="47">
        <f>AVERAGE(X4:X8)</f>
        <v>3637.97966</v>
      </c>
    </row>
    <row r="10" spans="1:24" x14ac:dyDescent="0.2">
      <c r="A10" s="27" t="s">
        <v>78</v>
      </c>
      <c r="B10" s="104">
        <f>SUM(B4:B9)</f>
        <v>2257.2145</v>
      </c>
      <c r="C10" s="35">
        <f>SUM(C4:C9)</f>
        <v>5458.4459999999999</v>
      </c>
      <c r="D10" s="35">
        <f>SUM(D4:D9)</f>
        <v>2120.1713800000002</v>
      </c>
      <c r="E10" s="27">
        <f t="shared" si="0"/>
        <v>41.352694521481027</v>
      </c>
      <c r="F10" s="27">
        <f>B10/D10*100</f>
        <v>106.46377558402848</v>
      </c>
      <c r="G10" s="27">
        <f t="shared" si="1"/>
        <v>4366.7568000000001</v>
      </c>
      <c r="H10" s="27">
        <f t="shared" si="2"/>
        <v>6550.1351999999997</v>
      </c>
      <c r="I10" s="27">
        <f t="shared" si="3"/>
        <v>1696.1371040000004</v>
      </c>
      <c r="J10" s="27">
        <f t="shared" si="4"/>
        <v>2544.2056560000001</v>
      </c>
      <c r="K10" s="101" t="str">
        <f>IF(B10&gt;C10*1.2,"上回った",IF(B10&lt;C10*0.8,"下回った","並み"))</f>
        <v>下回った</v>
      </c>
      <c r="L10" s="101" t="str">
        <f>IF(B10&gt;D10*1.2,"上回った",IF(B10&lt;D10*0.8,"下回った","並み"))</f>
        <v>並み</v>
      </c>
      <c r="M10" s="26"/>
      <c r="N10" s="46">
        <f>SUM(N4:N9)</f>
        <v>5057.027</v>
      </c>
      <c r="O10" s="46">
        <f>SUM(O4:O9)</f>
        <v>3957.8743999999997</v>
      </c>
      <c r="P10" s="45">
        <f t="shared" si="7"/>
        <v>4045.6216000000004</v>
      </c>
      <c r="Q10" s="45">
        <f>N10*1.2</f>
        <v>6068.4323999999997</v>
      </c>
      <c r="R10" s="45">
        <f t="shared" si="9"/>
        <v>3166.29952</v>
      </c>
      <c r="S10" s="45">
        <f>O10*1.2</f>
        <v>4749.4492799999998</v>
      </c>
      <c r="T10" s="44"/>
      <c r="U10" s="44"/>
    </row>
    <row r="11" spans="1:24" x14ac:dyDescent="0.2">
      <c r="A11" s="25"/>
      <c r="B11" s="30"/>
      <c r="C11" s="30"/>
      <c r="D11" s="30"/>
      <c r="E11" s="30"/>
      <c r="F11" s="30"/>
      <c r="G11" s="30"/>
      <c r="H11" s="30"/>
      <c r="I11" s="30"/>
      <c r="J11" s="30"/>
      <c r="K11" s="26"/>
      <c r="L11" s="26"/>
      <c r="M11" s="26"/>
      <c r="N11" s="49"/>
      <c r="O11" s="48"/>
    </row>
    <row r="12" spans="1:24" x14ac:dyDescent="0.2">
      <c r="A12" s="26"/>
      <c r="B12" s="32"/>
      <c r="C12" s="32"/>
      <c r="D12" s="32"/>
      <c r="E12" s="32"/>
      <c r="F12" s="32"/>
      <c r="G12" s="32"/>
      <c r="H12" s="32"/>
      <c r="I12" s="32"/>
      <c r="J12" s="32"/>
      <c r="K12" s="33"/>
      <c r="L12" s="33"/>
      <c r="M12" s="26"/>
      <c r="N12" s="49"/>
      <c r="O12" s="48"/>
      <c r="T12" s="43" t="s">
        <v>88</v>
      </c>
    </row>
    <row r="13" spans="1:24" x14ac:dyDescent="0.2">
      <c r="A13" s="28" t="s">
        <v>79</v>
      </c>
      <c r="B13" s="27" t="s">
        <v>151</v>
      </c>
      <c r="C13" s="27" t="s">
        <v>62</v>
      </c>
      <c r="D13" s="27" t="s">
        <v>63</v>
      </c>
      <c r="E13" s="27" t="s">
        <v>64</v>
      </c>
      <c r="F13" s="27" t="s">
        <v>65</v>
      </c>
      <c r="G13" s="27" t="s">
        <v>66</v>
      </c>
      <c r="H13" s="27" t="s">
        <v>67</v>
      </c>
      <c r="I13" s="27" t="s">
        <v>68</v>
      </c>
      <c r="J13" s="27" t="s">
        <v>69</v>
      </c>
      <c r="K13" s="28" t="s">
        <v>70</v>
      </c>
      <c r="L13" s="28" t="s">
        <v>71</v>
      </c>
      <c r="M13" s="26"/>
      <c r="N13" s="128" t="s">
        <v>62</v>
      </c>
      <c r="O13" s="129" t="s">
        <v>63</v>
      </c>
      <c r="P13" s="28" t="s">
        <v>66</v>
      </c>
      <c r="Q13" s="28" t="s">
        <v>67</v>
      </c>
      <c r="R13" s="28" t="s">
        <v>68</v>
      </c>
      <c r="S13" s="28" t="s">
        <v>69</v>
      </c>
      <c r="T13" s="44" t="s">
        <v>87</v>
      </c>
      <c r="U13" s="44" t="s">
        <v>86</v>
      </c>
    </row>
    <row r="14" spans="1:24" x14ac:dyDescent="0.2">
      <c r="A14" s="25" t="s">
        <v>72</v>
      </c>
      <c r="B14" s="32">
        <f>ウルメイワシ!Q29</f>
        <v>0</v>
      </c>
      <c r="C14" s="32">
        <f>ウルメイワシ!Q28</f>
        <v>13.04</v>
      </c>
      <c r="D14" s="32">
        <f>ウルメイワシ!Q32</f>
        <v>8.1080000000000005</v>
      </c>
      <c r="E14" s="31">
        <f t="shared" ref="E14:E20" si="12">B14/C14*100</f>
        <v>0</v>
      </c>
      <c r="F14" s="31">
        <f t="shared" ref="F14:F20" si="13">B14/D14*100</f>
        <v>0</v>
      </c>
      <c r="G14" s="30">
        <f t="shared" ref="G14:G20" si="14">0.8*C14</f>
        <v>10.432</v>
      </c>
      <c r="H14" s="30">
        <f t="shared" ref="H14:H20" si="15">C14*1.2</f>
        <v>15.647999999999998</v>
      </c>
      <c r="I14" s="30">
        <f t="shared" ref="I14:I20" si="16">D14*0.8</f>
        <v>6.4864000000000006</v>
      </c>
      <c r="J14" s="30">
        <f t="shared" ref="J14:J20" si="17">D14*1.2</f>
        <v>9.7295999999999996</v>
      </c>
      <c r="K14" s="26" t="str">
        <f t="shared" ref="K14:K19" si="18">IF(C14=0,"-",IF(B14&gt;C14*1.2,"上回った",IF(B14&lt;C14*0.8,"下回った","並み")))</f>
        <v>下回った</v>
      </c>
      <c r="L14" s="26" t="str">
        <f t="shared" ref="L14:L19" si="19">IF(D14=0,"-",IF(B14&gt;D14*1.2,"上回った",IF(B14&lt;D14*0.8,"下回った","並み")))</f>
        <v>下回った</v>
      </c>
      <c r="M14" s="26" t="s">
        <v>148</v>
      </c>
      <c r="N14" s="49">
        <f>ウルメイワシ!P29</f>
        <v>35.380000000000003</v>
      </c>
      <c r="O14" s="48">
        <f>ウルメイワシ!P32</f>
        <v>122.324</v>
      </c>
      <c r="P14" s="47">
        <f t="shared" ref="P14:P19" si="20">N14*0.8</f>
        <v>28.304000000000002</v>
      </c>
      <c r="Q14" s="47">
        <f t="shared" ref="Q14:Q19" si="21">N14*1.2</f>
        <v>42.456000000000003</v>
      </c>
      <c r="R14" s="47">
        <f t="shared" ref="R14:R20" si="22">O14*0.8</f>
        <v>97.859200000000001</v>
      </c>
      <c r="S14" s="47">
        <f>O14*1.2</f>
        <v>146.78879999999998</v>
      </c>
      <c r="T14" s="43" t="s">
        <v>93</v>
      </c>
      <c r="U14" s="43" t="s">
        <v>93</v>
      </c>
      <c r="V14" s="43" t="s">
        <v>148</v>
      </c>
      <c r="W14" s="43">
        <v>2012</v>
      </c>
      <c r="X14" s="47">
        <f>ウルメイワシ!P205</f>
        <v>12106.993400000001</v>
      </c>
    </row>
    <row r="15" spans="1:24" x14ac:dyDescent="0.2">
      <c r="A15" s="25" t="s">
        <v>73</v>
      </c>
      <c r="B15" s="32">
        <f>ウルメイワシ!Q59</f>
        <v>0.54</v>
      </c>
      <c r="C15" s="32">
        <f>ウルメイワシ!Q58</f>
        <v>0</v>
      </c>
      <c r="D15" s="32">
        <f>ウルメイワシ!Q62</f>
        <v>0.126</v>
      </c>
      <c r="E15" s="31" t="e">
        <f t="shared" si="12"/>
        <v>#DIV/0!</v>
      </c>
      <c r="F15" s="31">
        <f t="shared" si="13"/>
        <v>428.57142857142856</v>
      </c>
      <c r="G15" s="30">
        <f t="shared" si="14"/>
        <v>0</v>
      </c>
      <c r="H15" s="30">
        <f t="shared" si="15"/>
        <v>0</v>
      </c>
      <c r="I15" s="30">
        <f t="shared" si="16"/>
        <v>0.1008</v>
      </c>
      <c r="J15" s="30">
        <f t="shared" si="17"/>
        <v>0.1512</v>
      </c>
      <c r="K15" s="26" t="str">
        <f t="shared" si="18"/>
        <v>-</v>
      </c>
      <c r="L15" s="26" t="str">
        <f t="shared" si="19"/>
        <v>上回った</v>
      </c>
      <c r="M15" s="26"/>
      <c r="N15" s="49">
        <f>ウルメイワシ!P59</f>
        <v>64.86</v>
      </c>
      <c r="O15" s="48">
        <f>ウルメイワシ!P62</f>
        <v>58.688400000000001</v>
      </c>
      <c r="P15" s="47">
        <f t="shared" si="20"/>
        <v>51.888000000000005</v>
      </c>
      <c r="Q15" s="47">
        <f t="shared" si="21"/>
        <v>77.831999999999994</v>
      </c>
      <c r="R15" s="47">
        <f t="shared" si="22"/>
        <v>46.950720000000004</v>
      </c>
      <c r="S15" s="47">
        <f t="shared" ref="S15:S20" si="23">O15*1.2</f>
        <v>70.426079999999999</v>
      </c>
      <c r="T15" s="43" t="s">
        <v>127</v>
      </c>
      <c r="V15" s="43" t="s">
        <v>153</v>
      </c>
      <c r="W15" s="43">
        <v>2013</v>
      </c>
      <c r="X15" s="47">
        <f>ウルメイワシ!P206</f>
        <v>11577.543000000001</v>
      </c>
    </row>
    <row r="16" spans="1:24" x14ac:dyDescent="0.2">
      <c r="A16" s="25" t="s">
        <v>74</v>
      </c>
      <c r="B16" s="32">
        <f>ウルメイワシ!Q89</f>
        <v>0</v>
      </c>
      <c r="C16" s="32">
        <f>ウルメイワシ!Q88</f>
        <v>1.6E-2</v>
      </c>
      <c r="D16" s="32">
        <f>ウルメイワシ!Q92</f>
        <v>0.40800000000000003</v>
      </c>
      <c r="E16" s="31">
        <f t="shared" si="12"/>
        <v>0</v>
      </c>
      <c r="F16" s="31">
        <f t="shared" si="13"/>
        <v>0</v>
      </c>
      <c r="G16" s="30">
        <f t="shared" si="14"/>
        <v>1.2800000000000001E-2</v>
      </c>
      <c r="H16" s="30">
        <f t="shared" si="15"/>
        <v>1.9199999999999998E-2</v>
      </c>
      <c r="I16" s="30">
        <f t="shared" si="16"/>
        <v>0.32640000000000002</v>
      </c>
      <c r="J16" s="30">
        <f t="shared" si="17"/>
        <v>0.48960000000000004</v>
      </c>
      <c r="K16" s="26" t="str">
        <f t="shared" si="18"/>
        <v>下回った</v>
      </c>
      <c r="L16" s="26" t="str">
        <f t="shared" si="19"/>
        <v>下回った</v>
      </c>
      <c r="M16" s="26" t="s">
        <v>148</v>
      </c>
      <c r="N16" s="49">
        <f>ウルメイワシ!P89</f>
        <v>0.35299999999999998</v>
      </c>
      <c r="O16" s="48">
        <f>ウルメイワシ!P92</f>
        <v>0.4708</v>
      </c>
      <c r="P16" s="47">
        <f t="shared" si="20"/>
        <v>0.28239999999999998</v>
      </c>
      <c r="Q16" s="47">
        <f t="shared" si="21"/>
        <v>0.42359999999999998</v>
      </c>
      <c r="R16" s="47">
        <f t="shared" si="22"/>
        <v>0.37664000000000003</v>
      </c>
      <c r="S16" s="47">
        <f t="shared" si="23"/>
        <v>0.56496000000000002</v>
      </c>
      <c r="T16" s="107" t="s">
        <v>145</v>
      </c>
      <c r="U16" s="145"/>
      <c r="V16" s="43" t="s">
        <v>148</v>
      </c>
      <c r="W16" s="43">
        <v>2014</v>
      </c>
      <c r="X16" s="47">
        <f>ウルメイワシ!P207</f>
        <v>8721.9239999999991</v>
      </c>
    </row>
    <row r="17" spans="1:24" x14ac:dyDescent="0.2">
      <c r="A17" s="25" t="s">
        <v>75</v>
      </c>
      <c r="B17" s="32">
        <f>ウルメイワシ!Q119</f>
        <v>6765.3600000000006</v>
      </c>
      <c r="C17" s="32">
        <f>ウルメイワシ!Q118</f>
        <v>5812.6120000000001</v>
      </c>
      <c r="D17" s="32">
        <f>ウルメイワシ!Q122</f>
        <v>3220.8231999999998</v>
      </c>
      <c r="E17" s="31">
        <f t="shared" si="12"/>
        <v>116.39104760476013</v>
      </c>
      <c r="F17" s="31">
        <f t="shared" si="13"/>
        <v>210.05064792131404</v>
      </c>
      <c r="G17" s="30">
        <f t="shared" si="14"/>
        <v>4650.0896000000002</v>
      </c>
      <c r="H17" s="30">
        <f t="shared" si="15"/>
        <v>6975.1343999999999</v>
      </c>
      <c r="I17" s="30">
        <f t="shared" si="16"/>
        <v>2576.6585599999999</v>
      </c>
      <c r="J17" s="30">
        <f t="shared" si="17"/>
        <v>3864.9878399999998</v>
      </c>
      <c r="K17" s="26" t="str">
        <f t="shared" si="18"/>
        <v>並み</v>
      </c>
      <c r="L17" s="26" t="str">
        <f t="shared" si="19"/>
        <v>上回った</v>
      </c>
      <c r="M17" s="26" t="s">
        <v>148</v>
      </c>
      <c r="N17" s="49">
        <f>ウルメイワシ!P119</f>
        <v>8041.0709999999999</v>
      </c>
      <c r="O17" s="48">
        <f>ウルメイワシ!P122</f>
        <v>4278.1494000000002</v>
      </c>
      <c r="P17" s="47">
        <f t="shared" si="20"/>
        <v>6432.8568000000005</v>
      </c>
      <c r="Q17" s="47">
        <f t="shared" si="21"/>
        <v>9649.2852000000003</v>
      </c>
      <c r="R17" s="47">
        <f t="shared" si="22"/>
        <v>3422.5195200000003</v>
      </c>
      <c r="S17" s="47">
        <f t="shared" si="23"/>
        <v>5133.7792799999997</v>
      </c>
      <c r="T17" s="107" t="s">
        <v>94</v>
      </c>
      <c r="U17" s="107" t="s">
        <v>99</v>
      </c>
      <c r="V17" s="43" t="s">
        <v>148</v>
      </c>
      <c r="W17" s="43">
        <v>2015</v>
      </c>
      <c r="X17" s="47">
        <f>ウルメイワシ!P208</f>
        <v>4171.7839999999997</v>
      </c>
    </row>
    <row r="18" spans="1:24" x14ac:dyDescent="0.2">
      <c r="A18" s="25" t="s">
        <v>76</v>
      </c>
      <c r="B18" s="32">
        <f>ウルメイワシ!Q149</f>
        <v>1057.4099999999999</v>
      </c>
      <c r="C18" s="32">
        <f>ウルメイワシ!Q148</f>
        <v>929.71799999999996</v>
      </c>
      <c r="D18" s="32">
        <f>ウルメイワシ!Q152</f>
        <v>1112.3856000000001</v>
      </c>
      <c r="E18" s="31">
        <f t="shared" si="12"/>
        <v>113.73448723161215</v>
      </c>
      <c r="F18" s="31">
        <f t="shared" si="13"/>
        <v>95.05786482672913</v>
      </c>
      <c r="G18" s="30">
        <f t="shared" si="14"/>
        <v>743.77440000000001</v>
      </c>
      <c r="H18" s="30">
        <f t="shared" si="15"/>
        <v>1115.6615999999999</v>
      </c>
      <c r="I18" s="30">
        <f t="shared" si="16"/>
        <v>889.90848000000005</v>
      </c>
      <c r="J18" s="30">
        <f t="shared" si="17"/>
        <v>1334.8627200000001</v>
      </c>
      <c r="K18" s="26" t="str">
        <f t="shared" si="18"/>
        <v>並み</v>
      </c>
      <c r="L18" s="26" t="str">
        <f t="shared" si="19"/>
        <v>並み</v>
      </c>
      <c r="M18" s="26" t="s">
        <v>148</v>
      </c>
      <c r="N18" s="49">
        <f>ウルメイワシ!P149</f>
        <v>955.29600000000005</v>
      </c>
      <c r="O18" s="48">
        <f>ウルメイワシ!P152</f>
        <v>1188.2256000000002</v>
      </c>
      <c r="P18" s="47">
        <f t="shared" si="20"/>
        <v>764.23680000000013</v>
      </c>
      <c r="Q18" s="47">
        <f t="shared" si="21"/>
        <v>1146.3552</v>
      </c>
      <c r="R18" s="47">
        <f t="shared" si="22"/>
        <v>950.58048000000019</v>
      </c>
      <c r="S18" s="47">
        <f t="shared" si="23"/>
        <v>1425.8707200000001</v>
      </c>
      <c r="T18" s="107" t="s">
        <v>94</v>
      </c>
      <c r="U18" s="107" t="s">
        <v>94</v>
      </c>
      <c r="V18" s="43" t="s">
        <v>148</v>
      </c>
      <c r="W18" s="43" t="s">
        <v>95</v>
      </c>
      <c r="X18" s="47">
        <f>ウルメイワシ!P209</f>
        <v>12587.24</v>
      </c>
    </row>
    <row r="19" spans="1:24" x14ac:dyDescent="0.2">
      <c r="A19" s="25" t="s">
        <v>77</v>
      </c>
      <c r="B19" s="32">
        <f>ウルメイワシ!Q179</f>
        <v>1922.396</v>
      </c>
      <c r="C19" s="32">
        <f>ウルメイワシ!Q178</f>
        <v>3958.4049999999997</v>
      </c>
      <c r="D19" s="32">
        <f>ウルメイワシ!Q182</f>
        <v>2338.4041999999999</v>
      </c>
      <c r="E19" s="31">
        <f t="shared" si="12"/>
        <v>48.56491440365501</v>
      </c>
      <c r="F19" s="31">
        <f t="shared" si="13"/>
        <v>82.209739445387584</v>
      </c>
      <c r="G19" s="30">
        <f t="shared" si="14"/>
        <v>3166.7240000000002</v>
      </c>
      <c r="H19" s="30">
        <f t="shared" si="15"/>
        <v>4750.0859999999993</v>
      </c>
      <c r="I19" s="30">
        <f t="shared" si="16"/>
        <v>1870.72336</v>
      </c>
      <c r="J19" s="30">
        <f t="shared" si="17"/>
        <v>2806.0850399999999</v>
      </c>
      <c r="K19" s="26" t="str">
        <f t="shared" si="18"/>
        <v>下回った</v>
      </c>
      <c r="L19" s="26" t="str">
        <f t="shared" si="19"/>
        <v>並み</v>
      </c>
      <c r="M19" s="26" t="s">
        <v>148</v>
      </c>
      <c r="N19" s="49">
        <f>ウルメイワシ!P179</f>
        <v>3490.28</v>
      </c>
      <c r="O19" s="48">
        <f>ウルメイワシ!P182</f>
        <v>3292.5425999999998</v>
      </c>
      <c r="P19" s="47">
        <f t="shared" si="20"/>
        <v>2792.2240000000002</v>
      </c>
      <c r="Q19" s="47">
        <f t="shared" si="21"/>
        <v>4188.3360000000002</v>
      </c>
      <c r="R19" s="47">
        <f t="shared" si="22"/>
        <v>2634.0340799999999</v>
      </c>
      <c r="S19" s="47">
        <f t="shared" si="23"/>
        <v>3951.0511199999996</v>
      </c>
      <c r="T19" s="107" t="s">
        <v>99</v>
      </c>
      <c r="U19" s="107" t="s">
        <v>99</v>
      </c>
      <c r="V19" s="43" t="s">
        <v>148</v>
      </c>
      <c r="W19" s="43" t="s">
        <v>96</v>
      </c>
      <c r="X19" s="47">
        <f>AVERAGE(X14:X18)</f>
        <v>9833.096880000001</v>
      </c>
    </row>
    <row r="20" spans="1:24" x14ac:dyDescent="0.2">
      <c r="A20" s="28" t="s">
        <v>78</v>
      </c>
      <c r="B20" s="34">
        <f>SUM(B14:B19)</f>
        <v>9745.7060000000001</v>
      </c>
      <c r="C20" s="27">
        <f>SUM(C14:C19)</f>
        <v>10713.790999999999</v>
      </c>
      <c r="D20" s="27">
        <f>SUM(D14:D19)</f>
        <v>6680.2550000000001</v>
      </c>
      <c r="E20" s="27">
        <f t="shared" si="12"/>
        <v>90.964122783429318</v>
      </c>
      <c r="F20" s="27">
        <f t="shared" si="13"/>
        <v>145.88823330845904</v>
      </c>
      <c r="G20" s="27">
        <f t="shared" si="14"/>
        <v>8571.032799999999</v>
      </c>
      <c r="H20" s="27">
        <f t="shared" si="15"/>
        <v>12856.549199999999</v>
      </c>
      <c r="I20" s="27">
        <f t="shared" si="16"/>
        <v>5344.2040000000006</v>
      </c>
      <c r="J20" s="27">
        <f t="shared" si="17"/>
        <v>8016.3059999999996</v>
      </c>
      <c r="K20" s="101" t="str">
        <f>IF(B20&gt;C20*1.2,"上回った",IF(B20&lt;C20*0.8,"下回った","並み"))</f>
        <v>並み</v>
      </c>
      <c r="L20" s="101" t="str">
        <f>IF(B20&gt;D20*1.2,"上回った",IF(B20&lt;D20*0.8,"下回った","並み"))</f>
        <v>上回った</v>
      </c>
      <c r="M20" s="26"/>
      <c r="N20" s="46">
        <f>SUM(N14:N19)</f>
        <v>12587.24</v>
      </c>
      <c r="O20" s="46">
        <f>SUM(O14:O19)</f>
        <v>8940.4007999999994</v>
      </c>
      <c r="P20" s="45">
        <f>N20*0.8</f>
        <v>10069.792000000001</v>
      </c>
      <c r="Q20" s="45">
        <f>N20*1.2</f>
        <v>15104.687999999998</v>
      </c>
      <c r="R20" s="45">
        <f t="shared" si="22"/>
        <v>7152.3206399999999</v>
      </c>
      <c r="S20" s="45">
        <f t="shared" si="23"/>
        <v>10728.480959999999</v>
      </c>
      <c r="T20" s="44"/>
      <c r="U20" s="44"/>
    </row>
    <row r="21" spans="1:24" x14ac:dyDescent="0.2">
      <c r="A21" s="26"/>
      <c r="B21" s="32"/>
      <c r="C21" s="32"/>
      <c r="D21" s="32"/>
      <c r="E21" s="32"/>
      <c r="F21" s="32"/>
      <c r="G21" s="32"/>
      <c r="H21" s="32"/>
      <c r="I21" s="32"/>
      <c r="J21" s="32"/>
      <c r="K21" s="33"/>
      <c r="L21" s="33"/>
      <c r="M21" s="26"/>
      <c r="N21" s="49"/>
      <c r="O21" s="48"/>
    </row>
    <row r="22" spans="1:24" x14ac:dyDescent="0.2">
      <c r="A22" s="25"/>
      <c r="B22" s="25"/>
      <c r="C22" s="25"/>
      <c r="D22" s="25"/>
      <c r="E22" s="30"/>
      <c r="F22" s="30"/>
      <c r="G22" s="25"/>
      <c r="H22" s="25"/>
      <c r="I22" s="25"/>
      <c r="J22" s="25"/>
      <c r="K22" s="33"/>
      <c r="L22" s="33"/>
      <c r="M22" s="26"/>
      <c r="N22" s="49"/>
      <c r="O22" s="48"/>
      <c r="T22" s="43" t="s">
        <v>88</v>
      </c>
    </row>
    <row r="23" spans="1:24" x14ac:dyDescent="0.2">
      <c r="A23" s="28" t="s">
        <v>80</v>
      </c>
      <c r="B23" s="27" t="s">
        <v>151</v>
      </c>
      <c r="C23" s="28" t="s">
        <v>62</v>
      </c>
      <c r="D23" s="28" t="s">
        <v>63</v>
      </c>
      <c r="E23" s="27" t="s">
        <v>64</v>
      </c>
      <c r="F23" s="27" t="s">
        <v>65</v>
      </c>
      <c r="G23" s="28" t="s">
        <v>66</v>
      </c>
      <c r="H23" s="28" t="s">
        <v>67</v>
      </c>
      <c r="I23" s="28" t="s">
        <v>68</v>
      </c>
      <c r="J23" s="28" t="s">
        <v>69</v>
      </c>
      <c r="K23" s="28" t="s">
        <v>70</v>
      </c>
      <c r="L23" s="28" t="s">
        <v>71</v>
      </c>
      <c r="M23" s="26"/>
      <c r="N23" s="128" t="s">
        <v>62</v>
      </c>
      <c r="O23" s="129" t="s">
        <v>63</v>
      </c>
      <c r="P23" s="28" t="s">
        <v>66</v>
      </c>
      <c r="Q23" s="28" t="s">
        <v>67</v>
      </c>
      <c r="R23" s="28" t="s">
        <v>68</v>
      </c>
      <c r="S23" s="28" t="s">
        <v>69</v>
      </c>
      <c r="T23" s="44" t="s">
        <v>87</v>
      </c>
      <c r="U23" s="44" t="s">
        <v>86</v>
      </c>
    </row>
    <row r="24" spans="1:24" x14ac:dyDescent="0.2">
      <c r="A24" s="25" t="s">
        <v>72</v>
      </c>
      <c r="B24" s="30">
        <f>カタクチイワシ!Q29</f>
        <v>137.4</v>
      </c>
      <c r="C24" s="30">
        <f>カタクチイワシ!Q28</f>
        <v>109.5</v>
      </c>
      <c r="D24" s="30">
        <f>カタクチイワシ!Q32</f>
        <v>169.94400000000002</v>
      </c>
      <c r="E24" s="30">
        <f t="shared" ref="E24:E30" si="24">B24/C24*100</f>
        <v>125.47945205479452</v>
      </c>
      <c r="F24" s="30">
        <f t="shared" ref="F24:F30" si="25">B24/D24*100</f>
        <v>80.850162406439765</v>
      </c>
      <c r="G24" s="33">
        <f t="shared" ref="G24:G30" si="26">0.8*C24</f>
        <v>87.600000000000009</v>
      </c>
      <c r="H24" s="33">
        <f t="shared" ref="H24:H30" si="27">C24*1.2</f>
        <v>131.4</v>
      </c>
      <c r="I24" s="33">
        <f t="shared" ref="I24:I30" si="28">D24*0.8</f>
        <v>135.95520000000002</v>
      </c>
      <c r="J24" s="33">
        <f t="shared" ref="J24:J30" si="29">D24*1.2</f>
        <v>203.93280000000001</v>
      </c>
      <c r="K24" s="26" t="str">
        <f t="shared" ref="K24:K29" si="30">IF(C24=0,"-",IF(B24&gt;C24*1.2,"上回った",IF(B24&lt;C24*0.8,"下回った","並み")))</f>
        <v>上回った</v>
      </c>
      <c r="L24" s="26" t="str">
        <f t="shared" ref="L24:L29" si="31">IF(D24=0,"-",IF(B24&gt;D24*1.2,"上回った",IF(B24&lt;D24*0.8,"下回った","並み")))</f>
        <v>並み</v>
      </c>
      <c r="M24" s="26" t="s">
        <v>148</v>
      </c>
      <c r="N24" s="49">
        <f>カタクチイワシ!P29</f>
        <v>278.36</v>
      </c>
      <c r="O24" s="48">
        <f>カタクチイワシ!P32</f>
        <v>556.76840000000004</v>
      </c>
      <c r="P24" s="47">
        <f t="shared" ref="P24:P30" si="32">N24*0.8</f>
        <v>222.68800000000002</v>
      </c>
      <c r="Q24" s="47">
        <f t="shared" ref="Q24:Q30" si="33">N24*1.2</f>
        <v>334.03199999999998</v>
      </c>
      <c r="R24" s="47">
        <f t="shared" ref="R24:R30" si="34">O24*0.8</f>
        <v>445.41472000000005</v>
      </c>
      <c r="S24" s="47">
        <f t="shared" ref="S24:S30" si="35">O24*1.2</f>
        <v>668.12207999999998</v>
      </c>
      <c r="T24" s="107" t="s">
        <v>93</v>
      </c>
      <c r="U24" s="107" t="s">
        <v>93</v>
      </c>
      <c r="V24" s="43" t="s">
        <v>148</v>
      </c>
      <c r="W24" s="43">
        <v>2012</v>
      </c>
      <c r="X24" s="47">
        <f>カタクチイワシ!P205</f>
        <v>7131.4869499999995</v>
      </c>
    </row>
    <row r="25" spans="1:24" x14ac:dyDescent="0.2">
      <c r="A25" s="25" t="s">
        <v>73</v>
      </c>
      <c r="B25" s="30">
        <f>カタクチイワシ!Q56</f>
        <v>6.0510000000000002</v>
      </c>
      <c r="C25" s="30">
        <f>カタクチイワシ!Q58</f>
        <v>12.8865</v>
      </c>
      <c r="D25" s="30">
        <f>カタクチイワシ!Q62</f>
        <v>11.4359</v>
      </c>
      <c r="E25" s="30">
        <f t="shared" si="24"/>
        <v>46.956116866488188</v>
      </c>
      <c r="F25" s="30">
        <f t="shared" si="25"/>
        <v>52.91231997481615</v>
      </c>
      <c r="G25" s="33">
        <f t="shared" si="26"/>
        <v>10.309200000000001</v>
      </c>
      <c r="H25" s="33">
        <f t="shared" si="27"/>
        <v>15.463799999999999</v>
      </c>
      <c r="I25" s="33">
        <f t="shared" si="28"/>
        <v>9.1487200000000009</v>
      </c>
      <c r="J25" s="33">
        <f t="shared" si="29"/>
        <v>13.72308</v>
      </c>
      <c r="K25" s="26" t="str">
        <f t="shared" si="30"/>
        <v>下回った</v>
      </c>
      <c r="L25" s="26" t="str">
        <f t="shared" si="31"/>
        <v>下回った</v>
      </c>
      <c r="M25" s="26" t="s">
        <v>148</v>
      </c>
      <c r="N25" s="49">
        <f>カタクチイワシ!P59</f>
        <v>9.8930000000000007</v>
      </c>
      <c r="O25" s="48">
        <f>カタクチイワシ!P62</f>
        <v>19.982889999999998</v>
      </c>
      <c r="P25" s="47">
        <f t="shared" si="32"/>
        <v>7.9144000000000005</v>
      </c>
      <c r="Q25" s="47">
        <f t="shared" si="33"/>
        <v>11.871600000000001</v>
      </c>
      <c r="R25" s="47">
        <f t="shared" si="34"/>
        <v>15.986311999999998</v>
      </c>
      <c r="S25" s="47">
        <f t="shared" si="35"/>
        <v>23.979467999999997</v>
      </c>
      <c r="T25" s="43" t="s">
        <v>127</v>
      </c>
      <c r="U25" s="107"/>
      <c r="V25" s="43" t="s">
        <v>148</v>
      </c>
      <c r="W25" s="43">
        <v>2013</v>
      </c>
      <c r="X25" s="47">
        <f>カタクチイワシ!P206</f>
        <v>11709.6368</v>
      </c>
    </row>
    <row r="26" spans="1:24" x14ac:dyDescent="0.2">
      <c r="A26" s="25" t="s">
        <v>74</v>
      </c>
      <c r="B26" s="30">
        <f>カタクチイワシ!Q89</f>
        <v>56.4</v>
      </c>
      <c r="C26" s="30">
        <f>カタクチイワシ!Q88</f>
        <v>35.3292</v>
      </c>
      <c r="D26" s="30">
        <f>カタクチイワシ!Q92</f>
        <v>36.664239999999999</v>
      </c>
      <c r="E26" s="30">
        <f t="shared" si="24"/>
        <v>159.64131653136781</v>
      </c>
      <c r="F26" s="30">
        <f t="shared" si="25"/>
        <v>153.82836245889729</v>
      </c>
      <c r="G26" s="33">
        <f t="shared" si="26"/>
        <v>28.263360000000002</v>
      </c>
      <c r="H26" s="33">
        <f t="shared" si="27"/>
        <v>42.395040000000002</v>
      </c>
      <c r="I26" s="33">
        <f t="shared" si="28"/>
        <v>29.331392000000001</v>
      </c>
      <c r="J26" s="33">
        <f t="shared" si="29"/>
        <v>43.997087999999998</v>
      </c>
      <c r="K26" s="26" t="str">
        <f t="shared" si="30"/>
        <v>上回った</v>
      </c>
      <c r="L26" s="26" t="str">
        <f t="shared" si="31"/>
        <v>上回った</v>
      </c>
      <c r="M26" s="26" t="s">
        <v>148</v>
      </c>
      <c r="N26" s="49">
        <f>カタクチイワシ!P89</f>
        <v>2.2890000000000001</v>
      </c>
      <c r="O26" s="48">
        <f>カタクチイワシ!P92</f>
        <v>34.720219999999998</v>
      </c>
      <c r="P26" s="47">
        <f t="shared" si="32"/>
        <v>1.8312000000000002</v>
      </c>
      <c r="Q26" s="47">
        <f t="shared" si="33"/>
        <v>2.7467999999999999</v>
      </c>
      <c r="R26" s="47">
        <f t="shared" si="34"/>
        <v>27.776176</v>
      </c>
      <c r="S26" s="47">
        <f t="shared" si="35"/>
        <v>41.664263999999996</v>
      </c>
      <c r="T26" s="107" t="s">
        <v>94</v>
      </c>
      <c r="U26" s="107" t="s">
        <v>93</v>
      </c>
      <c r="V26" s="43" t="s">
        <v>148</v>
      </c>
      <c r="W26" s="43">
        <v>2014</v>
      </c>
      <c r="X26" s="47">
        <f>カタクチイワシ!P207</f>
        <v>16587.491999999998</v>
      </c>
    </row>
    <row r="27" spans="1:24" x14ac:dyDescent="0.2">
      <c r="A27" s="25" t="s">
        <v>75</v>
      </c>
      <c r="B27" s="32">
        <f>カタクチイワシ!Q119</f>
        <v>660.45900000000006</v>
      </c>
      <c r="C27" s="32">
        <f>カタクチイワシ!Q118</f>
        <v>1051.4510000000002</v>
      </c>
      <c r="D27" s="32">
        <f>カタクチイワシ!Q122</f>
        <v>864.44920000000002</v>
      </c>
      <c r="E27" s="30">
        <f>B27/C27*100</f>
        <v>62.814054102378513</v>
      </c>
      <c r="F27" s="30">
        <f>B27/D27*100</f>
        <v>76.402291771454017</v>
      </c>
      <c r="G27" s="33">
        <f t="shared" si="26"/>
        <v>841.16080000000022</v>
      </c>
      <c r="H27" s="33">
        <f t="shared" si="27"/>
        <v>1261.7412000000002</v>
      </c>
      <c r="I27" s="33">
        <f t="shared" si="28"/>
        <v>691.55936000000008</v>
      </c>
      <c r="J27" s="33">
        <f t="shared" si="29"/>
        <v>1037.3390400000001</v>
      </c>
      <c r="K27" s="26" t="str">
        <f t="shared" si="30"/>
        <v>下回った</v>
      </c>
      <c r="L27" s="26" t="str">
        <f t="shared" si="31"/>
        <v>下回った</v>
      </c>
      <c r="M27" s="26" t="s">
        <v>148</v>
      </c>
      <c r="N27" s="49">
        <f>カタクチイワシ!P119</f>
        <v>6905.9149999999991</v>
      </c>
      <c r="O27" s="48">
        <f>カタクチイワシ!P122</f>
        <v>6868.782799999999</v>
      </c>
      <c r="P27" s="47">
        <f t="shared" si="32"/>
        <v>5524.732</v>
      </c>
      <c r="Q27" s="47">
        <f t="shared" si="33"/>
        <v>8287.0979999999981</v>
      </c>
      <c r="R27" s="47">
        <f t="shared" si="34"/>
        <v>5495.0262399999992</v>
      </c>
      <c r="S27" s="47">
        <f t="shared" si="35"/>
        <v>8242.5393599999989</v>
      </c>
      <c r="T27" s="107" t="s">
        <v>93</v>
      </c>
      <c r="U27" s="107" t="s">
        <v>93</v>
      </c>
      <c r="V27" s="43" t="s">
        <v>148</v>
      </c>
      <c r="W27" s="43">
        <v>2015</v>
      </c>
      <c r="X27" s="47">
        <f>カタクチイワシ!P208</f>
        <v>12136.918</v>
      </c>
    </row>
    <row r="28" spans="1:24" x14ac:dyDescent="0.2">
      <c r="A28" s="25" t="s">
        <v>76</v>
      </c>
      <c r="B28" s="32">
        <f>カタクチイワシ!Q149</f>
        <v>107.244</v>
      </c>
      <c r="C28" s="32">
        <f>カタクチイワシ!Q148</f>
        <v>897.49799999999993</v>
      </c>
      <c r="D28" s="32">
        <f>カタクチイワシ!Q152</f>
        <v>548.08199999999999</v>
      </c>
      <c r="E28" s="30">
        <f t="shared" si="24"/>
        <v>11.949218828342794</v>
      </c>
      <c r="F28" s="30">
        <f t="shared" si="25"/>
        <v>19.567145062235213</v>
      </c>
      <c r="G28" s="33">
        <f t="shared" si="26"/>
        <v>717.99839999999995</v>
      </c>
      <c r="H28" s="33">
        <f t="shared" si="27"/>
        <v>1076.9975999999999</v>
      </c>
      <c r="I28" s="33">
        <f t="shared" si="28"/>
        <v>438.46559999999999</v>
      </c>
      <c r="J28" s="33">
        <f t="shared" si="29"/>
        <v>657.69839999999999</v>
      </c>
      <c r="K28" s="26" t="str">
        <f t="shared" si="30"/>
        <v>下回った</v>
      </c>
      <c r="L28" s="26" t="str">
        <f t="shared" si="31"/>
        <v>下回った</v>
      </c>
      <c r="M28" s="26" t="s">
        <v>148</v>
      </c>
      <c r="N28" s="49">
        <f>カタクチイワシ!P149</f>
        <v>2643.174</v>
      </c>
      <c r="O28" s="48">
        <f>カタクチイワシ!P152</f>
        <v>2967.6420000000003</v>
      </c>
      <c r="P28" s="47">
        <f t="shared" si="32"/>
        <v>2114.5392000000002</v>
      </c>
      <c r="Q28" s="47">
        <f t="shared" si="33"/>
        <v>3171.8087999999998</v>
      </c>
      <c r="R28" s="47">
        <f t="shared" si="34"/>
        <v>2374.1136000000001</v>
      </c>
      <c r="S28" s="47">
        <f t="shared" si="35"/>
        <v>3561.1704000000004</v>
      </c>
      <c r="T28" s="107" t="s">
        <v>93</v>
      </c>
      <c r="U28" s="107" t="s">
        <v>93</v>
      </c>
      <c r="V28" s="43" t="s">
        <v>148</v>
      </c>
      <c r="W28" s="43" t="s">
        <v>95</v>
      </c>
      <c r="X28" s="47">
        <f>カタクチイワシ!P209</f>
        <v>12833.140000000001</v>
      </c>
    </row>
    <row r="29" spans="1:24" x14ac:dyDescent="0.2">
      <c r="A29" s="25" t="s">
        <v>77</v>
      </c>
      <c r="B29" s="32">
        <f>カタクチイワシ!Q179</f>
        <v>498.01</v>
      </c>
      <c r="C29" s="32">
        <f>カタクチイワシ!Q178</f>
        <v>1733.403</v>
      </c>
      <c r="D29" s="32">
        <f>カタクチイワシ!Q182</f>
        <v>1264.2238000000002</v>
      </c>
      <c r="E29" s="31">
        <f t="shared" si="24"/>
        <v>28.730191421152497</v>
      </c>
      <c r="F29" s="31">
        <f t="shared" si="25"/>
        <v>39.392550591121598</v>
      </c>
      <c r="G29" s="33">
        <f t="shared" si="26"/>
        <v>1386.7224000000001</v>
      </c>
      <c r="H29" s="33">
        <f t="shared" si="27"/>
        <v>2080.0835999999999</v>
      </c>
      <c r="I29" s="33">
        <f t="shared" si="28"/>
        <v>1011.3790400000003</v>
      </c>
      <c r="J29" s="33">
        <f t="shared" si="29"/>
        <v>1517.0685600000002</v>
      </c>
      <c r="K29" s="26" t="str">
        <f t="shared" si="30"/>
        <v>下回った</v>
      </c>
      <c r="L29" s="26" t="str">
        <f t="shared" si="31"/>
        <v>下回った</v>
      </c>
      <c r="M29" s="26" t="s">
        <v>148</v>
      </c>
      <c r="N29" s="49">
        <f>カタクチイワシ!P179</f>
        <v>2993.509</v>
      </c>
      <c r="O29" s="48">
        <f>カタクチイワシ!P182</f>
        <v>2892.0818000000004</v>
      </c>
      <c r="P29" s="47">
        <f t="shared" si="32"/>
        <v>2394.8072000000002</v>
      </c>
      <c r="Q29" s="47">
        <f t="shared" si="33"/>
        <v>3592.2107999999998</v>
      </c>
      <c r="R29" s="47">
        <f t="shared" si="34"/>
        <v>2313.6654400000002</v>
      </c>
      <c r="S29" s="47">
        <f t="shared" si="35"/>
        <v>3470.4981600000006</v>
      </c>
      <c r="T29" s="43" t="s">
        <v>93</v>
      </c>
      <c r="U29" s="43" t="s">
        <v>94</v>
      </c>
      <c r="V29" s="43" t="s">
        <v>148</v>
      </c>
      <c r="W29" s="43" t="s">
        <v>96</v>
      </c>
      <c r="X29" s="47">
        <f>AVERAGE(X24:X28)</f>
        <v>12079.73475</v>
      </c>
    </row>
    <row r="30" spans="1:24" x14ac:dyDescent="0.2">
      <c r="A30" s="28" t="s">
        <v>78</v>
      </c>
      <c r="B30" s="34">
        <f>SUM(B24:B29)</f>
        <v>1465.5640000000001</v>
      </c>
      <c r="C30" s="27">
        <f>SUM(C24:C29)</f>
        <v>3840.0677000000005</v>
      </c>
      <c r="D30" s="27">
        <f>SUM(D24:D29)</f>
        <v>2894.7991400000001</v>
      </c>
      <c r="E30" s="27">
        <f t="shared" si="24"/>
        <v>38.16505630877289</v>
      </c>
      <c r="F30" s="27">
        <f t="shared" si="25"/>
        <v>50.627484986747653</v>
      </c>
      <c r="G30" s="35">
        <f t="shared" si="26"/>
        <v>3072.0541600000006</v>
      </c>
      <c r="H30" s="35">
        <f t="shared" si="27"/>
        <v>4608.0812400000004</v>
      </c>
      <c r="I30" s="35">
        <f t="shared" si="28"/>
        <v>2315.8393120000001</v>
      </c>
      <c r="J30" s="35">
        <f t="shared" si="29"/>
        <v>3473.7589680000001</v>
      </c>
      <c r="K30" s="101" t="str">
        <f>IF(B30&gt;C30*1.2,"上回った",IF(B30&lt;C30*0.8,"下回った","並み"))</f>
        <v>下回った</v>
      </c>
      <c r="L30" s="101" t="str">
        <f>IF(B30&gt;D30*1.2,"上回った",IF(B30&lt;D30*0.8,"下回った","並み"))</f>
        <v>下回った</v>
      </c>
      <c r="M30" s="26"/>
      <c r="N30" s="46">
        <f>SUM(N24:N29)</f>
        <v>12833.14</v>
      </c>
      <c r="O30" s="46">
        <f>SUM(O24:O29)</f>
        <v>13339.97811</v>
      </c>
      <c r="P30" s="45">
        <f t="shared" si="32"/>
        <v>10266.512000000001</v>
      </c>
      <c r="Q30" s="45">
        <f t="shared" si="33"/>
        <v>15399.767999999998</v>
      </c>
      <c r="R30" s="45">
        <f t="shared" si="34"/>
        <v>10671.982488000001</v>
      </c>
      <c r="S30" s="45">
        <f t="shared" si="35"/>
        <v>16007.973731999999</v>
      </c>
      <c r="T30" s="44"/>
      <c r="U30" s="44"/>
    </row>
    <row r="31" spans="1:24" x14ac:dyDescent="0.2">
      <c r="M31" s="26"/>
    </row>
    <row r="126" spans="5:6" x14ac:dyDescent="0.2">
      <c r="E126" s="43"/>
      <c r="F126" s="43"/>
    </row>
    <row r="135" spans="2:17" x14ac:dyDescent="0.2"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</row>
    <row r="136" spans="2:17" x14ac:dyDescent="0.2">
      <c r="B136" s="43">
        <v>105.282</v>
      </c>
      <c r="C136" s="43">
        <v>87.245999999999995</v>
      </c>
      <c r="D136" s="43">
        <v>149.94</v>
      </c>
      <c r="E136" s="70">
        <v>284.47199999999998</v>
      </c>
      <c r="F136" s="70">
        <v>347.346</v>
      </c>
      <c r="G136" s="43">
        <v>528.10199999999998</v>
      </c>
      <c r="H136" s="43">
        <v>685.78200000000004</v>
      </c>
      <c r="I136" s="43">
        <v>603.32399999999996</v>
      </c>
      <c r="O136" s="70"/>
    </row>
    <row r="137" spans="2:17" x14ac:dyDescent="0.2">
      <c r="O137" s="43" t="e">
        <f>AVERAGE(O131:O135)</f>
        <v>#DIV/0!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4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workbookViewId="0">
      <selection activeCell="D5" sqref="D5"/>
    </sheetView>
  </sheetViews>
  <sheetFormatPr baseColWidth="10" defaultColWidth="9" defaultRowHeight="15" x14ac:dyDescent="0.2"/>
  <cols>
    <col min="1" max="1" width="11.25" style="43" customWidth="1"/>
    <col min="2" max="2" width="10.5" style="43" bestFit="1" customWidth="1"/>
    <col min="3" max="4" width="9.5" style="43" bestFit="1" customWidth="1"/>
    <col min="5" max="5" width="10.75" style="70" bestFit="1" customWidth="1"/>
    <col min="6" max="6" width="9.125" style="70" bestFit="1" customWidth="1"/>
    <col min="7" max="10" width="9.125" style="43" bestFit="1" customWidth="1"/>
    <col min="11" max="13" width="9" style="43"/>
    <col min="14" max="19" width="9.125" style="43" bestFit="1" customWidth="1"/>
    <col min="20" max="21" width="9" style="43"/>
    <col min="22" max="22" width="26.5" style="43" customWidth="1"/>
    <col min="23" max="23" width="9.125" style="43" bestFit="1" customWidth="1"/>
    <col min="24" max="24" width="9.75" style="43" bestFit="1" customWidth="1"/>
    <col min="25" max="16384" width="9" style="43"/>
  </cols>
  <sheetData>
    <row r="1" spans="1:24" x14ac:dyDescent="0.2">
      <c r="A1" s="25" t="s">
        <v>125</v>
      </c>
      <c r="B1" s="25"/>
      <c r="C1" s="25"/>
      <c r="D1" s="25"/>
      <c r="E1" s="30"/>
      <c r="F1" s="30"/>
      <c r="G1" s="25"/>
      <c r="H1" s="25"/>
      <c r="I1" s="25"/>
      <c r="J1" s="25"/>
      <c r="K1" s="25"/>
      <c r="L1" s="25"/>
      <c r="M1" s="26"/>
      <c r="N1" s="26" t="s">
        <v>126</v>
      </c>
    </row>
    <row r="2" spans="1:24" x14ac:dyDescent="0.2">
      <c r="A2" s="25"/>
      <c r="B2" s="25"/>
      <c r="C2" s="25"/>
      <c r="D2" s="25"/>
      <c r="E2" s="30"/>
      <c r="F2" s="30"/>
      <c r="G2" s="25"/>
      <c r="H2" s="25"/>
      <c r="I2" s="25"/>
      <c r="J2" s="25"/>
      <c r="K2" s="25"/>
      <c r="L2" s="25"/>
      <c r="M2" s="26"/>
      <c r="N2" s="26"/>
      <c r="T2" s="43" t="s">
        <v>88</v>
      </c>
      <c r="W2" s="43" t="s">
        <v>97</v>
      </c>
    </row>
    <row r="3" spans="1:24" x14ac:dyDescent="0.2">
      <c r="A3" s="27" t="s">
        <v>61</v>
      </c>
      <c r="B3" s="27">
        <v>2016</v>
      </c>
      <c r="C3" s="27" t="s">
        <v>62</v>
      </c>
      <c r="D3" s="27" t="s">
        <v>63</v>
      </c>
      <c r="E3" s="27" t="s">
        <v>64</v>
      </c>
      <c r="F3" s="27" t="s">
        <v>65</v>
      </c>
      <c r="G3" s="28" t="s">
        <v>66</v>
      </c>
      <c r="H3" s="28" t="s">
        <v>67</v>
      </c>
      <c r="I3" s="28" t="s">
        <v>68</v>
      </c>
      <c r="J3" s="28" t="s">
        <v>69</v>
      </c>
      <c r="K3" s="28" t="s">
        <v>70</v>
      </c>
      <c r="L3" s="28" t="s">
        <v>71</v>
      </c>
      <c r="M3" s="43" t="s">
        <v>124</v>
      </c>
      <c r="N3" s="50" t="s">
        <v>62</v>
      </c>
      <c r="O3" s="44" t="s">
        <v>63</v>
      </c>
      <c r="P3" s="28" t="s">
        <v>66</v>
      </c>
      <c r="Q3" s="28" t="s">
        <v>67</v>
      </c>
      <c r="R3" s="28" t="s">
        <v>68</v>
      </c>
      <c r="S3" s="28" t="s">
        <v>69</v>
      </c>
      <c r="T3" s="44" t="s">
        <v>87</v>
      </c>
      <c r="U3" s="44" t="s">
        <v>86</v>
      </c>
      <c r="V3" s="43" t="s">
        <v>124</v>
      </c>
      <c r="W3" s="43" t="s">
        <v>139</v>
      </c>
    </row>
    <row r="4" spans="1:24" x14ac:dyDescent="0.2">
      <c r="A4" s="30" t="s">
        <v>72</v>
      </c>
      <c r="B4" s="33">
        <f>マイワシ!O29</f>
        <v>191.07499999999996</v>
      </c>
      <c r="C4" s="33">
        <f>マイワシ!O28</f>
        <v>50.244</v>
      </c>
      <c r="D4" s="33">
        <f>マイワシ!O32</f>
        <v>52.405799999999985</v>
      </c>
      <c r="E4" s="31">
        <f t="shared" ref="E4:E10" si="0">B4/C4*100</f>
        <v>380.29416447735048</v>
      </c>
      <c r="F4" s="31">
        <f t="shared" ref="F4:F9" si="1">B4/D4*100</f>
        <v>364.60658934698074</v>
      </c>
      <c r="G4" s="30">
        <f t="shared" ref="G4:G10" si="2">0.8*C4</f>
        <v>40.1952</v>
      </c>
      <c r="H4" s="30">
        <f t="shared" ref="H4:H10" si="3">C4*1.2</f>
        <v>60.2928</v>
      </c>
      <c r="I4" s="30">
        <f t="shared" ref="I4:I10" si="4">D4*0.8</f>
        <v>41.924639999999989</v>
      </c>
      <c r="J4" s="30">
        <f t="shared" ref="J4:J10" si="5">D4*1.2</f>
        <v>62.886959999999981</v>
      </c>
      <c r="K4" s="26" t="str">
        <f t="shared" ref="K4:K9" si="6">IF(C4=0,"-",IF(B4&gt;C4*1.2,"上回った",IF(B4&lt;C4*0.8,"下回った","並み")))</f>
        <v>上回った</v>
      </c>
      <c r="L4" s="26" t="str">
        <f t="shared" ref="L4:L9" si="7">IF(D4=0,"-",IF(B4&gt;D4*1.2,"上回った",IF(B4&lt;D4*0.8,"下回った","並み")))</f>
        <v>上回った</v>
      </c>
      <c r="M4" s="43" t="s">
        <v>148</v>
      </c>
      <c r="N4" s="49">
        <f>マイワシ!S28</f>
        <v>4.8819999999999997</v>
      </c>
      <c r="O4" s="48">
        <f>マイワシ!S32</f>
        <v>2.4674</v>
      </c>
      <c r="P4" s="131">
        <f t="shared" ref="P4:P10" si="8">N4*0.8</f>
        <v>3.9055999999999997</v>
      </c>
      <c r="Q4" s="131">
        <f t="shared" ref="Q4:Q9" si="9">N4*1.2</f>
        <v>5.8583999999999996</v>
      </c>
      <c r="R4" s="131">
        <f t="shared" ref="R4:R10" si="10">O4*0.8</f>
        <v>1.9739200000000001</v>
      </c>
      <c r="S4" s="131">
        <f t="shared" ref="S4:S9" si="11">O4*1.2</f>
        <v>2.96088</v>
      </c>
      <c r="T4" s="43" t="s">
        <v>99</v>
      </c>
      <c r="U4" s="43" t="s">
        <v>99</v>
      </c>
      <c r="W4" s="43">
        <v>2011</v>
      </c>
      <c r="X4" s="47">
        <f>マイワシ!R204</f>
        <v>827.6099999999999</v>
      </c>
    </row>
    <row r="5" spans="1:24" x14ac:dyDescent="0.2">
      <c r="A5" s="30" t="s">
        <v>73</v>
      </c>
      <c r="B5" s="33">
        <f>マイワシ!O59</f>
        <v>12.143000000000001</v>
      </c>
      <c r="C5" s="33">
        <f>マイワシ!O58</f>
        <v>179.184</v>
      </c>
      <c r="D5" s="33">
        <f>マイワシ!O62</f>
        <v>65.28479999999999</v>
      </c>
      <c r="E5" s="31">
        <f t="shared" si="0"/>
        <v>6.7768327529243697</v>
      </c>
      <c r="F5" s="31">
        <f t="shared" si="1"/>
        <v>18.600041663603172</v>
      </c>
      <c r="G5" s="30">
        <f t="shared" si="2"/>
        <v>143.34720000000002</v>
      </c>
      <c r="H5" s="30">
        <f t="shared" si="3"/>
        <v>215.02079999999998</v>
      </c>
      <c r="I5" s="30">
        <f t="shared" si="4"/>
        <v>52.227839999999993</v>
      </c>
      <c r="J5" s="30">
        <f t="shared" si="5"/>
        <v>78.341759999999979</v>
      </c>
      <c r="K5" s="26" t="str">
        <f t="shared" si="6"/>
        <v>下回った</v>
      </c>
      <c r="L5" s="26" t="str">
        <f t="shared" si="7"/>
        <v>下回った</v>
      </c>
      <c r="M5" s="43" t="s">
        <v>148</v>
      </c>
      <c r="N5" s="49">
        <f>マイワシ!S58</f>
        <v>0</v>
      </c>
      <c r="O5" s="48">
        <f>マイワシ!S62</f>
        <v>5.9299999999999999E-2</v>
      </c>
      <c r="P5" s="131">
        <f t="shared" si="8"/>
        <v>0</v>
      </c>
      <c r="Q5" s="131">
        <f t="shared" si="9"/>
        <v>0</v>
      </c>
      <c r="R5" s="131">
        <f t="shared" si="10"/>
        <v>4.7440000000000003E-2</v>
      </c>
      <c r="S5" s="131">
        <f t="shared" si="11"/>
        <v>7.1160000000000001E-2</v>
      </c>
      <c r="T5" s="43" t="s">
        <v>127</v>
      </c>
      <c r="W5" s="43">
        <v>2012</v>
      </c>
      <c r="X5" s="47">
        <f>マイワシ!R205</f>
        <v>667.89339999999993</v>
      </c>
    </row>
    <row r="6" spans="1:24" x14ac:dyDescent="0.2">
      <c r="A6" s="30" t="s">
        <v>74</v>
      </c>
      <c r="B6" s="33">
        <f>マイワシ!O89</f>
        <v>0</v>
      </c>
      <c r="C6" s="33">
        <f>マイワシ!O88</f>
        <v>1.6E-2</v>
      </c>
      <c r="D6" s="33">
        <f>マイワシ!O92</f>
        <v>0.29759999999999998</v>
      </c>
      <c r="E6" s="31">
        <f>B6/C6*100</f>
        <v>0</v>
      </c>
      <c r="F6" s="31">
        <f t="shared" si="1"/>
        <v>0</v>
      </c>
      <c r="G6" s="30">
        <f t="shared" si="2"/>
        <v>1.2800000000000001E-2</v>
      </c>
      <c r="H6" s="30">
        <f t="shared" si="3"/>
        <v>1.9199999999999998E-2</v>
      </c>
      <c r="I6" s="30">
        <f t="shared" si="4"/>
        <v>0.23807999999999999</v>
      </c>
      <c r="J6" s="30">
        <f t="shared" si="5"/>
        <v>0.35711999999999994</v>
      </c>
      <c r="K6" s="26" t="str">
        <f t="shared" si="6"/>
        <v>下回った</v>
      </c>
      <c r="L6" s="26" t="str">
        <f t="shared" si="7"/>
        <v>下回った</v>
      </c>
      <c r="M6" s="43" t="s">
        <v>148</v>
      </c>
      <c r="N6" s="49">
        <f>マイワシ!S88</f>
        <v>0.08</v>
      </c>
      <c r="O6" s="48">
        <f>マイワシ!S92</f>
        <v>2.5564800000000005</v>
      </c>
      <c r="P6" s="131">
        <f t="shared" si="8"/>
        <v>6.4000000000000001E-2</v>
      </c>
      <c r="Q6" s="131">
        <f t="shared" si="9"/>
        <v>9.6000000000000002E-2</v>
      </c>
      <c r="R6" s="131">
        <f t="shared" si="10"/>
        <v>2.0451840000000003</v>
      </c>
      <c r="S6" s="131">
        <f t="shared" si="11"/>
        <v>3.0677760000000007</v>
      </c>
      <c r="T6" s="43" t="s">
        <v>99</v>
      </c>
      <c r="U6" s="43" t="s">
        <v>94</v>
      </c>
      <c r="W6" s="43">
        <v>2013</v>
      </c>
      <c r="X6" s="47">
        <f>マイワシ!R206</f>
        <v>2432.8890000000001</v>
      </c>
    </row>
    <row r="7" spans="1:24" x14ac:dyDescent="0.2">
      <c r="A7" s="30" t="s">
        <v>75</v>
      </c>
      <c r="B7" s="33">
        <f>マイワシ!O119</f>
        <v>2440.6869999999999</v>
      </c>
      <c r="C7" s="33">
        <f>マイワシ!O118</f>
        <v>109.54200000000002</v>
      </c>
      <c r="D7" s="33">
        <f>マイワシ!O122</f>
        <v>881.53</v>
      </c>
      <c r="E7" s="31">
        <f t="shared" si="0"/>
        <v>2228.083292253199</v>
      </c>
      <c r="F7" s="31">
        <f t="shared" si="1"/>
        <v>276.86942021258494</v>
      </c>
      <c r="G7" s="30">
        <f t="shared" si="2"/>
        <v>87.633600000000015</v>
      </c>
      <c r="H7" s="30">
        <f t="shared" si="3"/>
        <v>131.4504</v>
      </c>
      <c r="I7" s="30">
        <f t="shared" si="4"/>
        <v>705.22400000000005</v>
      </c>
      <c r="J7" s="30">
        <f t="shared" si="5"/>
        <v>1057.836</v>
      </c>
      <c r="K7" s="26" t="str">
        <f t="shared" si="6"/>
        <v>上回った</v>
      </c>
      <c r="L7" s="26" t="str">
        <f t="shared" si="7"/>
        <v>上回った</v>
      </c>
      <c r="M7" s="43" t="s">
        <v>148</v>
      </c>
      <c r="N7" s="49">
        <f>マイワシ!S118</f>
        <v>312.63900000000001</v>
      </c>
      <c r="O7" s="48">
        <f>マイワシ!S122</f>
        <v>932.65319999999997</v>
      </c>
      <c r="P7" s="131">
        <f t="shared" si="8"/>
        <v>250.11120000000003</v>
      </c>
      <c r="Q7" s="131">
        <f t="shared" si="9"/>
        <v>375.16680000000002</v>
      </c>
      <c r="R7" s="131">
        <f t="shared" si="10"/>
        <v>746.12256000000002</v>
      </c>
      <c r="S7" s="131">
        <f t="shared" si="11"/>
        <v>1119.1838399999999</v>
      </c>
      <c r="T7" s="43" t="s">
        <v>99</v>
      </c>
      <c r="U7" s="43" t="s">
        <v>99</v>
      </c>
      <c r="W7" s="43">
        <v>2014</v>
      </c>
      <c r="X7" s="47">
        <f>マイワシ!R207</f>
        <v>1311.0419999999999</v>
      </c>
    </row>
    <row r="8" spans="1:24" x14ac:dyDescent="0.2">
      <c r="A8" s="30" t="s">
        <v>76</v>
      </c>
      <c r="B8" s="33">
        <f>マイワシ!O149</f>
        <v>88.902000000000001</v>
      </c>
      <c r="C8" s="33">
        <f>マイワシ!O148</f>
        <v>106.68600000000001</v>
      </c>
      <c r="D8" s="33">
        <f>マイワシ!O152</f>
        <v>412.81920000000002</v>
      </c>
      <c r="E8" s="31">
        <f t="shared" si="0"/>
        <v>83.330521343006581</v>
      </c>
      <c r="F8" s="31">
        <f t="shared" si="1"/>
        <v>21.535335565787637</v>
      </c>
      <c r="G8" s="30">
        <f t="shared" si="2"/>
        <v>85.348800000000011</v>
      </c>
      <c r="H8" s="30">
        <f t="shared" si="3"/>
        <v>128.0232</v>
      </c>
      <c r="I8" s="30">
        <f t="shared" si="4"/>
        <v>330.25536000000005</v>
      </c>
      <c r="J8" s="30">
        <f t="shared" si="5"/>
        <v>495.38303999999999</v>
      </c>
      <c r="K8" s="26" t="str">
        <f t="shared" si="6"/>
        <v>並み</v>
      </c>
      <c r="L8" s="26" t="str">
        <f t="shared" si="7"/>
        <v>下回った</v>
      </c>
      <c r="M8" s="43" t="s">
        <v>148</v>
      </c>
      <c r="N8" s="49">
        <f>マイワシ!S148</f>
        <v>610.65</v>
      </c>
      <c r="O8" s="48">
        <f>マイワシ!S152</f>
        <v>343.95479999999998</v>
      </c>
      <c r="P8" s="131">
        <f t="shared" si="8"/>
        <v>488.52</v>
      </c>
      <c r="Q8" s="131">
        <f t="shared" si="9"/>
        <v>732.78</v>
      </c>
      <c r="R8" s="131">
        <f t="shared" si="10"/>
        <v>275.16383999999999</v>
      </c>
      <c r="S8" s="131">
        <f t="shared" si="11"/>
        <v>412.74575999999996</v>
      </c>
      <c r="T8" s="43" t="s">
        <v>93</v>
      </c>
      <c r="U8" s="43" t="s">
        <v>93</v>
      </c>
      <c r="W8" s="43" t="s">
        <v>95</v>
      </c>
      <c r="X8" s="47">
        <f>マイワシ!R208</f>
        <v>5836.7119999999995</v>
      </c>
    </row>
    <row r="9" spans="1:24" x14ac:dyDescent="0.2">
      <c r="A9" s="30" t="s">
        <v>77</v>
      </c>
      <c r="B9" s="33">
        <f>マイワシ!O179</f>
        <v>2166.777</v>
      </c>
      <c r="C9" s="33">
        <f>マイワシ!O178</f>
        <v>729.32100000000003</v>
      </c>
      <c r="D9" s="33">
        <f>マイワシ!O182</f>
        <v>1897.2105999999999</v>
      </c>
      <c r="E9" s="31">
        <f t="shared" si="0"/>
        <v>297.09510627007865</v>
      </c>
      <c r="F9" s="31">
        <f t="shared" si="1"/>
        <v>114.20856493211666</v>
      </c>
      <c r="G9" s="30">
        <f t="shared" si="2"/>
        <v>583.45680000000004</v>
      </c>
      <c r="H9" s="30">
        <f t="shared" si="3"/>
        <v>875.18520000000001</v>
      </c>
      <c r="I9" s="30">
        <f t="shared" si="4"/>
        <v>1517.76848</v>
      </c>
      <c r="J9" s="30">
        <f t="shared" si="5"/>
        <v>2276.6527199999996</v>
      </c>
      <c r="K9" s="26" t="str">
        <f t="shared" si="6"/>
        <v>上回った</v>
      </c>
      <c r="L9" s="26" t="str">
        <f t="shared" si="7"/>
        <v>並み</v>
      </c>
      <c r="M9" s="43" t="s">
        <v>148</v>
      </c>
      <c r="N9" s="49">
        <f>マイワシ!S178</f>
        <v>4908.4610000000002</v>
      </c>
      <c r="O9" s="48">
        <f>マイワシ!S182</f>
        <v>1507.1512</v>
      </c>
      <c r="P9" s="131">
        <f t="shared" si="8"/>
        <v>3926.7688000000003</v>
      </c>
      <c r="Q9" s="131">
        <f t="shared" si="9"/>
        <v>5890.1531999999997</v>
      </c>
      <c r="R9" s="131">
        <f t="shared" si="10"/>
        <v>1205.7209600000001</v>
      </c>
      <c r="S9" s="131">
        <f t="shared" si="11"/>
        <v>1808.5814399999999</v>
      </c>
      <c r="T9" s="43" t="s">
        <v>93</v>
      </c>
      <c r="U9" s="43" t="s">
        <v>94</v>
      </c>
      <c r="W9" s="43" t="s">
        <v>96</v>
      </c>
      <c r="X9" s="47">
        <f>マイワシ!R212</f>
        <v>2788.8423799999996</v>
      </c>
    </row>
    <row r="10" spans="1:24" x14ac:dyDescent="0.2">
      <c r="A10" s="27" t="s">
        <v>78</v>
      </c>
      <c r="B10" s="104">
        <f>SUM(B4:B9)</f>
        <v>4899.5839999999998</v>
      </c>
      <c r="C10" s="35">
        <f>SUM(C4:C9)</f>
        <v>1174.9929999999999</v>
      </c>
      <c r="D10" s="35">
        <f>SUM(D4:D9)</f>
        <v>3309.5479999999998</v>
      </c>
      <c r="E10" s="27">
        <f t="shared" si="0"/>
        <v>416.98835652637933</v>
      </c>
      <c r="F10" s="27">
        <f>B10/D10*100</f>
        <v>148.04390206759354</v>
      </c>
      <c r="G10" s="27">
        <f t="shared" si="2"/>
        <v>939.99440000000004</v>
      </c>
      <c r="H10" s="27">
        <f t="shared" si="3"/>
        <v>1409.9915999999998</v>
      </c>
      <c r="I10" s="27">
        <f t="shared" si="4"/>
        <v>2647.6383999999998</v>
      </c>
      <c r="J10" s="27">
        <f t="shared" si="5"/>
        <v>3971.4575999999997</v>
      </c>
      <c r="K10" s="101" t="str">
        <f>IF(B10&gt;C10*1.2,"上回った",IF(B10&lt;C10*0.8,"下回った","並み"))</f>
        <v>上回った</v>
      </c>
      <c r="L10" s="101" t="str">
        <f>IF(B10&gt;D10*1.2,"上回った",IF(B10&lt;D10*0.8,"下回った","並み"))</f>
        <v>上回った</v>
      </c>
      <c r="M10" s="26"/>
      <c r="N10" s="46">
        <f>SUM(N4:N9)</f>
        <v>5836.7120000000004</v>
      </c>
      <c r="O10" s="46">
        <f>SUM(O4:O9)</f>
        <v>2788.84238</v>
      </c>
      <c r="P10" s="45">
        <f t="shared" si="8"/>
        <v>4669.3696000000009</v>
      </c>
      <c r="Q10" s="45">
        <f>N10*1.2</f>
        <v>7004.0544</v>
      </c>
      <c r="R10" s="45">
        <f t="shared" si="10"/>
        <v>2231.0739040000003</v>
      </c>
      <c r="S10" s="45">
        <f>O10*1.2</f>
        <v>3346.6108559999998</v>
      </c>
      <c r="T10" s="44"/>
      <c r="U10" s="44"/>
    </row>
    <row r="11" spans="1:24" x14ac:dyDescent="0.2">
      <c r="A11" s="25"/>
      <c r="B11" s="30"/>
      <c r="C11" s="30"/>
      <c r="D11" s="30"/>
      <c r="E11" s="30"/>
      <c r="F11" s="30"/>
      <c r="G11" s="30"/>
      <c r="H11" s="30"/>
      <c r="I11" s="30"/>
      <c r="J11" s="30"/>
      <c r="K11" s="26"/>
      <c r="L11" s="26"/>
      <c r="M11" s="26"/>
      <c r="N11" s="49"/>
      <c r="O11" s="48"/>
    </row>
    <row r="12" spans="1:24" x14ac:dyDescent="0.2">
      <c r="A12" s="26"/>
      <c r="B12" s="32"/>
      <c r="C12" s="32"/>
      <c r="D12" s="32"/>
      <c r="E12" s="32"/>
      <c r="F12" s="32"/>
      <c r="G12" s="32"/>
      <c r="H12" s="32"/>
      <c r="I12" s="32"/>
      <c r="J12" s="32"/>
      <c r="K12" s="33"/>
      <c r="L12" s="33"/>
      <c r="M12" s="26"/>
      <c r="N12" s="49"/>
      <c r="O12" s="48"/>
      <c r="T12" s="43" t="s">
        <v>88</v>
      </c>
    </row>
    <row r="13" spans="1:24" x14ac:dyDescent="0.2">
      <c r="A13" s="28" t="s">
        <v>79</v>
      </c>
      <c r="B13" s="27">
        <v>2016</v>
      </c>
      <c r="C13" s="27" t="s">
        <v>62</v>
      </c>
      <c r="D13" s="27" t="s">
        <v>63</v>
      </c>
      <c r="E13" s="27" t="s">
        <v>64</v>
      </c>
      <c r="F13" s="27" t="s">
        <v>65</v>
      </c>
      <c r="G13" s="27" t="s">
        <v>66</v>
      </c>
      <c r="H13" s="27" t="s">
        <v>67</v>
      </c>
      <c r="I13" s="27" t="s">
        <v>68</v>
      </c>
      <c r="J13" s="27" t="s">
        <v>69</v>
      </c>
      <c r="K13" s="28" t="s">
        <v>70</v>
      </c>
      <c r="L13" s="28" t="s">
        <v>71</v>
      </c>
      <c r="M13" s="43" t="s">
        <v>124</v>
      </c>
      <c r="N13" s="128" t="s">
        <v>62</v>
      </c>
      <c r="O13" s="129" t="s">
        <v>63</v>
      </c>
      <c r="P13" s="28" t="s">
        <v>66</v>
      </c>
      <c r="Q13" s="28" t="s">
        <v>67</v>
      </c>
      <c r="R13" s="28" t="s">
        <v>68</v>
      </c>
      <c r="S13" s="28" t="s">
        <v>69</v>
      </c>
      <c r="T13" s="44" t="s">
        <v>87</v>
      </c>
      <c r="U13" s="44" t="s">
        <v>86</v>
      </c>
    </row>
    <row r="14" spans="1:24" x14ac:dyDescent="0.2">
      <c r="A14" s="25" t="s">
        <v>72</v>
      </c>
      <c r="B14" s="32">
        <f>ウルメイワシ!O29</f>
        <v>33.980000000000004</v>
      </c>
      <c r="C14" s="32">
        <f>ウルメイワシ!O28</f>
        <v>25.66</v>
      </c>
      <c r="D14" s="32">
        <f>ウルメイワシ!O32</f>
        <v>34.091999999999999</v>
      </c>
      <c r="E14" s="31">
        <f t="shared" ref="E14:E20" si="12">B14/C14*100</f>
        <v>132.42400623538583</v>
      </c>
      <c r="F14" s="31">
        <f t="shared" ref="F14:F20" si="13">B14/D14*100</f>
        <v>99.671477179396945</v>
      </c>
      <c r="G14" s="30">
        <f t="shared" ref="G14:G20" si="14">0.8*C14</f>
        <v>20.528000000000002</v>
      </c>
      <c r="H14" s="30">
        <f t="shared" ref="H14:H20" si="15">C14*1.2</f>
        <v>30.791999999999998</v>
      </c>
      <c r="I14" s="30">
        <f t="shared" ref="I14:I20" si="16">D14*0.8</f>
        <v>27.273600000000002</v>
      </c>
      <c r="J14" s="30">
        <f t="shared" ref="J14:J20" si="17">D14*1.2</f>
        <v>40.910399999999996</v>
      </c>
      <c r="K14" s="26" t="str">
        <f t="shared" ref="K14:K19" si="18">IF(C14=0,"-",IF(B14&gt;C14*1.2,"上回った",IF(B14&lt;C14*0.8,"下回った","並み")))</f>
        <v>上回った</v>
      </c>
      <c r="L14" s="26" t="str">
        <f t="shared" ref="L14:L19" si="19">IF(D14=0,"-",IF(B14&gt;D14*1.2,"上回った",IF(B14&lt;D14*0.8,"下回った","並み")))</f>
        <v>並み</v>
      </c>
      <c r="M14" s="26" t="s">
        <v>148</v>
      </c>
      <c r="N14" s="49">
        <f>ウルメイワシ!R28</f>
        <v>13.04</v>
      </c>
      <c r="O14" s="48">
        <f>ウルメイワシ!R32</f>
        <v>8.1080000000000005</v>
      </c>
      <c r="P14" s="47">
        <f t="shared" ref="P14:P19" si="20">N14*0.8</f>
        <v>10.432</v>
      </c>
      <c r="Q14" s="47">
        <f t="shared" ref="Q14:Q19" si="21">N14*1.2</f>
        <v>15.647999999999998</v>
      </c>
      <c r="R14" s="47">
        <f t="shared" ref="R14:R20" si="22">O14*0.8</f>
        <v>6.4864000000000006</v>
      </c>
      <c r="S14" s="47">
        <f>O14*1.2</f>
        <v>9.7295999999999996</v>
      </c>
      <c r="T14" s="43" t="s">
        <v>142</v>
      </c>
      <c r="W14" s="43">
        <v>2011</v>
      </c>
      <c r="X14" s="47">
        <f>ウルメイワシ!R204</f>
        <v>3431.9930000000004</v>
      </c>
    </row>
    <row r="15" spans="1:24" x14ac:dyDescent="0.2">
      <c r="A15" s="25" t="s">
        <v>73</v>
      </c>
      <c r="B15" s="32">
        <f>ウルメイワシ!O59</f>
        <v>64.86</v>
      </c>
      <c r="C15" s="32">
        <f>ウルメイワシ!O58</f>
        <v>62.079000000000001</v>
      </c>
      <c r="D15" s="32">
        <f>ウルメイワシ!O62</f>
        <v>58.628399999999999</v>
      </c>
      <c r="E15" s="31">
        <f t="shared" si="12"/>
        <v>104.47977576958391</v>
      </c>
      <c r="F15" s="31">
        <f>B15/D15*100</f>
        <v>110.6289784473054</v>
      </c>
      <c r="G15" s="30">
        <f t="shared" si="14"/>
        <v>49.663200000000003</v>
      </c>
      <c r="H15" s="30">
        <f t="shared" si="15"/>
        <v>74.494799999999998</v>
      </c>
      <c r="I15" s="30">
        <f t="shared" si="16"/>
        <v>46.902720000000002</v>
      </c>
      <c r="J15" s="30">
        <f t="shared" si="17"/>
        <v>70.354079999999996</v>
      </c>
      <c r="K15" s="26" t="str">
        <f t="shared" si="18"/>
        <v>並み</v>
      </c>
      <c r="L15" s="26" t="str">
        <f t="shared" si="19"/>
        <v>並み</v>
      </c>
      <c r="M15" s="26" t="s">
        <v>148</v>
      </c>
      <c r="N15" s="49">
        <f>ウルメイワシ!R58</f>
        <v>0</v>
      </c>
      <c r="O15" s="48">
        <f>ウルメイワシ!R62</f>
        <v>0.126</v>
      </c>
      <c r="P15" s="47">
        <f t="shared" si="20"/>
        <v>0</v>
      </c>
      <c r="Q15" s="47">
        <f t="shared" si="21"/>
        <v>0</v>
      </c>
      <c r="R15" s="47">
        <f t="shared" si="22"/>
        <v>0.1008</v>
      </c>
      <c r="S15" s="47">
        <f t="shared" ref="S15:S20" si="23">O15*1.2</f>
        <v>0.1512</v>
      </c>
      <c r="T15" s="43" t="s">
        <v>127</v>
      </c>
      <c r="W15" s="43">
        <v>2012</v>
      </c>
      <c r="X15" s="47">
        <f>ウルメイワシ!R205</f>
        <v>4885.7379999999994</v>
      </c>
    </row>
    <row r="16" spans="1:24" x14ac:dyDescent="0.2">
      <c r="A16" s="25" t="s">
        <v>74</v>
      </c>
      <c r="B16" s="32">
        <f>ウルメイワシ!O89</f>
        <v>0.33699999999999997</v>
      </c>
      <c r="C16" s="32">
        <f>ウルメイワシ!O88</f>
        <v>0</v>
      </c>
      <c r="D16" s="32">
        <f>ウルメイワシ!O92</f>
        <v>0.25939999999999996</v>
      </c>
      <c r="E16" s="31" t="e">
        <f t="shared" si="12"/>
        <v>#DIV/0!</v>
      </c>
      <c r="F16" s="31">
        <f t="shared" si="13"/>
        <v>129.91518889745569</v>
      </c>
      <c r="G16" s="30">
        <f t="shared" si="14"/>
        <v>0</v>
      </c>
      <c r="H16" s="30">
        <f t="shared" si="15"/>
        <v>0</v>
      </c>
      <c r="I16" s="30">
        <f t="shared" si="16"/>
        <v>0.20751999999999998</v>
      </c>
      <c r="J16" s="30">
        <f t="shared" si="17"/>
        <v>0.31127999999999995</v>
      </c>
      <c r="K16" s="26" t="str">
        <f t="shared" si="18"/>
        <v>-</v>
      </c>
      <c r="L16" s="26" t="str">
        <f t="shared" si="19"/>
        <v>上回った</v>
      </c>
      <c r="M16" s="26" t="s">
        <v>148</v>
      </c>
      <c r="N16" s="49">
        <f>ウルメイワシ!R88</f>
        <v>2.6720000000000002</v>
      </c>
      <c r="O16" s="48">
        <f>ウルメイワシ!R92</f>
        <v>0.95008000000000004</v>
      </c>
      <c r="P16" s="47">
        <f t="shared" si="20"/>
        <v>2.1376000000000004</v>
      </c>
      <c r="Q16" s="47">
        <f t="shared" si="21"/>
        <v>3.2063999999999999</v>
      </c>
      <c r="R16" s="47">
        <f t="shared" si="22"/>
        <v>0.76006400000000007</v>
      </c>
      <c r="S16" s="47">
        <f t="shared" si="23"/>
        <v>1.140096</v>
      </c>
      <c r="T16" s="43" t="s">
        <v>142</v>
      </c>
      <c r="W16" s="43">
        <v>2013</v>
      </c>
      <c r="X16" s="47">
        <f>ウルメイワシ!R206</f>
        <v>7237.1820000000016</v>
      </c>
    </row>
    <row r="17" spans="1:24" x14ac:dyDescent="0.2">
      <c r="A17" s="25" t="s">
        <v>75</v>
      </c>
      <c r="B17" s="32">
        <f>ウルメイワシ!O119</f>
        <v>7815.54</v>
      </c>
      <c r="C17" s="32">
        <f>ウルメイワシ!O118</f>
        <v>1105.239</v>
      </c>
      <c r="D17" s="32">
        <f>ウルメイワシ!O122</f>
        <v>3337.5875999999998</v>
      </c>
      <c r="E17" s="31">
        <f t="shared" si="12"/>
        <v>707.13574168121102</v>
      </c>
      <c r="F17" s="31">
        <f t="shared" si="13"/>
        <v>234.16733691124691</v>
      </c>
      <c r="G17" s="30">
        <f t="shared" si="14"/>
        <v>884.19120000000009</v>
      </c>
      <c r="H17" s="30">
        <f t="shared" si="15"/>
        <v>1326.2868000000001</v>
      </c>
      <c r="I17" s="30">
        <f t="shared" si="16"/>
        <v>2670.07008</v>
      </c>
      <c r="J17" s="30">
        <f t="shared" si="17"/>
        <v>4005.1051199999997</v>
      </c>
      <c r="K17" s="26" t="str">
        <f t="shared" si="18"/>
        <v>上回った</v>
      </c>
      <c r="L17" s="26" t="str">
        <f t="shared" si="19"/>
        <v>上回った</v>
      </c>
      <c r="M17" s="26" t="s">
        <v>148</v>
      </c>
      <c r="N17" s="49">
        <f>ウルメイワシ!R118</f>
        <v>8745.4710000000014</v>
      </c>
      <c r="O17" s="48">
        <f>ウルメイワシ!R122</f>
        <v>4466.8552</v>
      </c>
      <c r="P17" s="47">
        <f t="shared" si="20"/>
        <v>6996.3768000000018</v>
      </c>
      <c r="Q17" s="47">
        <f t="shared" si="21"/>
        <v>10494.565200000001</v>
      </c>
      <c r="R17" s="47">
        <f t="shared" si="22"/>
        <v>3573.48416</v>
      </c>
      <c r="S17" s="47">
        <f t="shared" si="23"/>
        <v>5360.22624</v>
      </c>
      <c r="T17" s="43" t="s">
        <v>99</v>
      </c>
      <c r="U17" s="43" t="s">
        <v>99</v>
      </c>
      <c r="W17" s="43">
        <v>2014</v>
      </c>
      <c r="X17" s="47">
        <f>ウルメイワシ!R207</f>
        <v>5245.8760000000002</v>
      </c>
    </row>
    <row r="18" spans="1:24" x14ac:dyDescent="0.2">
      <c r="A18" s="25" t="s">
        <v>76</v>
      </c>
      <c r="B18" s="32">
        <f>ウルメイワシ!O149</f>
        <v>815.92200000000003</v>
      </c>
      <c r="C18" s="32">
        <f>ウルメイワシ!O148</f>
        <v>1468.836</v>
      </c>
      <c r="D18" s="32">
        <f>ウルメイワシ!O152</f>
        <v>1056.2747999999999</v>
      </c>
      <c r="E18" s="31">
        <f t="shared" si="12"/>
        <v>55.548883605793975</v>
      </c>
      <c r="F18" s="31">
        <f t="shared" si="13"/>
        <v>77.245239591060965</v>
      </c>
      <c r="G18" s="30">
        <f t="shared" si="14"/>
        <v>1175.0688</v>
      </c>
      <c r="H18" s="30">
        <f t="shared" si="15"/>
        <v>1762.6032</v>
      </c>
      <c r="I18" s="30">
        <f t="shared" si="16"/>
        <v>845.01983999999993</v>
      </c>
      <c r="J18" s="30">
        <f t="shared" si="17"/>
        <v>1267.5297599999999</v>
      </c>
      <c r="K18" s="26" t="str">
        <f t="shared" si="18"/>
        <v>下回った</v>
      </c>
      <c r="L18" s="26" t="str">
        <f t="shared" si="19"/>
        <v>下回った</v>
      </c>
      <c r="M18" s="26" t="s">
        <v>148</v>
      </c>
      <c r="N18" s="49">
        <f>ウルメイワシ!R148</f>
        <v>2381.598</v>
      </c>
      <c r="O18" s="48">
        <f>ウルメイワシ!R152</f>
        <v>2002.4459999999999</v>
      </c>
      <c r="P18" s="47">
        <f t="shared" si="20"/>
        <v>1905.2784000000001</v>
      </c>
      <c r="Q18" s="47">
        <f t="shared" si="21"/>
        <v>2857.9175999999998</v>
      </c>
      <c r="R18" s="47">
        <f t="shared" si="22"/>
        <v>1601.9567999999999</v>
      </c>
      <c r="S18" s="47">
        <f t="shared" si="23"/>
        <v>2402.9351999999999</v>
      </c>
      <c r="T18" s="43" t="s">
        <v>93</v>
      </c>
      <c r="U18" s="43" t="s">
        <v>94</v>
      </c>
      <c r="W18" s="43" t="s">
        <v>95</v>
      </c>
      <c r="X18" s="47">
        <f>ウルメイワシ!R208</f>
        <v>16205.115000000002</v>
      </c>
    </row>
    <row r="19" spans="1:24" x14ac:dyDescent="0.2">
      <c r="A19" s="25" t="s">
        <v>77</v>
      </c>
      <c r="B19" s="32">
        <f>ウルメイワシ!O179</f>
        <v>2927.2190000000001</v>
      </c>
      <c r="C19" s="32">
        <f>ウルメイワシ!O178</f>
        <v>828.96500000000003</v>
      </c>
      <c r="D19" s="32">
        <f>ウルメイワシ!O182</f>
        <v>2711.8048000000003</v>
      </c>
      <c r="E19" s="31">
        <f t="shared" si="12"/>
        <v>353.11732099666455</v>
      </c>
      <c r="F19" s="31">
        <f t="shared" si="13"/>
        <v>107.94357322473947</v>
      </c>
      <c r="G19" s="30">
        <f t="shared" si="14"/>
        <v>663.17200000000003</v>
      </c>
      <c r="H19" s="30">
        <f t="shared" si="15"/>
        <v>994.75800000000004</v>
      </c>
      <c r="I19" s="30">
        <f t="shared" si="16"/>
        <v>2169.4438400000004</v>
      </c>
      <c r="J19" s="30">
        <f t="shared" si="17"/>
        <v>3254.1657600000003</v>
      </c>
      <c r="K19" s="26" t="str">
        <f t="shared" si="18"/>
        <v>上回った</v>
      </c>
      <c r="L19" s="26" t="str">
        <f t="shared" si="19"/>
        <v>並み</v>
      </c>
      <c r="M19" s="26" t="s">
        <v>148</v>
      </c>
      <c r="N19" s="49">
        <f>ウルメイワシ!R178</f>
        <v>5062.3339999999998</v>
      </c>
      <c r="O19" s="48">
        <f>ウルメイワシ!R182</f>
        <v>3060.5463999999997</v>
      </c>
      <c r="P19" s="47">
        <f t="shared" si="20"/>
        <v>4049.8672000000001</v>
      </c>
      <c r="Q19" s="47">
        <f t="shared" si="21"/>
        <v>6074.8008</v>
      </c>
      <c r="R19" s="47">
        <f t="shared" si="22"/>
        <v>2448.43712</v>
      </c>
      <c r="S19" s="47">
        <f t="shared" si="23"/>
        <v>3672.6556799999994</v>
      </c>
      <c r="T19" s="43" t="s">
        <v>93</v>
      </c>
      <c r="U19" s="43" t="s">
        <v>94</v>
      </c>
      <c r="W19" s="43" t="s">
        <v>96</v>
      </c>
      <c r="X19" s="47">
        <f>ウルメイワシ!R212</f>
        <v>9539.0316800000019</v>
      </c>
    </row>
    <row r="20" spans="1:24" x14ac:dyDescent="0.2">
      <c r="A20" s="28" t="s">
        <v>78</v>
      </c>
      <c r="B20" s="34">
        <f>SUM(B14:B19)</f>
        <v>11657.858</v>
      </c>
      <c r="C20" s="27">
        <f>SUM(C14:C19)</f>
        <v>3490.7790000000005</v>
      </c>
      <c r="D20" s="27">
        <f>SUM(D14:D19)</f>
        <v>7198.6470000000008</v>
      </c>
      <c r="E20" s="27">
        <f t="shared" si="12"/>
        <v>333.96150257578603</v>
      </c>
      <c r="F20" s="27">
        <f t="shared" si="13"/>
        <v>161.94512663282418</v>
      </c>
      <c r="G20" s="27">
        <f t="shared" si="14"/>
        <v>2792.6232000000005</v>
      </c>
      <c r="H20" s="27">
        <f t="shared" si="15"/>
        <v>4188.9348</v>
      </c>
      <c r="I20" s="27">
        <f t="shared" si="16"/>
        <v>5758.9176000000007</v>
      </c>
      <c r="J20" s="27">
        <f t="shared" si="17"/>
        <v>8638.376400000001</v>
      </c>
      <c r="K20" s="101" t="str">
        <f>IF(B20&gt;C20*1.2,"上回った",IF(B20&lt;C20*0.8,"下回った","並み"))</f>
        <v>上回った</v>
      </c>
      <c r="L20" s="101" t="str">
        <f>IF(B20&gt;D20*1.2,"上回った",IF(B20&lt;D20*0.8,"下回った","並み"))</f>
        <v>上回った</v>
      </c>
      <c r="M20" s="26"/>
      <c r="N20" s="46">
        <f>SUM(N14:N19)</f>
        <v>16205.115000000002</v>
      </c>
      <c r="O20" s="46">
        <f>SUM(O14:O19)</f>
        <v>9539.0316800000001</v>
      </c>
      <c r="P20" s="45">
        <f>N20*0.8</f>
        <v>12964.092000000002</v>
      </c>
      <c r="Q20" s="45">
        <f>N20*1.2</f>
        <v>19446.138000000003</v>
      </c>
      <c r="R20" s="45">
        <f t="shared" si="22"/>
        <v>7631.2253440000004</v>
      </c>
      <c r="S20" s="45">
        <f t="shared" si="23"/>
        <v>11446.838016</v>
      </c>
      <c r="T20" s="44"/>
      <c r="U20" s="44"/>
    </row>
    <row r="21" spans="1:24" x14ac:dyDescent="0.2">
      <c r="A21" s="26"/>
      <c r="B21" s="32"/>
      <c r="C21" s="32"/>
      <c r="D21" s="32"/>
      <c r="E21" s="32"/>
      <c r="F21" s="32"/>
      <c r="G21" s="32"/>
      <c r="H21" s="32"/>
      <c r="I21" s="32"/>
      <c r="J21" s="32"/>
      <c r="K21" s="33"/>
      <c r="L21" s="33"/>
      <c r="M21" s="26"/>
      <c r="N21" s="49"/>
      <c r="O21" s="48"/>
    </row>
    <row r="22" spans="1:24" x14ac:dyDescent="0.2">
      <c r="A22" s="25"/>
      <c r="B22" s="25"/>
      <c r="C22" s="25"/>
      <c r="D22" s="25"/>
      <c r="E22" s="30"/>
      <c r="F22" s="30"/>
      <c r="G22" s="25"/>
      <c r="H22" s="25"/>
      <c r="I22" s="25"/>
      <c r="J22" s="25"/>
      <c r="K22" s="33"/>
      <c r="L22" s="33"/>
      <c r="M22" s="26"/>
      <c r="N22" s="49"/>
      <c r="O22" s="48"/>
      <c r="T22" s="43" t="s">
        <v>88</v>
      </c>
    </row>
    <row r="23" spans="1:24" x14ac:dyDescent="0.2">
      <c r="A23" s="28" t="s">
        <v>80</v>
      </c>
      <c r="B23" s="27">
        <v>2016</v>
      </c>
      <c r="C23" s="28" t="s">
        <v>62</v>
      </c>
      <c r="D23" s="28" t="s">
        <v>63</v>
      </c>
      <c r="E23" s="27" t="s">
        <v>64</v>
      </c>
      <c r="F23" s="27" t="s">
        <v>65</v>
      </c>
      <c r="G23" s="28" t="s">
        <v>66</v>
      </c>
      <c r="H23" s="28" t="s">
        <v>67</v>
      </c>
      <c r="I23" s="28" t="s">
        <v>68</v>
      </c>
      <c r="J23" s="28" t="s">
        <v>69</v>
      </c>
      <c r="K23" s="28" t="s">
        <v>70</v>
      </c>
      <c r="L23" s="28" t="s">
        <v>71</v>
      </c>
      <c r="M23" s="43" t="s">
        <v>124</v>
      </c>
      <c r="N23" s="128" t="s">
        <v>62</v>
      </c>
      <c r="O23" s="129" t="s">
        <v>63</v>
      </c>
      <c r="P23" s="28" t="s">
        <v>66</v>
      </c>
      <c r="Q23" s="28" t="s">
        <v>67</v>
      </c>
      <c r="R23" s="28" t="s">
        <v>68</v>
      </c>
      <c r="S23" s="28" t="s">
        <v>69</v>
      </c>
      <c r="T23" s="44" t="s">
        <v>87</v>
      </c>
      <c r="U23" s="44" t="s">
        <v>86</v>
      </c>
    </row>
    <row r="24" spans="1:24" x14ac:dyDescent="0.2">
      <c r="A24" s="25" t="s">
        <v>72</v>
      </c>
      <c r="B24" s="30">
        <f>カタクチイワシ!O29</f>
        <v>222.28</v>
      </c>
      <c r="C24" s="30">
        <f>カタクチイワシ!O28</f>
        <v>913.1</v>
      </c>
      <c r="D24" s="30">
        <f>カタクチイワシ!O32</f>
        <v>512.98040000000003</v>
      </c>
      <c r="E24" s="30">
        <f t="shared" ref="E24:E30" si="24">B24/C24*100</f>
        <v>24.343445405760594</v>
      </c>
      <c r="F24" s="30">
        <f t="shared" ref="F24:F30" si="25">B24/D24*100</f>
        <v>43.331090232687252</v>
      </c>
      <c r="G24" s="33">
        <f t="shared" ref="G24:G30" si="26">0.8*C24</f>
        <v>730.48</v>
      </c>
      <c r="H24" s="33">
        <f t="shared" ref="H24:H30" si="27">C24*1.2</f>
        <v>1095.72</v>
      </c>
      <c r="I24" s="33">
        <f t="shared" ref="I24:I30" si="28">D24*0.8</f>
        <v>410.38432000000006</v>
      </c>
      <c r="J24" s="33">
        <f t="shared" ref="J24:J30" si="29">D24*1.2</f>
        <v>615.57648000000006</v>
      </c>
      <c r="K24" s="26" t="str">
        <f t="shared" ref="K24:K29" si="30">IF(C24=0,"-",IF(B24&gt;C24*1.2,"上回った",IF(B24&lt;C24*0.8,"下回った","並み")))</f>
        <v>下回った</v>
      </c>
      <c r="L24" s="26" t="str">
        <f t="shared" ref="L24:L29" si="31">IF(D24=0,"-",IF(B24&gt;D24*1.2,"上回った",IF(B24&lt;D24*0.8,"下回った","並み")))</f>
        <v>下回った</v>
      </c>
      <c r="M24" s="26" t="s">
        <v>148</v>
      </c>
      <c r="N24" s="49">
        <f>カタクチイワシ!R28</f>
        <v>229.06</v>
      </c>
      <c r="O24" s="48">
        <f>カタクチイワシ!R32</f>
        <v>388.11599999999999</v>
      </c>
      <c r="P24" s="47">
        <f t="shared" ref="P24:P30" si="32">N24*0.8</f>
        <v>183.24800000000002</v>
      </c>
      <c r="Q24" s="47">
        <f t="shared" ref="Q24:Q30" si="33">N24*1.2</f>
        <v>274.87200000000001</v>
      </c>
      <c r="R24" s="47">
        <f t="shared" ref="R24:R30" si="34">O24*0.8</f>
        <v>310.49279999999999</v>
      </c>
      <c r="S24" s="47">
        <f t="shared" ref="S24:S30" si="35">O24*1.2</f>
        <v>465.73919999999998</v>
      </c>
      <c r="T24" s="107" t="s">
        <v>93</v>
      </c>
      <c r="U24" s="107" t="s">
        <v>93</v>
      </c>
      <c r="W24" s="43">
        <v>2011</v>
      </c>
      <c r="X24" s="47">
        <f>カタクチイワシ!R204</f>
        <v>2596.4110500000002</v>
      </c>
    </row>
    <row r="25" spans="1:24" x14ac:dyDescent="0.2">
      <c r="A25" s="25" t="s">
        <v>73</v>
      </c>
      <c r="B25" s="30">
        <f>カタクチイワシ!O59</f>
        <v>8.2850000000000001</v>
      </c>
      <c r="C25" s="30">
        <f>カタクチイワシ!O58</f>
        <v>14.270999999999997</v>
      </c>
      <c r="D25" s="30">
        <f>カタクチイワシ!O62</f>
        <v>18.072089999999996</v>
      </c>
      <c r="E25" s="30">
        <f t="shared" si="24"/>
        <v>58.054796440333554</v>
      </c>
      <c r="F25" s="30">
        <f>B25/D25*100</f>
        <v>45.844171869440679</v>
      </c>
      <c r="G25" s="33">
        <f t="shared" si="26"/>
        <v>11.416799999999999</v>
      </c>
      <c r="H25" s="33">
        <f t="shared" si="27"/>
        <v>17.125199999999996</v>
      </c>
      <c r="I25" s="33">
        <f t="shared" si="28"/>
        <v>14.457671999999997</v>
      </c>
      <c r="J25" s="33">
        <f t="shared" si="29"/>
        <v>21.686507999999993</v>
      </c>
      <c r="K25" s="26" t="str">
        <f t="shared" si="30"/>
        <v>下回った</v>
      </c>
      <c r="L25" s="26" t="str">
        <f t="shared" si="31"/>
        <v>下回った</v>
      </c>
      <c r="M25" s="26" t="s">
        <v>148</v>
      </c>
      <c r="N25" s="49">
        <f>カタクチイワシ!R58</f>
        <v>14.5433</v>
      </c>
      <c r="O25" s="48">
        <f>カタクチイワシ!R62</f>
        <v>14.558344</v>
      </c>
      <c r="P25" s="47">
        <f t="shared" si="32"/>
        <v>11.634640000000001</v>
      </c>
      <c r="Q25" s="47">
        <f t="shared" si="33"/>
        <v>17.45196</v>
      </c>
      <c r="R25" s="47">
        <f t="shared" si="34"/>
        <v>11.646675200000001</v>
      </c>
      <c r="S25" s="47">
        <f t="shared" si="35"/>
        <v>17.470012799999999</v>
      </c>
      <c r="T25" s="43" t="s">
        <v>127</v>
      </c>
      <c r="U25" s="107"/>
      <c r="W25" s="43">
        <v>2012</v>
      </c>
      <c r="X25" s="47">
        <f>カタクチイワシ!R205</f>
        <v>2061.7325000000001</v>
      </c>
    </row>
    <row r="26" spans="1:24" x14ac:dyDescent="0.2">
      <c r="A26" s="25" t="s">
        <v>74</v>
      </c>
      <c r="B26" s="30">
        <f>カタクチイワシ!O89</f>
        <v>1.8410000000000002</v>
      </c>
      <c r="C26" s="30">
        <f>カタクチイワシ!O88</f>
        <v>4.5289999999999999</v>
      </c>
      <c r="D26" s="30">
        <f>カタクチイワシ!O92</f>
        <v>34.451000000000001</v>
      </c>
      <c r="E26" s="30">
        <f t="shared" si="24"/>
        <v>40.649149922720248</v>
      </c>
      <c r="F26" s="30">
        <f t="shared" si="25"/>
        <v>5.3438216597486283</v>
      </c>
      <c r="G26" s="33">
        <f t="shared" si="26"/>
        <v>3.6232000000000002</v>
      </c>
      <c r="H26" s="33">
        <f t="shared" si="27"/>
        <v>5.4348000000000001</v>
      </c>
      <c r="I26" s="33">
        <f t="shared" si="28"/>
        <v>27.5608</v>
      </c>
      <c r="J26" s="33">
        <f t="shared" si="29"/>
        <v>41.341200000000001</v>
      </c>
      <c r="K26" s="26" t="str">
        <f t="shared" si="30"/>
        <v>下回った</v>
      </c>
      <c r="L26" s="26" t="str">
        <f t="shared" si="31"/>
        <v>下回った</v>
      </c>
      <c r="M26" s="26" t="s">
        <v>148</v>
      </c>
      <c r="N26" s="49">
        <f>カタクチイワシ!R88</f>
        <v>49.057200000000002</v>
      </c>
      <c r="O26" s="48">
        <f>カタクチイワシ!R92</f>
        <v>62.877040000000001</v>
      </c>
      <c r="P26" s="47">
        <f t="shared" si="32"/>
        <v>39.245760000000004</v>
      </c>
      <c r="Q26" s="47">
        <f t="shared" si="33"/>
        <v>58.868639999999999</v>
      </c>
      <c r="R26" s="47">
        <f t="shared" si="34"/>
        <v>50.301632000000005</v>
      </c>
      <c r="S26" s="47">
        <f t="shared" si="35"/>
        <v>75.452448000000004</v>
      </c>
      <c r="T26" s="107" t="s">
        <v>94</v>
      </c>
      <c r="U26" s="107" t="s">
        <v>93</v>
      </c>
      <c r="W26" s="43">
        <v>2013</v>
      </c>
      <c r="X26" s="47">
        <f>カタクチイワシ!R206</f>
        <v>4967.984919999999</v>
      </c>
    </row>
    <row r="27" spans="1:24" x14ac:dyDescent="0.2">
      <c r="A27" s="25" t="s">
        <v>75</v>
      </c>
      <c r="B27" s="32">
        <f>カタクチイワシ!O119</f>
        <v>6098.302999999999</v>
      </c>
      <c r="C27" s="32">
        <f>カタクチイワシ!O118</f>
        <v>4962.1620000000003</v>
      </c>
      <c r="D27" s="32">
        <f>カタクチイワシ!O122</f>
        <v>6199.5475999999999</v>
      </c>
      <c r="E27" s="30">
        <f>B27/C27*100</f>
        <v>122.89608843886997</v>
      </c>
      <c r="F27" s="30">
        <f>B27/D27*100</f>
        <v>98.36690341727514</v>
      </c>
      <c r="G27" s="33">
        <f t="shared" si="26"/>
        <v>3969.7296000000006</v>
      </c>
      <c r="H27" s="33">
        <f t="shared" si="27"/>
        <v>5954.5944</v>
      </c>
      <c r="I27" s="33">
        <f t="shared" si="28"/>
        <v>4959.6380800000006</v>
      </c>
      <c r="J27" s="33">
        <f t="shared" si="29"/>
        <v>7439.4571199999991</v>
      </c>
      <c r="K27" s="26" t="str">
        <f t="shared" si="30"/>
        <v>上回った</v>
      </c>
      <c r="L27" s="26" t="str">
        <f t="shared" si="31"/>
        <v>並み</v>
      </c>
      <c r="M27" s="26" t="s">
        <v>148</v>
      </c>
      <c r="N27" s="49">
        <f>カタクチイワシ!R118</f>
        <v>1982.0315000000001</v>
      </c>
      <c r="O27" s="48">
        <f>カタクチイワシ!R122</f>
        <v>1918.9255000000001</v>
      </c>
      <c r="P27" s="47">
        <f t="shared" si="32"/>
        <v>1585.6252000000002</v>
      </c>
      <c r="Q27" s="47">
        <f t="shared" si="33"/>
        <v>2378.4378000000002</v>
      </c>
      <c r="R27" s="47">
        <f t="shared" si="34"/>
        <v>1535.1404000000002</v>
      </c>
      <c r="S27" s="47">
        <f t="shared" si="35"/>
        <v>2302.7105999999999</v>
      </c>
      <c r="T27" s="107" t="s">
        <v>94</v>
      </c>
      <c r="U27" s="107" t="s">
        <v>94</v>
      </c>
      <c r="W27" s="43">
        <v>2014</v>
      </c>
      <c r="X27" s="47">
        <f>カタクチイワシ!R207</f>
        <v>7313.1519999999991</v>
      </c>
    </row>
    <row r="28" spans="1:24" x14ac:dyDescent="0.2">
      <c r="A28" s="25" t="s">
        <v>76</v>
      </c>
      <c r="B28" s="32">
        <f>カタクチイワシ!O149</f>
        <v>2481.0120000000002</v>
      </c>
      <c r="C28" s="32">
        <f>カタクチイワシ!O148</f>
        <v>2449.0260000000003</v>
      </c>
      <c r="D28" s="32">
        <f>カタクチイワシ!O152</f>
        <v>2514.2868000000003</v>
      </c>
      <c r="E28" s="30">
        <f t="shared" si="24"/>
        <v>101.30607024996876</v>
      </c>
      <c r="F28" s="30">
        <f t="shared" si="25"/>
        <v>98.676571026026139</v>
      </c>
      <c r="G28" s="33">
        <f t="shared" si="26"/>
        <v>1959.2208000000003</v>
      </c>
      <c r="H28" s="33">
        <f t="shared" si="27"/>
        <v>2938.8312000000001</v>
      </c>
      <c r="I28" s="33">
        <f t="shared" si="28"/>
        <v>2011.4294400000003</v>
      </c>
      <c r="J28" s="33">
        <f t="shared" si="29"/>
        <v>3017.1441600000003</v>
      </c>
      <c r="K28" s="26" t="str">
        <f t="shared" si="30"/>
        <v>並み</v>
      </c>
      <c r="L28" s="26" t="str">
        <f t="shared" si="31"/>
        <v>並み</v>
      </c>
      <c r="M28" s="26" t="s">
        <v>148</v>
      </c>
      <c r="N28" s="49">
        <f>カタクチイワシ!R148</f>
        <v>1492.5239999999999</v>
      </c>
      <c r="O28" s="48">
        <f>カタクチイワシ!R152</f>
        <v>989.56439999999998</v>
      </c>
      <c r="P28" s="47">
        <f t="shared" si="32"/>
        <v>1194.0192</v>
      </c>
      <c r="Q28" s="47">
        <f t="shared" si="33"/>
        <v>1791.0287999999998</v>
      </c>
      <c r="R28" s="47">
        <f t="shared" si="34"/>
        <v>791.65152</v>
      </c>
      <c r="S28" s="47">
        <f t="shared" si="35"/>
        <v>1187.4772799999998</v>
      </c>
      <c r="T28" s="107" t="s">
        <v>93</v>
      </c>
      <c r="U28" s="107" t="s">
        <v>94</v>
      </c>
      <c r="W28" s="43" t="s">
        <v>95</v>
      </c>
      <c r="X28" s="47">
        <f>カタクチイワシ!R208</f>
        <v>6944.5749999999989</v>
      </c>
    </row>
    <row r="29" spans="1:24" x14ac:dyDescent="0.2">
      <c r="A29" s="25" t="s">
        <v>77</v>
      </c>
      <c r="B29" s="32">
        <f>カタクチイワシ!O179</f>
        <v>2585.5070000000001</v>
      </c>
      <c r="C29" s="32">
        <f>カタクチイワシ!O178</f>
        <v>2084.3960000000002</v>
      </c>
      <c r="D29" s="32">
        <f>カタクチイワシ!O182</f>
        <v>2483.3302000000003</v>
      </c>
      <c r="E29" s="31">
        <f t="shared" si="24"/>
        <v>124.04106513349672</v>
      </c>
      <c r="F29" s="31">
        <f t="shared" si="25"/>
        <v>104.11450720488156</v>
      </c>
      <c r="G29" s="33">
        <f t="shared" si="26"/>
        <v>1667.5168000000003</v>
      </c>
      <c r="H29" s="33">
        <f t="shared" si="27"/>
        <v>2501.2752</v>
      </c>
      <c r="I29" s="33">
        <f t="shared" si="28"/>
        <v>1986.6641600000003</v>
      </c>
      <c r="J29" s="33">
        <f t="shared" si="29"/>
        <v>2979.9962400000004</v>
      </c>
      <c r="K29" s="26" t="str">
        <f t="shared" si="30"/>
        <v>上回った</v>
      </c>
      <c r="L29" s="26" t="str">
        <f t="shared" si="31"/>
        <v>並み</v>
      </c>
      <c r="M29" s="26" t="s">
        <v>148</v>
      </c>
      <c r="N29" s="49">
        <f>カタクチイワシ!R178</f>
        <v>3177.3589999999999</v>
      </c>
      <c r="O29" s="48">
        <f>カタクチイワシ!R182</f>
        <v>1788.0913999999998</v>
      </c>
      <c r="P29" s="47">
        <f t="shared" si="32"/>
        <v>2541.8872000000001</v>
      </c>
      <c r="Q29" s="47">
        <f t="shared" si="33"/>
        <v>3812.8307999999997</v>
      </c>
      <c r="R29" s="47">
        <f t="shared" si="34"/>
        <v>1430.4731199999999</v>
      </c>
      <c r="S29" s="47">
        <f t="shared" si="35"/>
        <v>2145.7096799999995</v>
      </c>
      <c r="T29" s="107" t="s">
        <v>94</v>
      </c>
      <c r="U29" s="107" t="s">
        <v>99</v>
      </c>
      <c r="W29" s="43" t="s">
        <v>96</v>
      </c>
      <c r="X29" s="47">
        <f>カタクチイワシ!R212</f>
        <v>5162.1326839999983</v>
      </c>
    </row>
    <row r="30" spans="1:24" x14ac:dyDescent="0.2">
      <c r="A30" s="28" t="s">
        <v>78</v>
      </c>
      <c r="B30" s="34">
        <f>SUM(B24:B29)</f>
        <v>11397.227999999999</v>
      </c>
      <c r="C30" s="27">
        <f>SUM(C24:C29)</f>
        <v>10427.484</v>
      </c>
      <c r="D30" s="27">
        <f>SUM(D24:D29)</f>
        <v>11762.668090000001</v>
      </c>
      <c r="E30" s="27">
        <f t="shared" si="24"/>
        <v>109.29988480442645</v>
      </c>
      <c r="F30" s="27">
        <f t="shared" si="25"/>
        <v>96.893221102526226</v>
      </c>
      <c r="G30" s="35">
        <f t="shared" si="26"/>
        <v>8341.9872000000014</v>
      </c>
      <c r="H30" s="35">
        <f t="shared" si="27"/>
        <v>12512.980799999999</v>
      </c>
      <c r="I30" s="35">
        <f t="shared" si="28"/>
        <v>9410.1344720000016</v>
      </c>
      <c r="J30" s="35">
        <f t="shared" si="29"/>
        <v>14115.201708000001</v>
      </c>
      <c r="K30" s="101" t="str">
        <f>IF(B30&gt;C30*1.2,"上回った",IF(B30&lt;C30*0.8,"下回った","並み"))</f>
        <v>並み</v>
      </c>
      <c r="L30" s="101" t="str">
        <f>IF(B30&gt;D30*1.2,"上回った",IF(B30&lt;D30*0.8,"下回った","並み"))</f>
        <v>並み</v>
      </c>
      <c r="M30" s="26"/>
      <c r="N30" s="46">
        <f>SUM(N24:N29)</f>
        <v>6944.5749999999998</v>
      </c>
      <c r="O30" s="46">
        <f>SUM(O24:O29)</f>
        <v>5162.1326840000002</v>
      </c>
      <c r="P30" s="45">
        <f t="shared" si="32"/>
        <v>5555.66</v>
      </c>
      <c r="Q30" s="45">
        <f t="shared" si="33"/>
        <v>8333.49</v>
      </c>
      <c r="R30" s="45">
        <f t="shared" si="34"/>
        <v>4129.7061472000005</v>
      </c>
      <c r="S30" s="45">
        <f t="shared" si="35"/>
        <v>6194.5592207999998</v>
      </c>
      <c r="T30" s="44"/>
      <c r="U30" s="44"/>
    </row>
    <row r="31" spans="1:24" x14ac:dyDescent="0.2">
      <c r="M31" s="26"/>
    </row>
    <row r="126" spans="5:6" x14ac:dyDescent="0.2">
      <c r="E126" s="43"/>
      <c r="F126" s="43"/>
    </row>
    <row r="136" spans="2:15" x14ac:dyDescent="0.2">
      <c r="B136" s="43">
        <v>105.282</v>
      </c>
      <c r="C136" s="43">
        <v>87.245999999999995</v>
      </c>
      <c r="D136" s="43">
        <v>149.94</v>
      </c>
      <c r="E136" s="43">
        <v>284.47199999999998</v>
      </c>
      <c r="F136" s="43">
        <v>347.346</v>
      </c>
      <c r="G136" s="43">
        <v>528.10199999999998</v>
      </c>
      <c r="H136" s="43">
        <v>685.78200000000004</v>
      </c>
      <c r="I136" s="43">
        <v>603.32399999999996</v>
      </c>
    </row>
    <row r="137" spans="2:15" x14ac:dyDescent="0.2">
      <c r="O137" s="43" t="e">
        <f>AVERAGE(O131:O135)</f>
        <v>#DIV/0!</v>
      </c>
    </row>
  </sheetData>
  <phoneticPr fontId="2"/>
  <pageMargins left="0.7" right="0.7" top="0.75" bottom="0.75" header="0.3" footer="0.3"/>
  <pageSetup paperSize="9" orientation="portrait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opLeftCell="A73" workbookViewId="0">
      <selection activeCell="S77" sqref="S77"/>
    </sheetView>
  </sheetViews>
  <sheetFormatPr baseColWidth="10" defaultColWidth="9" defaultRowHeight="15" x14ac:dyDescent="0.2"/>
  <cols>
    <col min="1" max="3" width="9" style="21"/>
    <col min="4" max="16" width="7.125" style="21" customWidth="1"/>
    <col min="17" max="16384" width="9" style="21"/>
  </cols>
  <sheetData>
    <row r="1" spans="1:21" x14ac:dyDescent="0.2">
      <c r="A1" s="21" t="s">
        <v>98</v>
      </c>
    </row>
    <row r="2" spans="1:21" x14ac:dyDescent="0.2">
      <c r="D2" s="21" t="s">
        <v>58</v>
      </c>
    </row>
    <row r="3" spans="1:21" x14ac:dyDescent="0.2">
      <c r="A3" s="21" t="s">
        <v>53</v>
      </c>
      <c r="B3" s="21" t="s">
        <v>1</v>
      </c>
      <c r="C3" s="136"/>
      <c r="D3" s="135">
        <v>1</v>
      </c>
      <c r="E3" s="135">
        <v>2</v>
      </c>
      <c r="F3" s="135">
        <v>3</v>
      </c>
      <c r="G3" s="135">
        <v>4</v>
      </c>
      <c r="H3" s="135">
        <v>5</v>
      </c>
      <c r="I3" s="135">
        <v>6</v>
      </c>
      <c r="J3" s="135">
        <v>7</v>
      </c>
      <c r="K3" s="135">
        <v>8</v>
      </c>
      <c r="L3" s="135">
        <v>9</v>
      </c>
      <c r="M3" s="135">
        <v>10</v>
      </c>
      <c r="N3" s="135">
        <v>11</v>
      </c>
      <c r="O3" s="135">
        <v>12</v>
      </c>
      <c r="Q3" s="21" t="s">
        <v>43</v>
      </c>
      <c r="R3" s="21" t="s">
        <v>44</v>
      </c>
      <c r="S3" s="21" t="s">
        <v>42</v>
      </c>
      <c r="T3" s="21" t="s">
        <v>83</v>
      </c>
    </row>
    <row r="4" spans="1:21" x14ac:dyDescent="0.2">
      <c r="C4" s="137">
        <v>2002</v>
      </c>
      <c r="D4" s="22"/>
      <c r="E4" s="22"/>
      <c r="F4" s="22"/>
      <c r="G4" s="22">
        <v>0</v>
      </c>
      <c r="H4" s="22">
        <v>0.02</v>
      </c>
      <c r="I4" s="22">
        <v>0.03</v>
      </c>
      <c r="J4" s="22">
        <v>2.7E-2</v>
      </c>
      <c r="K4" s="22">
        <v>4.7E-2</v>
      </c>
      <c r="L4" s="22">
        <v>0.18</v>
      </c>
      <c r="M4" s="22">
        <v>0</v>
      </c>
      <c r="N4" s="22">
        <v>0</v>
      </c>
      <c r="O4" s="22">
        <v>0</v>
      </c>
      <c r="P4" s="22"/>
      <c r="Q4" s="22">
        <f t="shared" ref="Q4:Q10" si="0">SUM(G4:K4)</f>
        <v>0.124</v>
      </c>
      <c r="R4" s="22">
        <f t="shared" ref="R4:R11" si="1">SUM(G4:L4)</f>
        <v>0.30399999999999999</v>
      </c>
      <c r="S4" s="22">
        <f t="shared" ref="S4:S10" si="2">N4+O4+D5+E5+F5</f>
        <v>1.427</v>
      </c>
      <c r="T4" s="22">
        <f>N4+O4+D5</f>
        <v>0</v>
      </c>
    </row>
    <row r="5" spans="1:21" x14ac:dyDescent="0.2">
      <c r="C5" s="137">
        <v>2003</v>
      </c>
      <c r="D5" s="22">
        <v>0</v>
      </c>
      <c r="E5" s="22">
        <v>0</v>
      </c>
      <c r="F5" s="22">
        <v>1.427</v>
      </c>
      <c r="G5" s="22">
        <v>0.17899999999999999</v>
      </c>
      <c r="H5" s="22">
        <v>0.68899999999999995</v>
      </c>
      <c r="I5" s="22">
        <v>0.17899999999999999</v>
      </c>
      <c r="J5" s="22">
        <v>2.952</v>
      </c>
      <c r="K5" s="22">
        <v>1.865</v>
      </c>
      <c r="L5" s="22">
        <v>0.03</v>
      </c>
      <c r="M5" s="22">
        <v>0</v>
      </c>
      <c r="N5" s="22">
        <v>0</v>
      </c>
      <c r="O5" s="22">
        <v>0</v>
      </c>
      <c r="P5" s="22"/>
      <c r="Q5" s="22">
        <f t="shared" si="0"/>
        <v>5.8639999999999999</v>
      </c>
      <c r="R5" s="22">
        <f t="shared" si="1"/>
        <v>5.8940000000000001</v>
      </c>
      <c r="S5" s="22">
        <f t="shared" si="2"/>
        <v>6.8000000000000005E-2</v>
      </c>
      <c r="T5" s="22">
        <f t="shared" ref="T5:T11" si="3">N5+O5+D6</f>
        <v>0</v>
      </c>
    </row>
    <row r="6" spans="1:21" x14ac:dyDescent="0.2">
      <c r="C6" s="137">
        <v>2004</v>
      </c>
      <c r="D6" s="22">
        <v>0</v>
      </c>
      <c r="E6" s="22">
        <v>0</v>
      </c>
      <c r="F6" s="22">
        <v>6.8000000000000005E-2</v>
      </c>
      <c r="G6" s="22">
        <v>1.4E-2</v>
      </c>
      <c r="H6" s="22">
        <v>0</v>
      </c>
      <c r="I6" s="22">
        <v>2.8000000000000001E-2</v>
      </c>
      <c r="J6" s="22">
        <v>0</v>
      </c>
      <c r="K6" s="22">
        <v>0.1</v>
      </c>
      <c r="L6" s="22">
        <v>0</v>
      </c>
      <c r="M6" s="22">
        <v>0</v>
      </c>
      <c r="N6" s="22">
        <v>0</v>
      </c>
      <c r="O6" s="22">
        <v>0</v>
      </c>
      <c r="P6" s="22"/>
      <c r="Q6" s="22">
        <f t="shared" si="0"/>
        <v>0.14200000000000002</v>
      </c>
      <c r="R6" s="22">
        <f t="shared" si="1"/>
        <v>0.14200000000000002</v>
      </c>
      <c r="S6" s="22">
        <f t="shared" si="2"/>
        <v>0.128</v>
      </c>
      <c r="T6" s="22">
        <f t="shared" si="3"/>
        <v>5.0000000000000001E-3</v>
      </c>
    </row>
    <row r="7" spans="1:21" x14ac:dyDescent="0.2">
      <c r="C7" s="137">
        <v>2005</v>
      </c>
      <c r="D7" s="22">
        <v>5.0000000000000001E-3</v>
      </c>
      <c r="E7" s="22">
        <v>3.3000000000000002E-2</v>
      </c>
      <c r="F7" s="22">
        <v>0.09</v>
      </c>
      <c r="G7" s="22">
        <v>0.55500000000000005</v>
      </c>
      <c r="H7" s="22">
        <v>0.183</v>
      </c>
      <c r="I7" s="22">
        <v>0.22</v>
      </c>
      <c r="J7" s="22">
        <v>0.58099999999999996</v>
      </c>
      <c r="K7" s="22">
        <v>1.1719999999999999</v>
      </c>
      <c r="L7" s="22">
        <v>6.4000000000000001E-2</v>
      </c>
      <c r="M7" s="22">
        <v>0</v>
      </c>
      <c r="N7" s="22">
        <v>0</v>
      </c>
      <c r="O7" s="22">
        <v>0</v>
      </c>
      <c r="P7" s="22"/>
      <c r="Q7" s="22">
        <f t="shared" si="0"/>
        <v>2.7109999999999999</v>
      </c>
      <c r="R7" s="22">
        <f t="shared" si="1"/>
        <v>2.7749999999999999</v>
      </c>
      <c r="S7" s="22">
        <f t="shared" si="2"/>
        <v>8.1000000000000003E-2</v>
      </c>
      <c r="T7" s="22">
        <f t="shared" si="3"/>
        <v>0</v>
      </c>
    </row>
    <row r="8" spans="1:21" x14ac:dyDescent="0.2">
      <c r="C8" s="137">
        <v>2006</v>
      </c>
      <c r="D8" s="22">
        <v>0</v>
      </c>
      <c r="E8" s="22">
        <v>0.04</v>
      </c>
      <c r="F8" s="22">
        <v>4.1000000000000002E-2</v>
      </c>
      <c r="G8" s="22">
        <v>0</v>
      </c>
      <c r="H8" s="22">
        <v>0</v>
      </c>
      <c r="I8" s="22">
        <v>0.02</v>
      </c>
      <c r="J8" s="22">
        <v>0.69499999999999995</v>
      </c>
      <c r="K8" s="22">
        <v>1.224</v>
      </c>
      <c r="L8" s="22">
        <v>2.1999999999999999E-2</v>
      </c>
      <c r="M8" s="22">
        <v>0</v>
      </c>
      <c r="N8" s="22">
        <v>0</v>
      </c>
      <c r="O8" s="22">
        <v>0.122</v>
      </c>
      <c r="P8" s="22"/>
      <c r="Q8" s="22">
        <f t="shared" si="0"/>
        <v>1.9390000000000001</v>
      </c>
      <c r="R8" s="22">
        <f t="shared" si="1"/>
        <v>1.9610000000000001</v>
      </c>
      <c r="S8" s="22">
        <f t="shared" si="2"/>
        <v>34.241999999999997</v>
      </c>
      <c r="T8" s="22">
        <f t="shared" si="3"/>
        <v>0.39600000000000002</v>
      </c>
    </row>
    <row r="9" spans="1:21" x14ac:dyDescent="0.2">
      <c r="C9" s="137">
        <v>2007</v>
      </c>
      <c r="D9" s="22">
        <v>0.27400000000000002</v>
      </c>
      <c r="E9" s="22">
        <v>0</v>
      </c>
      <c r="F9" s="22">
        <v>33.845999999999997</v>
      </c>
      <c r="G9" s="22">
        <v>17.715</v>
      </c>
      <c r="H9" s="22">
        <v>0</v>
      </c>
      <c r="I9" s="22">
        <v>5.1980000000000004</v>
      </c>
      <c r="J9" s="22">
        <v>5.8680000000000003</v>
      </c>
      <c r="K9" s="22">
        <v>33.658000000000001</v>
      </c>
      <c r="L9" s="22">
        <v>25.350999999999999</v>
      </c>
      <c r="M9" s="22">
        <v>0.83399999999999996</v>
      </c>
      <c r="N9" s="22">
        <v>0.08</v>
      </c>
      <c r="O9" s="22">
        <v>0</v>
      </c>
      <c r="P9" s="22"/>
      <c r="Q9" s="22">
        <f t="shared" si="0"/>
        <v>62.439</v>
      </c>
      <c r="R9" s="22">
        <f t="shared" si="1"/>
        <v>87.789999999999992</v>
      </c>
      <c r="S9" s="22">
        <f t="shared" si="2"/>
        <v>0.497</v>
      </c>
      <c r="T9" s="22">
        <f t="shared" si="3"/>
        <v>0.08</v>
      </c>
    </row>
    <row r="10" spans="1:21" x14ac:dyDescent="0.2">
      <c r="C10" s="137">
        <v>2008</v>
      </c>
      <c r="D10" s="22">
        <v>0</v>
      </c>
      <c r="E10" s="22">
        <v>0.08</v>
      </c>
      <c r="F10" s="22">
        <v>0.33700000000000002</v>
      </c>
      <c r="G10" s="22">
        <v>1.3069999999999999</v>
      </c>
      <c r="H10" s="22">
        <v>1.4999999999999999E-2</v>
      </c>
      <c r="I10" s="22">
        <v>0.57699999999999996</v>
      </c>
      <c r="J10" s="22">
        <v>0.996</v>
      </c>
      <c r="K10" s="22">
        <v>2.5099999999999998</v>
      </c>
      <c r="L10" s="22">
        <v>0.26400000000000001</v>
      </c>
      <c r="M10" s="22">
        <v>0.38700000000000001</v>
      </c>
      <c r="N10" s="22">
        <v>0</v>
      </c>
      <c r="O10" s="22">
        <v>0</v>
      </c>
      <c r="P10" s="22"/>
      <c r="Q10" s="22">
        <f t="shared" si="0"/>
        <v>5.4049999999999994</v>
      </c>
      <c r="R10" s="22">
        <f t="shared" si="1"/>
        <v>5.6689999999999996</v>
      </c>
      <c r="S10" s="22">
        <f t="shared" si="2"/>
        <v>0.188</v>
      </c>
      <c r="T10" s="22">
        <f t="shared" si="3"/>
        <v>0</v>
      </c>
    </row>
    <row r="11" spans="1:21" x14ac:dyDescent="0.2">
      <c r="C11" s="137">
        <v>2009</v>
      </c>
      <c r="D11" s="22">
        <v>0</v>
      </c>
      <c r="E11" s="22">
        <v>0</v>
      </c>
      <c r="F11" s="22">
        <v>0.188</v>
      </c>
      <c r="G11" s="22">
        <v>0</v>
      </c>
      <c r="H11" s="22">
        <v>0</v>
      </c>
      <c r="I11" s="22">
        <v>0</v>
      </c>
      <c r="J11" s="22">
        <v>1.397</v>
      </c>
      <c r="K11" s="22">
        <v>3.6219999999999999</v>
      </c>
      <c r="L11" s="22">
        <v>0.56899999999999995</v>
      </c>
      <c r="M11" s="22">
        <v>0.58899999999999997</v>
      </c>
      <c r="N11" s="22">
        <v>0</v>
      </c>
      <c r="O11" s="22">
        <v>0.57399999999999995</v>
      </c>
      <c r="P11" s="22"/>
      <c r="Q11" s="22">
        <f>SUM(G11:K11)</f>
        <v>5.0190000000000001</v>
      </c>
      <c r="R11" s="22">
        <f t="shared" si="1"/>
        <v>5.5880000000000001</v>
      </c>
      <c r="S11" s="22">
        <f>N11+O11+D12+E12+F12</f>
        <v>51.010999999999996</v>
      </c>
      <c r="T11" s="22">
        <f t="shared" si="3"/>
        <v>1.0369999999999999</v>
      </c>
      <c r="U11" s="22"/>
    </row>
    <row r="12" spans="1:21" x14ac:dyDescent="0.2">
      <c r="C12" s="137">
        <v>2010</v>
      </c>
      <c r="D12" s="22">
        <v>0.46300000000000002</v>
      </c>
      <c r="E12" s="22">
        <v>9.43</v>
      </c>
      <c r="F12" s="102">
        <v>40.543999999999997</v>
      </c>
      <c r="G12" s="102">
        <v>1.915</v>
      </c>
      <c r="H12" s="22">
        <v>0.18</v>
      </c>
      <c r="I12" s="22">
        <v>8.1199999999999992</v>
      </c>
      <c r="J12" s="22">
        <v>34.997999999999998</v>
      </c>
      <c r="K12" s="22">
        <v>17.218</v>
      </c>
      <c r="L12" s="22">
        <v>17.376999999999999</v>
      </c>
      <c r="M12" s="22">
        <v>20.692</v>
      </c>
      <c r="N12" s="22">
        <v>0.54</v>
      </c>
      <c r="O12" s="22">
        <v>0.65600000000000003</v>
      </c>
      <c r="P12" s="22"/>
      <c r="Q12" s="22">
        <f>SUM(G12:K12)</f>
        <v>62.430999999999997</v>
      </c>
      <c r="R12" s="22">
        <f>SUM(G12:L12)</f>
        <v>79.807999999999993</v>
      </c>
      <c r="S12" s="22">
        <f>N12+O12+D13+E13+F13</f>
        <v>3.7390000000000003</v>
      </c>
      <c r="T12" s="22">
        <f>N12+O12+D13</f>
        <v>2.5979999999999999</v>
      </c>
    </row>
    <row r="13" spans="1:21" x14ac:dyDescent="0.2">
      <c r="C13" s="137">
        <v>2011</v>
      </c>
      <c r="D13" s="22">
        <v>1.4019999999999999</v>
      </c>
      <c r="E13" s="22">
        <v>1.1180000000000001</v>
      </c>
      <c r="F13" s="102">
        <v>2.3E-2</v>
      </c>
      <c r="G13" s="102">
        <v>2.149</v>
      </c>
      <c r="H13" s="22">
        <v>221.27</v>
      </c>
      <c r="I13" s="22">
        <v>129.35599999999999</v>
      </c>
      <c r="J13" s="22">
        <v>55.637999999999998</v>
      </c>
      <c r="K13" s="22">
        <v>51.694000000000003</v>
      </c>
      <c r="L13" s="22">
        <v>7.2880000000000003</v>
      </c>
      <c r="M13" s="22">
        <v>106.97</v>
      </c>
      <c r="N13" s="22">
        <v>36.28</v>
      </c>
      <c r="O13" s="22">
        <v>7.93</v>
      </c>
      <c r="P13" s="22"/>
      <c r="Q13" s="22">
        <f>SUM(G13:K13)</f>
        <v>460.10699999999997</v>
      </c>
      <c r="R13" s="22">
        <f>SUM(G13:L13)</f>
        <v>467.39499999999998</v>
      </c>
      <c r="S13" s="22">
        <f>N13+O13+D14+E14+F14</f>
        <v>79.819999999999993</v>
      </c>
      <c r="T13" s="22">
        <f>N13+O13+D14</f>
        <v>59.63</v>
      </c>
    </row>
    <row r="14" spans="1:21" x14ac:dyDescent="0.2">
      <c r="C14" s="137">
        <v>2012</v>
      </c>
      <c r="D14" s="21">
        <v>15.42</v>
      </c>
      <c r="E14" s="21">
        <v>9.8460000000000001</v>
      </c>
      <c r="F14" s="21">
        <v>10.343999999999999</v>
      </c>
      <c r="G14" s="21">
        <v>0</v>
      </c>
      <c r="H14" s="21">
        <v>1.4530000000000001</v>
      </c>
      <c r="I14" s="21">
        <v>1.6259999999999999</v>
      </c>
      <c r="J14" s="21">
        <v>5.4779999999999998</v>
      </c>
      <c r="K14" s="21">
        <v>2.0369999999999999</v>
      </c>
      <c r="L14" s="21">
        <v>10.426</v>
      </c>
      <c r="M14" s="21">
        <v>11.631</v>
      </c>
      <c r="N14" s="21">
        <v>0.35599999999999998</v>
      </c>
      <c r="O14" s="21">
        <v>4.0620000000000003</v>
      </c>
      <c r="Q14" s="22">
        <f>SUM(G14:K14)</f>
        <v>10.593999999999998</v>
      </c>
      <c r="R14" s="22">
        <f>SUM(G14:L14)</f>
        <v>21.019999999999996</v>
      </c>
      <c r="S14" s="22">
        <f>N14+O14+D15+E15+F15</f>
        <v>53.466000000000001</v>
      </c>
      <c r="T14" s="22">
        <f>N14+O14+D15</f>
        <v>26.202999999999999</v>
      </c>
    </row>
    <row r="15" spans="1:21" x14ac:dyDescent="0.2">
      <c r="C15" s="137">
        <v>2013</v>
      </c>
      <c r="D15" s="21">
        <v>21.785</v>
      </c>
      <c r="E15" s="21">
        <v>10.159000000000001</v>
      </c>
      <c r="F15" s="21">
        <v>17.103999999999999</v>
      </c>
      <c r="G15" s="21">
        <v>1.8460000000000001</v>
      </c>
      <c r="H15" s="21">
        <v>211.68</v>
      </c>
      <c r="I15" s="21">
        <v>234.7</v>
      </c>
      <c r="J15" s="21">
        <v>82.793999999999997</v>
      </c>
      <c r="K15" s="21">
        <v>37.654000000000003</v>
      </c>
      <c r="L15" s="21">
        <v>7.4859999999999998</v>
      </c>
      <c r="M15" s="21">
        <v>8.4610000000000003</v>
      </c>
      <c r="N15" s="21">
        <v>6.7050000000000001</v>
      </c>
      <c r="O15" s="21">
        <v>16.04</v>
      </c>
      <c r="Q15" s="22">
        <f>SUM(G15:K15)</f>
        <v>568.67399999999998</v>
      </c>
      <c r="R15" s="22">
        <f>SUM(G15:L15)</f>
        <v>576.16</v>
      </c>
      <c r="S15" s="22">
        <f>N15+O15+D16+E16+F16</f>
        <v>54.696999999999996</v>
      </c>
      <c r="T15" s="22">
        <f>N15+O15+D16</f>
        <v>44.958999999999996</v>
      </c>
    </row>
    <row r="16" spans="1:21" x14ac:dyDescent="0.2">
      <c r="C16" s="137">
        <v>2014</v>
      </c>
      <c r="D16" s="21">
        <v>22.213999999999999</v>
      </c>
      <c r="E16" s="21">
        <v>2.9420000000000002</v>
      </c>
      <c r="F16" s="21">
        <v>6.7960000000000003</v>
      </c>
      <c r="G16" s="21">
        <v>1.458</v>
      </c>
      <c r="H16" s="21">
        <v>1.3440000000000001</v>
      </c>
      <c r="I16" s="21">
        <v>43.642000000000003</v>
      </c>
      <c r="J16" s="21">
        <v>57.563000000000002</v>
      </c>
      <c r="K16" s="21">
        <v>10.212</v>
      </c>
      <c r="L16" s="21">
        <v>0.114</v>
      </c>
      <c r="M16" s="21">
        <v>8.49</v>
      </c>
      <c r="N16" s="21">
        <v>33.170999999999999</v>
      </c>
      <c r="O16" s="21">
        <v>13.964</v>
      </c>
      <c r="S16" s="22"/>
      <c r="T16" s="22"/>
    </row>
    <row r="17" spans="1:20" x14ac:dyDescent="0.2">
      <c r="C17" s="137">
        <v>2015</v>
      </c>
      <c r="D17" s="21">
        <v>20.335999999999999</v>
      </c>
      <c r="E17" s="21">
        <v>13.554</v>
      </c>
      <c r="F17" s="21">
        <v>6.1760000000000002</v>
      </c>
      <c r="G17" s="21">
        <v>0.82799999999999996</v>
      </c>
      <c r="H17" s="21">
        <v>0.67600000000000005</v>
      </c>
      <c r="I17" s="21">
        <v>30.744</v>
      </c>
      <c r="J17" s="21">
        <v>22.324000000000002</v>
      </c>
      <c r="K17" s="21">
        <v>18.175999999999998</v>
      </c>
      <c r="L17" s="21">
        <v>67.72</v>
      </c>
      <c r="M17" s="21">
        <v>125.63</v>
      </c>
      <c r="N17" s="21">
        <v>12.826000000000001</v>
      </c>
      <c r="O17" s="22">
        <v>11.832000000000001</v>
      </c>
      <c r="S17" s="22"/>
      <c r="T17" s="22"/>
    </row>
    <row r="18" spans="1:20" x14ac:dyDescent="0.2">
      <c r="C18" s="137">
        <v>2016</v>
      </c>
      <c r="D18" s="21">
        <v>4.4619999999999997</v>
      </c>
      <c r="E18" s="21">
        <v>6.6719999999999997</v>
      </c>
      <c r="F18" s="21">
        <v>1.986</v>
      </c>
      <c r="G18" s="21">
        <v>0.2</v>
      </c>
      <c r="H18" s="21">
        <v>69.688000000000002</v>
      </c>
      <c r="I18" s="21">
        <v>49.134</v>
      </c>
      <c r="J18" s="21">
        <v>93.486999999999995</v>
      </c>
      <c r="K18" s="21">
        <v>27.045999999999999</v>
      </c>
      <c r="L18" s="21">
        <v>16.905999999999999</v>
      </c>
      <c r="M18" s="21">
        <v>26.106000000000002</v>
      </c>
      <c r="N18" s="21">
        <v>0.6</v>
      </c>
      <c r="O18" s="21">
        <v>0.2</v>
      </c>
      <c r="S18" s="22"/>
      <c r="T18" s="22"/>
    </row>
    <row r="19" spans="1:20" x14ac:dyDescent="0.2">
      <c r="C19" s="137">
        <v>2017</v>
      </c>
      <c r="D19" s="21">
        <v>1.0049999999999999</v>
      </c>
      <c r="E19" s="21">
        <v>2.056</v>
      </c>
      <c r="S19" s="22"/>
      <c r="T19" s="22"/>
    </row>
    <row r="20" spans="1:20" x14ac:dyDescent="0.2">
      <c r="C20" s="137" t="s">
        <v>55</v>
      </c>
      <c r="D20" s="22"/>
      <c r="E20" s="22"/>
      <c r="F20" s="102"/>
      <c r="G20" s="102"/>
      <c r="H20" s="22"/>
      <c r="I20" s="22"/>
      <c r="J20" s="22"/>
      <c r="K20" s="22"/>
      <c r="L20" s="22"/>
      <c r="N20" s="22"/>
      <c r="O20" s="22"/>
      <c r="P20" s="22"/>
      <c r="Q20" s="22"/>
      <c r="R20" s="22"/>
      <c r="S20" s="22"/>
    </row>
    <row r="21" spans="1:20" x14ac:dyDescent="0.2">
      <c r="D21" s="22"/>
      <c r="E21" s="22"/>
      <c r="F21" s="102"/>
      <c r="G21" s="10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20" x14ac:dyDescent="0.2">
      <c r="D22" s="22"/>
      <c r="E22" s="22"/>
      <c r="F22" s="102"/>
      <c r="G22" s="10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20" x14ac:dyDescent="0.2">
      <c r="A23" s="21" t="s">
        <v>53</v>
      </c>
      <c r="B23" s="21" t="s">
        <v>31</v>
      </c>
      <c r="C23" s="136"/>
      <c r="D23" s="135">
        <v>1</v>
      </c>
      <c r="E23" s="135">
        <v>2</v>
      </c>
      <c r="F23" s="135">
        <v>3</v>
      </c>
      <c r="G23" s="135">
        <v>4</v>
      </c>
      <c r="H23" s="135">
        <v>5</v>
      </c>
      <c r="I23" s="135">
        <v>6</v>
      </c>
      <c r="J23" s="135">
        <v>7</v>
      </c>
      <c r="K23" s="135">
        <v>8</v>
      </c>
      <c r="L23" s="135">
        <v>9</v>
      </c>
      <c r="M23" s="135">
        <v>10</v>
      </c>
      <c r="N23" s="135">
        <v>11</v>
      </c>
      <c r="O23" s="135">
        <v>12</v>
      </c>
      <c r="P23" s="22"/>
      <c r="Q23" s="22" t="s">
        <v>43</v>
      </c>
      <c r="R23" s="21" t="s">
        <v>44</v>
      </c>
      <c r="S23" s="22" t="s">
        <v>42</v>
      </c>
      <c r="T23" s="21" t="s">
        <v>83</v>
      </c>
    </row>
    <row r="24" spans="1:20" x14ac:dyDescent="0.2">
      <c r="C24" s="137">
        <v>2002</v>
      </c>
      <c r="D24" s="22"/>
      <c r="E24" s="22"/>
      <c r="F24" s="102"/>
      <c r="G24" s="102">
        <v>12.75</v>
      </c>
      <c r="H24" s="22">
        <v>52.984000000000002</v>
      </c>
      <c r="I24" s="22">
        <v>286.73200000000003</v>
      </c>
      <c r="J24" s="22">
        <v>260.48099999999999</v>
      </c>
      <c r="K24" s="22">
        <v>257.92399999999998</v>
      </c>
      <c r="L24" s="22">
        <v>100.869</v>
      </c>
      <c r="M24" s="22">
        <v>3.3000000000000002E-2</v>
      </c>
      <c r="N24" s="22">
        <v>8.0000000000000002E-3</v>
      </c>
      <c r="O24" s="22">
        <v>0</v>
      </c>
      <c r="P24" s="22"/>
      <c r="Q24" s="22">
        <f t="shared" ref="Q24:Q31" si="4">SUM(G24:K24)</f>
        <v>870.87099999999998</v>
      </c>
      <c r="R24" s="22">
        <f t="shared" ref="R24:R31" si="5">SUM(G24:L24)</f>
        <v>971.74</v>
      </c>
      <c r="S24" s="22">
        <f>N24+O24+D25+E25+F25</f>
        <v>10.644</v>
      </c>
      <c r="T24" s="22">
        <f>N24+O24+D25</f>
        <v>8.0000000000000002E-3</v>
      </c>
    </row>
    <row r="25" spans="1:20" x14ac:dyDescent="0.2">
      <c r="C25" s="137">
        <v>2003</v>
      </c>
      <c r="D25" s="22">
        <v>0</v>
      </c>
      <c r="E25" s="22">
        <v>7.4</v>
      </c>
      <c r="F25" s="102">
        <v>3.2360000000000002</v>
      </c>
      <c r="G25" s="102">
        <v>8.4510000000000005</v>
      </c>
      <c r="H25" s="22">
        <v>7.0629999999999997</v>
      </c>
      <c r="I25" s="22">
        <v>152.11099999999999</v>
      </c>
      <c r="J25" s="22">
        <v>343.84100000000001</v>
      </c>
      <c r="K25" s="22">
        <v>258.68900000000002</v>
      </c>
      <c r="L25" s="22">
        <v>58.984000000000002</v>
      </c>
      <c r="M25" s="22">
        <v>0.51</v>
      </c>
      <c r="N25" s="22">
        <v>0.02</v>
      </c>
      <c r="O25" s="22">
        <v>0.18</v>
      </c>
      <c r="P25" s="22"/>
      <c r="Q25" s="22">
        <f t="shared" si="4"/>
        <v>770.15499999999997</v>
      </c>
      <c r="R25" s="22">
        <f t="shared" si="5"/>
        <v>829.13900000000001</v>
      </c>
      <c r="S25" s="22">
        <f t="shared" ref="S25:S30" si="6">N25+O25+D26+E26+F26</f>
        <v>78.032999999999987</v>
      </c>
      <c r="T25" s="22">
        <f t="shared" ref="T25:T31" si="7">N25+O25+D26</f>
        <v>8.3999999999999986</v>
      </c>
    </row>
    <row r="26" spans="1:20" x14ac:dyDescent="0.2">
      <c r="C26" s="137">
        <v>2004</v>
      </c>
      <c r="D26" s="22">
        <v>8.1999999999999993</v>
      </c>
      <c r="E26" s="22">
        <v>27.893999999999998</v>
      </c>
      <c r="F26" s="102">
        <v>41.738999999999997</v>
      </c>
      <c r="G26" s="102">
        <v>51.776000000000003</v>
      </c>
      <c r="H26" s="22">
        <v>102.393</v>
      </c>
      <c r="I26" s="22">
        <v>156.77199999999999</v>
      </c>
      <c r="J26" s="22">
        <v>312.73399999999998</v>
      </c>
      <c r="K26" s="22">
        <v>110.179</v>
      </c>
      <c r="L26" s="22">
        <v>14.207000000000001</v>
      </c>
      <c r="M26" s="22">
        <v>0.52200000000000002</v>
      </c>
      <c r="N26" s="22">
        <v>0</v>
      </c>
      <c r="O26" s="22">
        <v>9.0739999999999998</v>
      </c>
      <c r="P26" s="22"/>
      <c r="Q26" s="22">
        <f t="shared" si="4"/>
        <v>733.85399999999993</v>
      </c>
      <c r="R26" s="22">
        <f t="shared" si="5"/>
        <v>748.06099999999992</v>
      </c>
      <c r="S26" s="22">
        <f t="shared" si="6"/>
        <v>26.696000000000002</v>
      </c>
      <c r="T26" s="22">
        <f t="shared" si="7"/>
        <v>13.466000000000001</v>
      </c>
    </row>
    <row r="27" spans="1:20" x14ac:dyDescent="0.2">
      <c r="C27" s="137">
        <v>2005</v>
      </c>
      <c r="D27" s="22">
        <v>4.3920000000000003</v>
      </c>
      <c r="E27" s="22">
        <v>10.11</v>
      </c>
      <c r="F27" s="102">
        <v>3.12</v>
      </c>
      <c r="G27" s="102">
        <v>1.7999999999999999E-2</v>
      </c>
      <c r="H27" s="22">
        <v>1.7549999999999999</v>
      </c>
      <c r="I27" s="22">
        <v>30.280999999999999</v>
      </c>
      <c r="J27" s="22">
        <v>96.34</v>
      </c>
      <c r="K27" s="22">
        <v>195.78700000000001</v>
      </c>
      <c r="L27" s="22">
        <v>45.588000000000001</v>
      </c>
      <c r="M27" s="22">
        <v>19.736000000000001</v>
      </c>
      <c r="N27" s="22">
        <v>1.698</v>
      </c>
      <c r="O27" s="22">
        <v>1.29</v>
      </c>
      <c r="P27" s="22"/>
      <c r="Q27" s="22">
        <f t="shared" si="4"/>
        <v>324.18100000000004</v>
      </c>
      <c r="R27" s="22">
        <f t="shared" si="5"/>
        <v>369.76900000000006</v>
      </c>
      <c r="S27" s="22">
        <f t="shared" si="6"/>
        <v>18.576000000000001</v>
      </c>
      <c r="T27" s="22">
        <f t="shared" si="7"/>
        <v>2.988</v>
      </c>
    </row>
    <row r="28" spans="1:20" x14ac:dyDescent="0.2">
      <c r="C28" s="137">
        <v>2006</v>
      </c>
      <c r="D28" s="22">
        <v>0</v>
      </c>
      <c r="E28" s="22">
        <v>5.3940000000000001</v>
      </c>
      <c r="F28" s="102">
        <v>10.194000000000001</v>
      </c>
      <c r="G28" s="102">
        <v>0</v>
      </c>
      <c r="H28" s="22">
        <v>6.6230000000000002</v>
      </c>
      <c r="I28" s="22">
        <v>43.570999999999998</v>
      </c>
      <c r="J28" s="22">
        <v>118.752</v>
      </c>
      <c r="K28" s="22">
        <v>387.04599999999999</v>
      </c>
      <c r="L28" s="22">
        <v>31.634</v>
      </c>
      <c r="M28" s="22">
        <v>1.32</v>
      </c>
      <c r="N28" s="22">
        <v>1.3120000000000001</v>
      </c>
      <c r="O28" s="22">
        <v>6.37</v>
      </c>
      <c r="P28" s="22"/>
      <c r="Q28" s="22">
        <f t="shared" si="4"/>
        <v>555.99199999999996</v>
      </c>
      <c r="R28" s="22">
        <f t="shared" si="5"/>
        <v>587.62599999999998</v>
      </c>
      <c r="S28" s="22">
        <f t="shared" si="6"/>
        <v>85.855000000000004</v>
      </c>
      <c r="T28" s="22">
        <f t="shared" si="7"/>
        <v>26.57</v>
      </c>
    </row>
    <row r="29" spans="1:20" x14ac:dyDescent="0.2">
      <c r="C29" s="137">
        <v>2007</v>
      </c>
      <c r="D29" s="22">
        <v>18.888000000000002</v>
      </c>
      <c r="E29" s="22">
        <v>0.27600000000000002</v>
      </c>
      <c r="F29" s="102">
        <v>59.009</v>
      </c>
      <c r="G29" s="102">
        <v>14.42</v>
      </c>
      <c r="H29" s="22">
        <v>62.698</v>
      </c>
      <c r="I29" s="22">
        <v>51.335999999999999</v>
      </c>
      <c r="J29" s="22">
        <v>256.86900000000003</v>
      </c>
      <c r="K29" s="22">
        <v>333.65</v>
      </c>
      <c r="L29" s="22">
        <v>239.822</v>
      </c>
      <c r="M29" s="22">
        <v>88.811999999999998</v>
      </c>
      <c r="N29" s="22">
        <v>0.65500000000000003</v>
      </c>
      <c r="O29" s="22">
        <v>0</v>
      </c>
      <c r="P29" s="22"/>
      <c r="Q29" s="22">
        <f t="shared" si="4"/>
        <v>718.97299999999996</v>
      </c>
      <c r="R29" s="22">
        <f t="shared" si="5"/>
        <v>958.79499999999996</v>
      </c>
      <c r="S29" s="22">
        <f t="shared" si="6"/>
        <v>69.438999999999993</v>
      </c>
      <c r="T29" s="22">
        <f t="shared" si="7"/>
        <v>38.588999999999999</v>
      </c>
    </row>
    <row r="30" spans="1:20" x14ac:dyDescent="0.2">
      <c r="C30" s="137">
        <v>2008</v>
      </c>
      <c r="D30" s="22">
        <v>37.933999999999997</v>
      </c>
      <c r="E30" s="22">
        <v>19.079999999999998</v>
      </c>
      <c r="F30" s="102">
        <v>11.77</v>
      </c>
      <c r="G30" s="102">
        <v>21.077999999999999</v>
      </c>
      <c r="H30" s="22">
        <v>7.6779999999999999</v>
      </c>
      <c r="I30" s="22">
        <v>29.905999999999999</v>
      </c>
      <c r="J30" s="22">
        <v>209.03399999999999</v>
      </c>
      <c r="K30" s="22">
        <v>207.72200000000001</v>
      </c>
      <c r="L30" s="22">
        <v>55.847999999999999</v>
      </c>
      <c r="M30" s="22">
        <v>61.331000000000003</v>
      </c>
      <c r="N30" s="22">
        <v>12.417</v>
      </c>
      <c r="O30" s="22">
        <v>7.24</v>
      </c>
      <c r="P30" s="22"/>
      <c r="Q30" s="22">
        <f t="shared" si="4"/>
        <v>475.41800000000001</v>
      </c>
      <c r="R30" s="22">
        <f t="shared" si="5"/>
        <v>531.26599999999996</v>
      </c>
      <c r="S30" s="22">
        <f t="shared" si="6"/>
        <v>126.79500000000002</v>
      </c>
      <c r="T30" s="22">
        <f t="shared" si="7"/>
        <v>35.887</v>
      </c>
    </row>
    <row r="31" spans="1:20" x14ac:dyDescent="0.2">
      <c r="C31" s="137">
        <v>2009</v>
      </c>
      <c r="D31" s="22">
        <v>16.23</v>
      </c>
      <c r="E31" s="22">
        <v>38.228000000000002</v>
      </c>
      <c r="F31" s="102">
        <v>52.68</v>
      </c>
      <c r="G31" s="102">
        <v>2.4220000000000002</v>
      </c>
      <c r="H31" s="22">
        <v>30.67</v>
      </c>
      <c r="I31" s="22">
        <v>299.36599999999999</v>
      </c>
      <c r="J31" s="22">
        <v>430.32799999999997</v>
      </c>
      <c r="K31" s="22">
        <v>517.39400000000001</v>
      </c>
      <c r="L31" s="22">
        <v>169.57</v>
      </c>
      <c r="M31" s="22">
        <v>27.277999999999999</v>
      </c>
      <c r="N31" s="22">
        <v>8.08</v>
      </c>
      <c r="O31" s="22">
        <v>33.095999999999997</v>
      </c>
      <c r="P31" s="22"/>
      <c r="Q31" s="22">
        <f t="shared" si="4"/>
        <v>1280.1799999999998</v>
      </c>
      <c r="R31" s="22">
        <f t="shared" si="5"/>
        <v>1449.7499999999998</v>
      </c>
      <c r="S31" s="22">
        <f>N31+O31+D32+E32+F32</f>
        <v>338.23199999999997</v>
      </c>
      <c r="T31" s="22">
        <f t="shared" si="7"/>
        <v>61.651999999999994</v>
      </c>
    </row>
    <row r="32" spans="1:20" x14ac:dyDescent="0.2">
      <c r="C32" s="137">
        <v>2010</v>
      </c>
      <c r="D32" s="22">
        <v>20.475999999999999</v>
      </c>
      <c r="E32" s="22">
        <v>161.624</v>
      </c>
      <c r="F32" s="102">
        <v>114.956</v>
      </c>
      <c r="G32" s="102">
        <v>28.042000000000002</v>
      </c>
      <c r="H32" s="22">
        <v>9.2240000000000002</v>
      </c>
      <c r="I32" s="22">
        <v>183.11600000000001</v>
      </c>
      <c r="J32" s="22">
        <v>321.94600000000003</v>
      </c>
      <c r="K32" s="22">
        <v>301.572</v>
      </c>
      <c r="L32" s="22">
        <v>450.95600000000002</v>
      </c>
      <c r="M32" s="22">
        <v>372.17399999999998</v>
      </c>
      <c r="N32" s="22">
        <v>29.704000000000001</v>
      </c>
      <c r="O32" s="22">
        <v>19.495999999999999</v>
      </c>
      <c r="P32" s="22"/>
      <c r="Q32" s="22">
        <f>SUM(G32:K32)</f>
        <v>843.9</v>
      </c>
      <c r="R32" s="22">
        <f>SUM(G32:L32)</f>
        <v>1294.856</v>
      </c>
      <c r="S32" s="22">
        <f>N32+O32+D33+E33+F33</f>
        <v>120.05600000000001</v>
      </c>
      <c r="T32" s="22">
        <f>N32+O32+D33</f>
        <v>53.968000000000004</v>
      </c>
    </row>
    <row r="33" spans="1:22" x14ac:dyDescent="0.2">
      <c r="C33" s="137">
        <v>2011</v>
      </c>
      <c r="D33" s="22">
        <v>4.7679999999999998</v>
      </c>
      <c r="E33" s="22">
        <v>47.372</v>
      </c>
      <c r="F33" s="102">
        <v>18.716000000000001</v>
      </c>
      <c r="G33" s="102">
        <v>14.82</v>
      </c>
      <c r="H33" s="22">
        <v>32.045999999999999</v>
      </c>
      <c r="I33" s="22">
        <v>29.256</v>
      </c>
      <c r="J33" s="22">
        <v>243.3</v>
      </c>
      <c r="K33" s="22">
        <v>758.68</v>
      </c>
      <c r="L33" s="22">
        <v>584.35299999999995</v>
      </c>
      <c r="M33" s="22">
        <v>362.64800000000002</v>
      </c>
      <c r="N33" s="22">
        <v>18.809999999999999</v>
      </c>
      <c r="O33" s="22">
        <v>0.48299999999999998</v>
      </c>
      <c r="P33" s="22"/>
      <c r="Q33" s="22">
        <f>SUM(G33:K33)</f>
        <v>1078.1019999999999</v>
      </c>
      <c r="R33" s="22">
        <f>SUM(G33:L33)</f>
        <v>1662.4549999999999</v>
      </c>
      <c r="S33" s="22">
        <f>N33+O33+D34+E34+F34</f>
        <v>139.34700000000001</v>
      </c>
      <c r="T33" s="22">
        <f>N33+O33+D34</f>
        <v>62.478999999999999</v>
      </c>
    </row>
    <row r="34" spans="1:22" x14ac:dyDescent="0.2">
      <c r="C34" s="137">
        <v>2012</v>
      </c>
      <c r="D34" s="22">
        <v>43.186</v>
      </c>
      <c r="E34" s="22">
        <v>30.347999999999999</v>
      </c>
      <c r="F34" s="102">
        <v>46.52</v>
      </c>
      <c r="G34" s="102">
        <v>0</v>
      </c>
      <c r="H34" s="22">
        <v>33.793999999999997</v>
      </c>
      <c r="I34" s="22">
        <v>15.257999999999999</v>
      </c>
      <c r="J34" s="22">
        <v>315.90600000000001</v>
      </c>
      <c r="K34" s="22">
        <v>372.54599999999999</v>
      </c>
      <c r="L34" s="22">
        <v>439.358</v>
      </c>
      <c r="M34" s="22">
        <v>335.24200000000002</v>
      </c>
      <c r="N34" s="22">
        <v>1.161</v>
      </c>
      <c r="O34" s="22">
        <v>28.198</v>
      </c>
      <c r="P34" s="22"/>
      <c r="Q34" s="22">
        <f>SUM(G34:K34)</f>
        <v>737.50399999999991</v>
      </c>
      <c r="R34" s="22">
        <f>SUM(G34:L34)</f>
        <v>1176.8619999999999</v>
      </c>
      <c r="S34" s="22">
        <f>N34+O34+D35+E35+F35</f>
        <v>403.70699999999999</v>
      </c>
      <c r="T34" s="22">
        <f>N34+O34+D35</f>
        <v>165.727</v>
      </c>
    </row>
    <row r="35" spans="1:22" x14ac:dyDescent="0.2">
      <c r="C35" s="137">
        <v>2013</v>
      </c>
      <c r="D35" s="22">
        <v>136.36799999999999</v>
      </c>
      <c r="E35" s="22">
        <v>86.081999999999994</v>
      </c>
      <c r="F35" s="102">
        <v>151.898</v>
      </c>
      <c r="G35" s="102">
        <v>37.706000000000003</v>
      </c>
      <c r="H35" s="22">
        <v>97.703999999999994</v>
      </c>
      <c r="I35" s="22">
        <v>94.14</v>
      </c>
      <c r="J35" s="22">
        <v>344.83</v>
      </c>
      <c r="K35" s="22">
        <v>356.37400000000002</v>
      </c>
      <c r="L35" s="22">
        <v>248.81200000000001</v>
      </c>
      <c r="M35" s="22">
        <v>167.096</v>
      </c>
      <c r="N35" s="22">
        <v>88.063999999999993</v>
      </c>
      <c r="O35" s="22">
        <v>194.07599999999999</v>
      </c>
      <c r="P35" s="22"/>
      <c r="Q35" s="22">
        <f>SUM(G35:K35)</f>
        <v>930.75400000000002</v>
      </c>
      <c r="R35" s="22">
        <f>SUM(G35:L35)</f>
        <v>1179.566</v>
      </c>
      <c r="S35" s="22">
        <f>N35+O35+D36+E36+F36</f>
        <v>326.52</v>
      </c>
      <c r="T35" s="22">
        <f>N35+O35+D36</f>
        <v>306.642</v>
      </c>
    </row>
    <row r="36" spans="1:22" x14ac:dyDescent="0.2">
      <c r="C36" s="137">
        <v>2014</v>
      </c>
      <c r="D36" s="22">
        <v>24.501999999999999</v>
      </c>
      <c r="E36" s="22">
        <v>2.0960000000000001</v>
      </c>
      <c r="F36" s="102">
        <v>17.782</v>
      </c>
      <c r="G36" s="102">
        <v>2.488</v>
      </c>
      <c r="H36" s="22">
        <v>23.914000000000001</v>
      </c>
      <c r="I36" s="22">
        <v>138.53399999999999</v>
      </c>
      <c r="J36" s="22">
        <v>373.90300000000002</v>
      </c>
      <c r="K36" s="22">
        <v>299.33999999999997</v>
      </c>
      <c r="L36" s="22">
        <v>56.570999999999998</v>
      </c>
      <c r="M36" s="22">
        <v>120.248</v>
      </c>
      <c r="N36" s="22">
        <v>382.64</v>
      </c>
      <c r="O36" s="22">
        <v>53.923999999999999</v>
      </c>
      <c r="P36" s="22"/>
      <c r="Q36" s="22"/>
      <c r="R36" s="22"/>
      <c r="S36" s="22"/>
    </row>
    <row r="37" spans="1:22" x14ac:dyDescent="0.2">
      <c r="C37" s="137">
        <v>2015</v>
      </c>
      <c r="D37" s="22">
        <v>42.11</v>
      </c>
      <c r="E37" s="22">
        <v>52.38</v>
      </c>
      <c r="F37" s="102">
        <v>31.728999999999999</v>
      </c>
      <c r="G37" s="102">
        <v>12.837999999999999</v>
      </c>
      <c r="H37" s="22">
        <v>25.382999999999999</v>
      </c>
      <c r="I37" s="22">
        <v>26.951000000000001</v>
      </c>
      <c r="J37" s="22">
        <v>169.98699999999999</v>
      </c>
      <c r="K37" s="22">
        <v>318.46699999999998</v>
      </c>
      <c r="L37" s="22">
        <v>283.94099999999997</v>
      </c>
      <c r="M37" s="22">
        <v>628.51599999999996</v>
      </c>
      <c r="N37" s="22">
        <v>184.55199999999999</v>
      </c>
      <c r="O37" s="22">
        <v>33.692999999999998</v>
      </c>
      <c r="P37" s="22"/>
      <c r="Q37" s="22"/>
      <c r="R37" s="22"/>
      <c r="S37" s="22"/>
    </row>
    <row r="38" spans="1:22" x14ac:dyDescent="0.2">
      <c r="C38" s="137">
        <v>2016</v>
      </c>
      <c r="D38" s="22">
        <v>43.859000000000002</v>
      </c>
      <c r="E38" s="22">
        <v>35.996000000000002</v>
      </c>
      <c r="F38" s="102">
        <v>102.55800000000001</v>
      </c>
      <c r="G38" s="102">
        <v>6.3150000000000004</v>
      </c>
      <c r="H38" s="22">
        <v>47.125999999999998</v>
      </c>
      <c r="I38" s="22">
        <v>144.49299999999999</v>
      </c>
      <c r="J38" s="22">
        <v>348.05900000000003</v>
      </c>
      <c r="K38" s="22">
        <v>401.10500000000002</v>
      </c>
      <c r="L38" s="22">
        <v>179.56200000000001</v>
      </c>
      <c r="M38" s="22">
        <v>322.78199999999998</v>
      </c>
      <c r="N38" s="22">
        <v>160.00800000000001</v>
      </c>
      <c r="O38" s="22">
        <v>217.48500000000001</v>
      </c>
      <c r="P38" s="22"/>
      <c r="Q38" s="22"/>
      <c r="R38" s="22"/>
      <c r="S38" s="22"/>
    </row>
    <row r="39" spans="1:22" x14ac:dyDescent="0.2">
      <c r="C39" s="137">
        <v>2017</v>
      </c>
      <c r="D39" s="22">
        <v>156.44800000000001</v>
      </c>
      <c r="E39" s="22">
        <v>103.73399999999999</v>
      </c>
      <c r="F39" s="102"/>
      <c r="G39" s="10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22" x14ac:dyDescent="0.2">
      <c r="C40" s="137" t="s">
        <v>55</v>
      </c>
      <c r="D40" s="22"/>
      <c r="E40" s="22"/>
      <c r="F40" s="102"/>
      <c r="G40" s="10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22" x14ac:dyDescent="0.2">
      <c r="D41" s="22"/>
      <c r="E41" s="22"/>
      <c r="F41" s="102"/>
      <c r="G41" s="10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22" x14ac:dyDescent="0.2">
      <c r="D42" s="22"/>
      <c r="E42" s="22"/>
      <c r="F42" s="102"/>
      <c r="G42" s="10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22" x14ac:dyDescent="0.2">
      <c r="A43" s="21" t="s">
        <v>53</v>
      </c>
      <c r="B43" s="21" t="s">
        <v>30</v>
      </c>
      <c r="C43" s="136"/>
      <c r="D43" s="135">
        <v>1</v>
      </c>
      <c r="E43" s="135">
        <v>2</v>
      </c>
      <c r="F43" s="135">
        <v>3</v>
      </c>
      <c r="G43" s="135">
        <v>4</v>
      </c>
      <c r="H43" s="135">
        <v>5</v>
      </c>
      <c r="I43" s="135">
        <v>6</v>
      </c>
      <c r="J43" s="135">
        <v>7</v>
      </c>
      <c r="K43" s="135">
        <v>8</v>
      </c>
      <c r="L43" s="135">
        <v>9</v>
      </c>
      <c r="M43" s="135">
        <v>10</v>
      </c>
      <c r="N43" s="135">
        <v>11</v>
      </c>
      <c r="O43" s="135">
        <v>12</v>
      </c>
      <c r="P43" s="22"/>
      <c r="Q43" s="22" t="s">
        <v>43</v>
      </c>
      <c r="R43" s="21" t="s">
        <v>44</v>
      </c>
      <c r="S43" s="22" t="s">
        <v>42</v>
      </c>
      <c r="T43" s="21" t="s">
        <v>83</v>
      </c>
      <c r="V43" s="76"/>
    </row>
    <row r="44" spans="1:22" x14ac:dyDescent="0.2">
      <c r="C44" s="137">
        <v>2002</v>
      </c>
      <c r="D44" s="22"/>
      <c r="E44" s="22"/>
      <c r="F44" s="102"/>
      <c r="G44" s="102">
        <v>1.9159999999999999</v>
      </c>
      <c r="H44" s="22">
        <v>51.506</v>
      </c>
      <c r="I44" s="22">
        <v>70.944999999999993</v>
      </c>
      <c r="J44" s="22">
        <v>75.875</v>
      </c>
      <c r="K44" s="22">
        <v>36.9</v>
      </c>
      <c r="L44" s="22">
        <v>6.6680000000000001</v>
      </c>
      <c r="M44" s="22">
        <v>0.92</v>
      </c>
      <c r="N44" s="22">
        <v>0.02</v>
      </c>
      <c r="O44" s="22">
        <v>0</v>
      </c>
      <c r="P44" s="22"/>
      <c r="Q44" s="22">
        <f t="shared" ref="Q44:Q50" si="8">SUM(G44:K44)</f>
        <v>237.142</v>
      </c>
      <c r="R44" s="22">
        <f t="shared" ref="R44:R51" si="9">SUM(G44:L44)</f>
        <v>243.81</v>
      </c>
      <c r="S44" s="22">
        <f t="shared" ref="S44:S50" si="10">N44+O44+D45+E45+F45</f>
        <v>24.712000000000003</v>
      </c>
      <c r="T44" s="22">
        <f>N44+O44+D45</f>
        <v>0.02</v>
      </c>
      <c r="V44" s="76"/>
    </row>
    <row r="45" spans="1:22" x14ac:dyDescent="0.2">
      <c r="C45" s="137">
        <v>2003</v>
      </c>
      <c r="D45" s="22">
        <v>0</v>
      </c>
      <c r="E45" s="22">
        <v>0.30399999999999999</v>
      </c>
      <c r="F45" s="102">
        <v>24.388000000000002</v>
      </c>
      <c r="G45" s="102">
        <v>120.41800000000001</v>
      </c>
      <c r="H45" s="22">
        <v>162.02000000000001</v>
      </c>
      <c r="I45" s="22">
        <v>202.26499999999999</v>
      </c>
      <c r="J45" s="22">
        <v>83.566999999999993</v>
      </c>
      <c r="K45" s="22">
        <v>25.667999999999999</v>
      </c>
      <c r="L45" s="22">
        <v>47.338999999999999</v>
      </c>
      <c r="M45" s="22">
        <v>16.503</v>
      </c>
      <c r="N45" s="22">
        <v>6.84</v>
      </c>
      <c r="O45" s="22">
        <v>0.22</v>
      </c>
      <c r="P45" s="22"/>
      <c r="Q45" s="22">
        <f t="shared" si="8"/>
        <v>593.93799999999999</v>
      </c>
      <c r="R45" s="22">
        <f t="shared" si="9"/>
        <v>641.27700000000004</v>
      </c>
      <c r="S45" s="22">
        <f t="shared" si="10"/>
        <v>48.757000000000005</v>
      </c>
      <c r="T45" s="22">
        <f t="shared" ref="T45:T51" si="11">N45+O45+D46</f>
        <v>7.06</v>
      </c>
      <c r="V45" s="76"/>
    </row>
    <row r="46" spans="1:22" x14ac:dyDescent="0.2">
      <c r="C46" s="137">
        <v>2004</v>
      </c>
      <c r="D46" s="22">
        <v>0</v>
      </c>
      <c r="E46" s="22">
        <v>16.359000000000002</v>
      </c>
      <c r="F46" s="102">
        <v>25.338000000000001</v>
      </c>
      <c r="G46" s="102">
        <v>1.002</v>
      </c>
      <c r="H46" s="22">
        <v>117.47199999999999</v>
      </c>
      <c r="I46" s="22">
        <v>178.62</v>
      </c>
      <c r="J46" s="22">
        <v>56.991999999999997</v>
      </c>
      <c r="K46" s="22">
        <v>23.65</v>
      </c>
      <c r="L46" s="22">
        <v>46.89</v>
      </c>
      <c r="M46" s="22">
        <v>37.630000000000003</v>
      </c>
      <c r="N46" s="22">
        <v>17.777999999999999</v>
      </c>
      <c r="O46" s="22">
        <v>6.6429999999999998</v>
      </c>
      <c r="P46" s="22"/>
      <c r="Q46" s="22">
        <f t="shared" si="8"/>
        <v>377.73599999999999</v>
      </c>
      <c r="R46" s="22">
        <f t="shared" si="9"/>
        <v>424.62599999999998</v>
      </c>
      <c r="S46" s="22">
        <f t="shared" si="10"/>
        <v>188.917</v>
      </c>
      <c r="T46" s="22">
        <f t="shared" si="11"/>
        <v>49.620999999999995</v>
      </c>
      <c r="V46" s="76"/>
    </row>
    <row r="47" spans="1:22" x14ac:dyDescent="0.2">
      <c r="C47" s="137">
        <v>2005</v>
      </c>
      <c r="D47" s="22">
        <v>25.2</v>
      </c>
      <c r="E47" s="22">
        <v>62.616</v>
      </c>
      <c r="F47" s="102">
        <v>76.680000000000007</v>
      </c>
      <c r="G47" s="102">
        <v>53.345999999999997</v>
      </c>
      <c r="H47" s="22">
        <v>31.59</v>
      </c>
      <c r="I47" s="22">
        <v>55.87</v>
      </c>
      <c r="J47" s="22">
        <v>45.167999999999999</v>
      </c>
      <c r="K47" s="22">
        <v>45.393000000000001</v>
      </c>
      <c r="L47" s="22">
        <v>8</v>
      </c>
      <c r="M47" s="22">
        <v>81.224000000000004</v>
      </c>
      <c r="N47" s="22">
        <v>70.596000000000004</v>
      </c>
      <c r="O47" s="22">
        <v>37.01</v>
      </c>
      <c r="P47" s="22"/>
      <c r="Q47" s="22">
        <f t="shared" si="8"/>
        <v>231.36699999999999</v>
      </c>
      <c r="R47" s="22">
        <f t="shared" si="9"/>
        <v>239.36699999999999</v>
      </c>
      <c r="S47" s="22">
        <f t="shared" si="10"/>
        <v>278.25900000000001</v>
      </c>
      <c r="T47" s="22">
        <f t="shared" si="11"/>
        <v>158.946</v>
      </c>
      <c r="V47" s="76"/>
    </row>
    <row r="48" spans="1:22" x14ac:dyDescent="0.2">
      <c r="C48" s="137">
        <v>2006</v>
      </c>
      <c r="D48" s="22">
        <v>51.34</v>
      </c>
      <c r="E48" s="22">
        <v>67.433000000000007</v>
      </c>
      <c r="F48" s="102">
        <v>51.88</v>
      </c>
      <c r="G48" s="102">
        <v>60.723999999999997</v>
      </c>
      <c r="H48" s="22">
        <v>51.893999999999998</v>
      </c>
      <c r="I48" s="22">
        <v>79.146000000000001</v>
      </c>
      <c r="J48" s="22">
        <v>60.774000000000001</v>
      </c>
      <c r="K48" s="22">
        <v>50.774000000000001</v>
      </c>
      <c r="L48" s="22">
        <v>50.637</v>
      </c>
      <c r="M48" s="22">
        <v>74.772999999999996</v>
      </c>
      <c r="N48" s="22">
        <v>39.466000000000001</v>
      </c>
      <c r="O48" s="22">
        <v>18.2</v>
      </c>
      <c r="P48" s="22"/>
      <c r="Q48" s="22">
        <f t="shared" si="8"/>
        <v>303.31200000000001</v>
      </c>
      <c r="R48" s="22">
        <f t="shared" si="9"/>
        <v>353.94900000000001</v>
      </c>
      <c r="S48" s="22">
        <f t="shared" si="10"/>
        <v>298.45899999999995</v>
      </c>
      <c r="T48" s="22">
        <f t="shared" si="11"/>
        <v>166.12599999999998</v>
      </c>
      <c r="V48" s="76"/>
    </row>
    <row r="49" spans="1:24" x14ac:dyDescent="0.2">
      <c r="C49" s="137">
        <v>2007</v>
      </c>
      <c r="D49" s="22">
        <v>108.46</v>
      </c>
      <c r="E49" s="22">
        <v>108.227</v>
      </c>
      <c r="F49" s="102">
        <v>24.106000000000002</v>
      </c>
      <c r="G49" s="102">
        <v>20.864000000000001</v>
      </c>
      <c r="H49" s="22">
        <v>97.995000000000005</v>
      </c>
      <c r="I49" s="22">
        <v>165.60599999999999</v>
      </c>
      <c r="J49" s="22">
        <v>181.149</v>
      </c>
      <c r="K49" s="22">
        <v>141.11600000000001</v>
      </c>
      <c r="L49" s="22">
        <v>62.07</v>
      </c>
      <c r="M49" s="22">
        <v>12.864000000000001</v>
      </c>
      <c r="N49" s="22">
        <v>1.3</v>
      </c>
      <c r="O49" s="22">
        <v>0.56000000000000005</v>
      </c>
      <c r="P49" s="22"/>
      <c r="Q49" s="22">
        <f t="shared" si="8"/>
        <v>606.73</v>
      </c>
      <c r="R49" s="22">
        <f t="shared" si="9"/>
        <v>668.80000000000007</v>
      </c>
      <c r="S49" s="22">
        <f t="shared" si="10"/>
        <v>232.2</v>
      </c>
      <c r="T49" s="22">
        <f t="shared" si="11"/>
        <v>27.41</v>
      </c>
      <c r="V49" s="76"/>
    </row>
    <row r="50" spans="1:24" x14ac:dyDescent="0.2">
      <c r="C50" s="137">
        <v>2008</v>
      </c>
      <c r="D50" s="22">
        <v>25.55</v>
      </c>
      <c r="E50" s="22">
        <v>75.33</v>
      </c>
      <c r="F50" s="102">
        <v>129.46</v>
      </c>
      <c r="G50" s="102">
        <v>29.34</v>
      </c>
      <c r="H50" s="22">
        <v>68.963999999999999</v>
      </c>
      <c r="I50" s="22">
        <v>105.126</v>
      </c>
      <c r="J50" s="22">
        <v>102.93600000000001</v>
      </c>
      <c r="K50" s="22">
        <v>91.4</v>
      </c>
      <c r="L50" s="22">
        <v>54.323999999999998</v>
      </c>
      <c r="M50" s="22">
        <v>18.64</v>
      </c>
      <c r="N50" s="22">
        <v>0.02</v>
      </c>
      <c r="O50" s="22">
        <v>0.15</v>
      </c>
      <c r="P50" s="22"/>
      <c r="Q50" s="22">
        <f t="shared" si="8"/>
        <v>397.76599999999996</v>
      </c>
      <c r="R50" s="22">
        <f t="shared" si="9"/>
        <v>452.09</v>
      </c>
      <c r="S50" s="22">
        <f t="shared" si="10"/>
        <v>46.34</v>
      </c>
      <c r="T50" s="22">
        <f t="shared" si="11"/>
        <v>6.51</v>
      </c>
      <c r="V50" s="76"/>
    </row>
    <row r="51" spans="1:24" x14ac:dyDescent="0.2">
      <c r="C51" s="137">
        <v>2009</v>
      </c>
      <c r="D51" s="22">
        <v>6.34</v>
      </c>
      <c r="E51" s="22">
        <v>15.19</v>
      </c>
      <c r="F51" s="102">
        <v>24.64</v>
      </c>
      <c r="G51" s="102">
        <v>15.336</v>
      </c>
      <c r="H51" s="22">
        <v>35.94</v>
      </c>
      <c r="I51" s="22">
        <v>163.53399999999999</v>
      </c>
      <c r="J51" s="22">
        <v>155.696</v>
      </c>
      <c r="K51" s="22">
        <v>61.225999999999999</v>
      </c>
      <c r="L51" s="22">
        <v>18.739999999999998</v>
      </c>
      <c r="M51" s="22">
        <v>0.02</v>
      </c>
      <c r="N51" s="22">
        <v>0</v>
      </c>
      <c r="O51" s="22">
        <v>13.013999999999999</v>
      </c>
      <c r="P51" s="22"/>
      <c r="Q51" s="22">
        <f>SUM(G51:K51)</f>
        <v>431.73199999999997</v>
      </c>
      <c r="R51" s="22">
        <f t="shared" si="9"/>
        <v>450.47199999999998</v>
      </c>
      <c r="S51" s="22">
        <f>N51+O51+D52+E52+F52</f>
        <v>102.60400000000001</v>
      </c>
      <c r="T51" s="22">
        <f t="shared" si="11"/>
        <v>32.521999999999998</v>
      </c>
      <c r="U51" s="106"/>
      <c r="V51" s="105"/>
    </row>
    <row r="52" spans="1:24" x14ac:dyDescent="0.2">
      <c r="C52" s="137">
        <v>2010</v>
      </c>
      <c r="D52" s="22">
        <v>19.507999999999999</v>
      </c>
      <c r="E52" s="22">
        <v>58.682000000000002</v>
      </c>
      <c r="F52" s="102">
        <v>11.4</v>
      </c>
      <c r="G52" s="102">
        <v>29.66</v>
      </c>
      <c r="H52" s="22">
        <v>92.570999999999998</v>
      </c>
      <c r="I52" s="22">
        <v>159.87799999999999</v>
      </c>
      <c r="J52" s="22">
        <v>132.607</v>
      </c>
      <c r="K52" s="22">
        <v>49.444000000000003</v>
      </c>
      <c r="L52" s="22">
        <v>22.228000000000002</v>
      </c>
      <c r="M52" s="22">
        <v>7.64</v>
      </c>
      <c r="N52" s="22">
        <v>1.42</v>
      </c>
      <c r="O52" s="22">
        <v>1.04</v>
      </c>
      <c r="P52" s="22"/>
      <c r="Q52" s="22">
        <f>SUM(G52:K52)</f>
        <v>464.16</v>
      </c>
      <c r="R52" s="22">
        <f>SUM(G52:L52)</f>
        <v>486.38800000000003</v>
      </c>
      <c r="S52" s="22">
        <f>N52+O52+D53+E53+F53</f>
        <v>92.733999999999995</v>
      </c>
      <c r="T52" s="22">
        <f>N52+O52+D53</f>
        <v>17.38</v>
      </c>
      <c r="U52" s="106"/>
      <c r="V52" s="105"/>
    </row>
    <row r="53" spans="1:24" x14ac:dyDescent="0.2">
      <c r="C53" s="137">
        <v>2011</v>
      </c>
      <c r="D53" s="22">
        <v>14.92</v>
      </c>
      <c r="E53" s="22">
        <v>45.554000000000002</v>
      </c>
      <c r="F53" s="102">
        <v>29.8</v>
      </c>
      <c r="G53" s="102">
        <v>56.677999999999997</v>
      </c>
      <c r="H53" s="22">
        <v>52.29</v>
      </c>
      <c r="I53" s="22">
        <v>83.94</v>
      </c>
      <c r="J53" s="22">
        <v>107.794</v>
      </c>
      <c r="K53" s="22">
        <v>187.416</v>
      </c>
      <c r="L53" s="22">
        <v>16.178000000000001</v>
      </c>
      <c r="M53" s="22">
        <v>31.39</v>
      </c>
      <c r="N53" s="22">
        <v>4.4660000000000002</v>
      </c>
      <c r="O53" s="22">
        <v>2.2599999999999998</v>
      </c>
      <c r="P53" s="22"/>
      <c r="Q53" s="22">
        <f>SUM(G53:K53)</f>
        <v>488.11799999999999</v>
      </c>
      <c r="R53" s="22">
        <f>SUM(G53:L53)</f>
        <v>504.29599999999999</v>
      </c>
      <c r="S53" s="22">
        <f>N53+O53+D54+E54+F54</f>
        <v>150.13</v>
      </c>
      <c r="T53" s="22">
        <f>N53+O53+D54</f>
        <v>27.785999999999998</v>
      </c>
      <c r="U53" s="106">
        <f>T53/T52*100</f>
        <v>159.87341772151896</v>
      </c>
      <c r="V53" s="127">
        <f>T53/AVERAGE(T48:T52)*100</f>
        <v>55.583561380767208</v>
      </c>
    </row>
    <row r="54" spans="1:24" x14ac:dyDescent="0.2">
      <c r="C54" s="137">
        <v>2012</v>
      </c>
      <c r="D54" s="22">
        <v>21.06</v>
      </c>
      <c r="E54" s="22">
        <v>39.89</v>
      </c>
      <c r="F54" s="102">
        <v>82.453999999999994</v>
      </c>
      <c r="G54" s="102">
        <v>57.95</v>
      </c>
      <c r="H54" s="22">
        <v>41.363999999999997</v>
      </c>
      <c r="I54" s="22">
        <v>62.484000000000002</v>
      </c>
      <c r="J54" s="22">
        <v>156.38</v>
      </c>
      <c r="K54" s="22">
        <v>58.305999999999997</v>
      </c>
      <c r="L54" s="22">
        <v>78.542000000000002</v>
      </c>
      <c r="M54" s="22">
        <v>29.562000000000001</v>
      </c>
      <c r="N54" s="22">
        <v>19.773</v>
      </c>
      <c r="O54" s="22">
        <v>35.15</v>
      </c>
      <c r="P54" s="22"/>
      <c r="Q54" s="22">
        <f>SUM(G54:K54)</f>
        <v>376.48399999999998</v>
      </c>
      <c r="R54" s="22">
        <f>SUM(G54:L54)</f>
        <v>455.02599999999995</v>
      </c>
      <c r="S54" s="22">
        <f>N54+O54+D55+E55+F55</f>
        <v>183.43900000000002</v>
      </c>
      <c r="T54" s="22">
        <f>N54+O54+D55</f>
        <v>87.781000000000006</v>
      </c>
      <c r="U54" s="106"/>
      <c r="V54" s="105"/>
    </row>
    <row r="55" spans="1:24" x14ac:dyDescent="0.2">
      <c r="C55" s="137">
        <v>2013</v>
      </c>
      <c r="D55" s="22">
        <v>32.857999999999997</v>
      </c>
      <c r="E55" s="22">
        <v>61</v>
      </c>
      <c r="F55" s="102">
        <v>34.658000000000001</v>
      </c>
      <c r="G55" s="102">
        <v>7.4340000000000002</v>
      </c>
      <c r="H55" s="22">
        <v>316.83999999999997</v>
      </c>
      <c r="I55" s="22">
        <v>303.47199999999998</v>
      </c>
      <c r="J55" s="22">
        <v>180.53700000000001</v>
      </c>
      <c r="K55" s="22">
        <v>135.86199999999999</v>
      </c>
      <c r="L55" s="22">
        <v>19.03</v>
      </c>
      <c r="M55" s="22">
        <v>15.38</v>
      </c>
      <c r="N55" s="22">
        <v>3.5459999999999998</v>
      </c>
      <c r="O55" s="22">
        <v>24.856000000000002</v>
      </c>
      <c r="P55" s="22"/>
      <c r="Q55" s="22">
        <f>SUM(G55:K55)</f>
        <v>944.14499999999998</v>
      </c>
      <c r="R55" s="22">
        <f>SUM(G55:L55)</f>
        <v>963.17499999999995</v>
      </c>
      <c r="S55" s="22">
        <f>N55+O55+D56+E56+F56</f>
        <v>174.37900000000002</v>
      </c>
      <c r="T55" s="22">
        <f>N55+O55+D56</f>
        <v>62.993000000000002</v>
      </c>
      <c r="U55" s="106"/>
      <c r="V55" s="105"/>
    </row>
    <row r="56" spans="1:24" x14ac:dyDescent="0.2">
      <c r="C56" s="137">
        <v>2014</v>
      </c>
      <c r="D56" s="22">
        <v>34.591000000000001</v>
      </c>
      <c r="E56" s="22">
        <v>65.98</v>
      </c>
      <c r="F56" s="102">
        <v>45.405999999999999</v>
      </c>
      <c r="G56" s="102">
        <v>91.816000000000003</v>
      </c>
      <c r="H56" s="22">
        <v>65.617999999999995</v>
      </c>
      <c r="I56" s="22">
        <v>111.5</v>
      </c>
      <c r="J56" s="22">
        <v>107.648</v>
      </c>
      <c r="K56" s="22">
        <v>90.462000000000003</v>
      </c>
      <c r="L56" s="22">
        <v>6.7220000000000004</v>
      </c>
      <c r="M56" s="22">
        <v>43.085999999999999</v>
      </c>
      <c r="N56" s="22">
        <v>16.655000000000001</v>
      </c>
      <c r="O56" s="22">
        <v>1.28</v>
      </c>
      <c r="P56" s="22"/>
      <c r="Q56" s="22"/>
      <c r="R56" s="22"/>
      <c r="S56" s="22"/>
      <c r="U56" s="106"/>
      <c r="V56" s="105"/>
    </row>
    <row r="57" spans="1:24" x14ac:dyDescent="0.2">
      <c r="C57" s="137">
        <v>2015</v>
      </c>
      <c r="D57" s="22">
        <v>7.556</v>
      </c>
      <c r="E57" s="22">
        <v>39.444000000000003</v>
      </c>
      <c r="F57" s="102">
        <v>40.661000000000001</v>
      </c>
      <c r="G57" s="102">
        <v>72.510000000000005</v>
      </c>
      <c r="H57" s="22">
        <v>125.084</v>
      </c>
      <c r="I57" s="22">
        <v>90.316000000000003</v>
      </c>
      <c r="J57" s="22">
        <v>161.5</v>
      </c>
      <c r="K57" s="22">
        <v>107.331</v>
      </c>
      <c r="L57" s="22">
        <v>9.4619999999999997</v>
      </c>
      <c r="M57" s="22">
        <v>16.940000000000001</v>
      </c>
      <c r="N57" s="22">
        <v>51.654000000000003</v>
      </c>
      <c r="O57" s="22">
        <v>2.1680000000000001</v>
      </c>
      <c r="P57" s="22"/>
      <c r="Q57" s="22"/>
      <c r="R57" s="22"/>
      <c r="S57" s="22"/>
      <c r="U57" s="106"/>
      <c r="V57" s="105"/>
    </row>
    <row r="58" spans="1:24" x14ac:dyDescent="0.2">
      <c r="C58" s="137">
        <v>2016</v>
      </c>
      <c r="D58" s="22">
        <v>5.87</v>
      </c>
      <c r="E58" s="22">
        <v>1.26</v>
      </c>
      <c r="F58" s="102">
        <v>13.108000000000001</v>
      </c>
      <c r="G58" s="102">
        <v>40.454999999999998</v>
      </c>
      <c r="H58" s="22">
        <v>103.748</v>
      </c>
      <c r="I58" s="22">
        <v>169.18899999999999</v>
      </c>
      <c r="J58" s="22">
        <v>94.426000000000002</v>
      </c>
      <c r="K58" s="22">
        <v>35.49</v>
      </c>
      <c r="L58" s="22">
        <v>26.603999999999999</v>
      </c>
      <c r="M58" s="22">
        <v>13.304</v>
      </c>
      <c r="N58" s="22">
        <v>7.5960000000000001</v>
      </c>
      <c r="O58" s="22">
        <v>3.004</v>
      </c>
      <c r="P58" s="22"/>
      <c r="Q58" s="22"/>
      <c r="R58" s="22"/>
      <c r="S58" s="22"/>
      <c r="U58" s="106"/>
      <c r="V58" s="105"/>
    </row>
    <row r="59" spans="1:24" x14ac:dyDescent="0.2">
      <c r="C59" s="137">
        <v>2017</v>
      </c>
      <c r="D59" s="22">
        <v>3.35</v>
      </c>
      <c r="E59" s="22">
        <v>20.356000000000002</v>
      </c>
      <c r="F59" s="102"/>
      <c r="G59" s="10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U59" s="106"/>
      <c r="V59" s="105"/>
    </row>
    <row r="60" spans="1:24" x14ac:dyDescent="0.2">
      <c r="C60" s="137" t="s">
        <v>55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24" x14ac:dyDescent="0.2">
      <c r="C61" s="138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24" x14ac:dyDescent="0.2"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24" x14ac:dyDescent="0.2">
      <c r="A63" s="21" t="s">
        <v>54</v>
      </c>
      <c r="B63" s="21" t="s">
        <v>1</v>
      </c>
      <c r="C63" s="136"/>
      <c r="D63" s="135">
        <v>1</v>
      </c>
      <c r="E63" s="135">
        <v>2</v>
      </c>
      <c r="F63" s="135">
        <v>3</v>
      </c>
      <c r="G63" s="135">
        <v>4</v>
      </c>
      <c r="H63" s="135">
        <v>5</v>
      </c>
      <c r="I63" s="135">
        <v>6</v>
      </c>
      <c r="J63" s="135">
        <v>7</v>
      </c>
      <c r="K63" s="135">
        <v>8</v>
      </c>
      <c r="L63" s="135">
        <v>9</v>
      </c>
      <c r="M63" s="135">
        <v>10</v>
      </c>
      <c r="N63" s="135">
        <v>11</v>
      </c>
      <c r="O63" s="135">
        <v>12</v>
      </c>
      <c r="P63" s="22"/>
      <c r="Q63" s="22"/>
      <c r="R63" s="22"/>
      <c r="S63" s="22"/>
      <c r="V63" s="94"/>
      <c r="W63" s="94"/>
      <c r="X63" s="94"/>
    </row>
    <row r="64" spans="1:24" x14ac:dyDescent="0.2">
      <c r="C64" s="137">
        <v>2007</v>
      </c>
      <c r="D64" s="22"/>
      <c r="E64" s="22"/>
      <c r="F64" s="22"/>
      <c r="G64" s="22">
        <v>0</v>
      </c>
      <c r="H64" s="22">
        <v>1.105</v>
      </c>
      <c r="I64" s="22">
        <v>3.964</v>
      </c>
      <c r="J64" s="22">
        <v>10.768000000000001</v>
      </c>
      <c r="K64" s="22">
        <v>27.61</v>
      </c>
      <c r="L64" s="22">
        <v>1.74</v>
      </c>
      <c r="M64" s="22">
        <v>0</v>
      </c>
      <c r="N64" s="22">
        <v>0</v>
      </c>
      <c r="O64" s="22">
        <v>0</v>
      </c>
      <c r="P64" s="22"/>
      <c r="Q64" s="22"/>
      <c r="S64" s="22"/>
      <c r="V64" s="76"/>
      <c r="W64" s="76"/>
      <c r="X64" s="76"/>
    </row>
    <row r="65" spans="1:24" x14ac:dyDescent="0.2">
      <c r="C65" s="137">
        <v>2008</v>
      </c>
      <c r="D65" s="22">
        <v>0</v>
      </c>
      <c r="E65" s="22">
        <v>0</v>
      </c>
      <c r="F65" s="22">
        <v>0</v>
      </c>
      <c r="G65" s="22">
        <v>0</v>
      </c>
      <c r="H65" s="22">
        <v>0.02</v>
      </c>
      <c r="I65" s="22">
        <v>0.04</v>
      </c>
      <c r="J65" s="22">
        <v>0.84699999999999998</v>
      </c>
      <c r="K65" s="22">
        <v>0</v>
      </c>
      <c r="L65" s="22">
        <v>680</v>
      </c>
      <c r="M65" s="22">
        <v>0.12</v>
      </c>
      <c r="N65" s="22">
        <v>0</v>
      </c>
      <c r="O65" s="22">
        <v>0</v>
      </c>
      <c r="P65" s="22"/>
      <c r="Q65" s="22"/>
      <c r="S65" s="22"/>
      <c r="V65" s="76"/>
      <c r="W65" s="76"/>
      <c r="X65" s="76"/>
    </row>
    <row r="66" spans="1:24" x14ac:dyDescent="0.2">
      <c r="C66" s="137">
        <v>2009</v>
      </c>
      <c r="D66" s="22">
        <v>0</v>
      </c>
      <c r="E66" s="22">
        <v>0</v>
      </c>
      <c r="F66" s="22">
        <v>0</v>
      </c>
      <c r="G66" s="22">
        <v>0</v>
      </c>
      <c r="H66" s="22">
        <v>0.06</v>
      </c>
      <c r="I66" s="22">
        <v>0.12</v>
      </c>
      <c r="J66" s="22">
        <v>6.0000000000000001E-3</v>
      </c>
      <c r="K66" s="22">
        <v>0.52</v>
      </c>
      <c r="L66" s="22">
        <v>0.04</v>
      </c>
      <c r="M66" s="22">
        <v>0</v>
      </c>
      <c r="N66" s="22">
        <v>0</v>
      </c>
      <c r="O66" s="22">
        <v>0</v>
      </c>
      <c r="P66" s="22"/>
      <c r="Q66" s="22"/>
      <c r="S66" s="22"/>
      <c r="V66" s="76"/>
      <c r="W66" s="76"/>
      <c r="X66" s="76"/>
    </row>
    <row r="67" spans="1:24" x14ac:dyDescent="0.2">
      <c r="C67" s="137">
        <v>2010</v>
      </c>
      <c r="D67" s="22">
        <v>0</v>
      </c>
      <c r="E67" s="102">
        <v>0</v>
      </c>
      <c r="F67" s="102">
        <v>0</v>
      </c>
      <c r="G67" s="102">
        <v>0</v>
      </c>
      <c r="H67" s="102">
        <v>0</v>
      </c>
      <c r="I67" s="22">
        <v>0.18</v>
      </c>
      <c r="J67" s="22">
        <v>0.54</v>
      </c>
      <c r="K67" s="22">
        <v>0.14000000000000001</v>
      </c>
      <c r="L67" s="22">
        <v>0.04</v>
      </c>
      <c r="M67" s="22">
        <v>0</v>
      </c>
      <c r="N67" s="22">
        <v>0</v>
      </c>
      <c r="O67" s="22">
        <v>0</v>
      </c>
      <c r="P67" s="22"/>
      <c r="Q67" s="22"/>
      <c r="S67" s="22"/>
      <c r="V67" s="76"/>
      <c r="W67" s="76"/>
      <c r="X67" s="76"/>
    </row>
    <row r="68" spans="1:24" x14ac:dyDescent="0.2">
      <c r="C68" s="137">
        <v>2011</v>
      </c>
      <c r="D68" s="22">
        <v>0</v>
      </c>
      <c r="E68" s="102">
        <v>0</v>
      </c>
      <c r="F68" s="102">
        <v>0</v>
      </c>
      <c r="G68" s="102">
        <v>0</v>
      </c>
      <c r="H68" s="10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/>
      <c r="Q68" s="22"/>
      <c r="S68" s="22"/>
      <c r="V68" s="76"/>
      <c r="W68" s="76"/>
      <c r="X68" s="76"/>
    </row>
    <row r="69" spans="1:24" x14ac:dyDescent="0.2">
      <c r="C69" s="137">
        <v>2012</v>
      </c>
      <c r="D69" s="22">
        <v>0</v>
      </c>
      <c r="E69" s="22">
        <v>0</v>
      </c>
      <c r="F69" s="22">
        <v>0</v>
      </c>
      <c r="G69" s="102">
        <v>0</v>
      </c>
      <c r="H69" s="10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/>
      <c r="Q69" s="22"/>
      <c r="S69" s="22"/>
      <c r="V69" s="76"/>
      <c r="W69" s="76"/>
      <c r="X69" s="76"/>
    </row>
    <row r="70" spans="1:24" x14ac:dyDescent="0.2">
      <c r="C70" s="137">
        <v>2013</v>
      </c>
      <c r="D70" s="102">
        <v>0</v>
      </c>
      <c r="E70" s="102">
        <v>0</v>
      </c>
      <c r="F70" s="102">
        <v>0</v>
      </c>
      <c r="G70" s="102">
        <v>0</v>
      </c>
      <c r="H70" s="102">
        <v>0</v>
      </c>
      <c r="I70" s="22">
        <v>0</v>
      </c>
      <c r="J70" s="22">
        <v>0</v>
      </c>
      <c r="K70" s="22">
        <v>0.86099999999999999</v>
      </c>
      <c r="L70" s="22">
        <v>0</v>
      </c>
      <c r="M70" s="22">
        <v>0</v>
      </c>
      <c r="N70" s="22">
        <v>0</v>
      </c>
      <c r="O70" s="22">
        <v>0</v>
      </c>
      <c r="P70" s="22"/>
      <c r="Q70" s="22"/>
      <c r="S70" s="22"/>
      <c r="V70" s="76"/>
      <c r="W70" s="76"/>
      <c r="X70" s="76"/>
    </row>
    <row r="71" spans="1:24" x14ac:dyDescent="0.2">
      <c r="C71" s="137">
        <v>2014</v>
      </c>
      <c r="D71" s="102">
        <v>0</v>
      </c>
      <c r="E71" s="102">
        <v>0</v>
      </c>
      <c r="F71" s="102">
        <v>0</v>
      </c>
      <c r="G71" s="102">
        <v>0</v>
      </c>
      <c r="H71" s="102">
        <v>0</v>
      </c>
      <c r="I71" s="22">
        <v>0</v>
      </c>
      <c r="J71" s="22">
        <v>0.83</v>
      </c>
      <c r="K71" s="22">
        <v>0.42</v>
      </c>
      <c r="L71" s="22">
        <v>0</v>
      </c>
      <c r="M71" s="22">
        <v>0</v>
      </c>
      <c r="N71" s="22">
        <v>0</v>
      </c>
      <c r="O71" s="22">
        <v>0</v>
      </c>
      <c r="P71" s="22"/>
      <c r="Q71" s="22"/>
      <c r="S71" s="22"/>
      <c r="V71" s="76"/>
      <c r="W71" s="76"/>
      <c r="X71" s="76"/>
    </row>
    <row r="72" spans="1:24" x14ac:dyDescent="0.2">
      <c r="C72" s="137">
        <v>2015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22">
        <v>0</v>
      </c>
      <c r="J72" s="22">
        <v>0</v>
      </c>
      <c r="K72" s="22">
        <v>1.482</v>
      </c>
      <c r="L72" s="22">
        <v>0</v>
      </c>
      <c r="M72" s="22">
        <v>0</v>
      </c>
      <c r="N72" s="22">
        <v>0</v>
      </c>
      <c r="O72" s="22">
        <v>0</v>
      </c>
      <c r="P72" s="22"/>
      <c r="Q72" s="22"/>
      <c r="S72" s="22"/>
      <c r="V72" s="76"/>
      <c r="W72" s="76"/>
      <c r="X72" s="76"/>
    </row>
    <row r="73" spans="1:24" x14ac:dyDescent="0.2">
      <c r="C73" s="137">
        <v>2016</v>
      </c>
      <c r="D73" s="102">
        <v>0</v>
      </c>
      <c r="E73" s="102">
        <v>0</v>
      </c>
      <c r="F73" s="102">
        <v>0</v>
      </c>
      <c r="G73" s="102">
        <v>0</v>
      </c>
      <c r="H73" s="102">
        <v>1210</v>
      </c>
      <c r="I73" s="22">
        <v>0</v>
      </c>
      <c r="J73" s="22">
        <v>4.3849999999999998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/>
      <c r="Q73" s="22"/>
      <c r="S73" s="22"/>
      <c r="V73" s="76"/>
      <c r="W73" s="76"/>
      <c r="X73" s="76"/>
    </row>
    <row r="74" spans="1:24" x14ac:dyDescent="0.2">
      <c r="C74" s="137">
        <v>2017</v>
      </c>
      <c r="D74" s="102">
        <v>0</v>
      </c>
      <c r="E74" s="102">
        <v>0</v>
      </c>
      <c r="F74" s="102"/>
      <c r="G74" s="102"/>
      <c r="H74" s="102"/>
      <c r="I74" s="22"/>
      <c r="J74" s="22"/>
      <c r="K74" s="22"/>
      <c r="L74" s="22"/>
      <c r="M74" s="22"/>
      <c r="N74" s="22"/>
      <c r="O74" s="22"/>
      <c r="P74" s="22"/>
      <c r="Q74" s="22"/>
      <c r="S74" s="22"/>
      <c r="V74" s="76"/>
      <c r="W74" s="76"/>
      <c r="X74" s="76"/>
    </row>
    <row r="75" spans="1:24" x14ac:dyDescent="0.2">
      <c r="D75" s="22"/>
      <c r="E75" s="102"/>
      <c r="F75" s="102"/>
      <c r="G75" s="102"/>
      <c r="H75" s="102"/>
      <c r="I75" s="22"/>
      <c r="J75" s="22"/>
      <c r="K75" s="22"/>
      <c r="L75" s="22"/>
      <c r="M75" s="22"/>
      <c r="N75" s="22"/>
      <c r="O75" s="22"/>
      <c r="P75" s="22"/>
      <c r="Q75" s="22"/>
      <c r="S75" s="22"/>
      <c r="U75" s="94"/>
      <c r="V75" s="76"/>
      <c r="W75" s="76"/>
      <c r="X75" s="76"/>
    </row>
    <row r="76" spans="1:24" x14ac:dyDescent="0.2">
      <c r="A76" s="21" t="s">
        <v>54</v>
      </c>
      <c r="B76" s="21" t="s">
        <v>31</v>
      </c>
      <c r="C76" s="136"/>
      <c r="D76" s="135">
        <v>1</v>
      </c>
      <c r="E76" s="135">
        <v>2</v>
      </c>
      <c r="F76" s="135">
        <v>3</v>
      </c>
      <c r="G76" s="135">
        <v>4</v>
      </c>
      <c r="H76" s="135">
        <v>5</v>
      </c>
      <c r="I76" s="135">
        <v>6</v>
      </c>
      <c r="J76" s="135">
        <v>7</v>
      </c>
      <c r="K76" s="135">
        <v>8</v>
      </c>
      <c r="L76" s="135">
        <v>9</v>
      </c>
      <c r="M76" s="135">
        <v>10</v>
      </c>
      <c r="N76" s="135">
        <v>11</v>
      </c>
      <c r="O76" s="135">
        <v>12</v>
      </c>
      <c r="P76" s="22"/>
      <c r="Q76" s="22"/>
      <c r="S76" s="22"/>
      <c r="U76" s="94"/>
      <c r="V76" s="76"/>
      <c r="W76" s="76"/>
      <c r="X76" s="76"/>
    </row>
    <row r="77" spans="1:24" x14ac:dyDescent="0.2">
      <c r="C77" s="137">
        <v>2007</v>
      </c>
      <c r="D77" s="22"/>
      <c r="E77" s="102"/>
      <c r="F77" s="102"/>
      <c r="G77" s="102">
        <v>0</v>
      </c>
      <c r="H77" s="102">
        <v>6.8940000000000001</v>
      </c>
      <c r="I77" s="22">
        <v>25.489000000000001</v>
      </c>
      <c r="J77" s="22">
        <v>58.816000000000003</v>
      </c>
      <c r="K77" s="22">
        <v>25.172000000000001</v>
      </c>
      <c r="L77" s="22">
        <v>17.32</v>
      </c>
      <c r="M77" s="22">
        <v>4.34</v>
      </c>
      <c r="N77" s="22">
        <v>0</v>
      </c>
      <c r="O77" s="22">
        <v>0</v>
      </c>
      <c r="P77" s="22"/>
      <c r="Q77" s="22"/>
      <c r="S77" s="22"/>
      <c r="U77" s="76"/>
      <c r="V77" s="76"/>
      <c r="W77" s="76"/>
      <c r="X77" s="76"/>
    </row>
    <row r="78" spans="1:24" x14ac:dyDescent="0.2">
      <c r="C78" s="137">
        <v>2008</v>
      </c>
      <c r="D78" s="22">
        <v>0</v>
      </c>
      <c r="E78" s="102">
        <v>0</v>
      </c>
      <c r="F78" s="102">
        <v>0</v>
      </c>
      <c r="G78" s="102">
        <v>0</v>
      </c>
      <c r="H78" s="102">
        <v>2.4670000000000001</v>
      </c>
      <c r="I78" s="22">
        <v>17.193999999999999</v>
      </c>
      <c r="J78" s="22">
        <v>111.477</v>
      </c>
      <c r="K78" s="22">
        <v>72.408000000000001</v>
      </c>
      <c r="L78" s="22">
        <v>52551</v>
      </c>
      <c r="M78" s="22">
        <v>3.0129999999999999</v>
      </c>
      <c r="N78" s="22">
        <v>0</v>
      </c>
      <c r="O78" s="22">
        <v>0</v>
      </c>
      <c r="P78" s="22"/>
      <c r="Q78" s="22"/>
      <c r="S78" s="22"/>
      <c r="U78" s="76"/>
      <c r="V78" s="76"/>
      <c r="W78" s="76"/>
      <c r="X78" s="76"/>
    </row>
    <row r="79" spans="1:24" x14ac:dyDescent="0.2">
      <c r="C79" s="137">
        <v>2009</v>
      </c>
      <c r="D79" s="22">
        <v>0</v>
      </c>
      <c r="E79" s="102">
        <v>0</v>
      </c>
      <c r="F79" s="102">
        <v>0</v>
      </c>
      <c r="G79" s="102">
        <v>0</v>
      </c>
      <c r="H79" s="102">
        <v>0.14000000000000001</v>
      </c>
      <c r="I79" s="22">
        <v>21.33</v>
      </c>
      <c r="J79" s="22">
        <v>7.9669999999999996</v>
      </c>
      <c r="K79" s="22">
        <v>31.774999999999999</v>
      </c>
      <c r="L79" s="22">
        <v>10.009</v>
      </c>
      <c r="M79" s="22">
        <v>0</v>
      </c>
      <c r="N79" s="22">
        <v>0</v>
      </c>
      <c r="O79" s="22">
        <v>0</v>
      </c>
      <c r="P79" s="22"/>
      <c r="Q79" s="22"/>
      <c r="S79" s="22"/>
      <c r="U79" s="76"/>
      <c r="V79" s="76"/>
      <c r="W79" s="76"/>
      <c r="X79" s="76"/>
    </row>
    <row r="80" spans="1:24" x14ac:dyDescent="0.2">
      <c r="C80" s="137">
        <v>2010</v>
      </c>
      <c r="D80" s="22">
        <v>0</v>
      </c>
      <c r="E80" s="102">
        <v>0</v>
      </c>
      <c r="F80" s="102">
        <v>0</v>
      </c>
      <c r="G80" s="102">
        <v>0</v>
      </c>
      <c r="H80" s="102">
        <v>0</v>
      </c>
      <c r="I80" s="22">
        <v>8.2729999999999997</v>
      </c>
      <c r="J80" s="22">
        <v>40.732999999999997</v>
      </c>
      <c r="K80" s="22">
        <v>66.206999999999994</v>
      </c>
      <c r="L80" s="22">
        <v>55.771999999999998</v>
      </c>
      <c r="M80" s="22">
        <v>0.3</v>
      </c>
      <c r="N80" s="22">
        <v>0</v>
      </c>
      <c r="O80" s="22">
        <v>0</v>
      </c>
      <c r="P80" s="22"/>
      <c r="Q80" s="22"/>
      <c r="S80" s="22"/>
      <c r="U80" s="76"/>
      <c r="V80" s="76"/>
      <c r="W80" s="76"/>
    </row>
    <row r="81" spans="1:23" x14ac:dyDescent="0.2">
      <c r="C81" s="137">
        <v>2011</v>
      </c>
      <c r="D81" s="22">
        <v>0</v>
      </c>
      <c r="E81" s="102">
        <v>0</v>
      </c>
      <c r="F81" s="102">
        <v>0</v>
      </c>
      <c r="G81" s="102">
        <v>0</v>
      </c>
      <c r="H81" s="102">
        <v>0</v>
      </c>
      <c r="I81" s="22">
        <v>9.1969999999999992</v>
      </c>
      <c r="J81" s="22">
        <v>4.7350000000000003</v>
      </c>
      <c r="K81" s="22">
        <v>23.324000000000002</v>
      </c>
      <c r="L81" s="22">
        <v>1.2</v>
      </c>
      <c r="M81" s="22">
        <v>53.395000000000003</v>
      </c>
      <c r="N81" s="22">
        <v>5.7450000000000001</v>
      </c>
      <c r="O81" s="22">
        <v>1.28</v>
      </c>
      <c r="P81" s="22"/>
      <c r="Q81" s="22"/>
      <c r="S81" s="22"/>
      <c r="U81" s="76"/>
      <c r="V81" s="76"/>
      <c r="W81" s="76"/>
    </row>
    <row r="82" spans="1:23" x14ac:dyDescent="0.2">
      <c r="C82" s="137">
        <v>2012</v>
      </c>
      <c r="D82" s="22">
        <v>0</v>
      </c>
      <c r="E82" s="22">
        <v>0</v>
      </c>
      <c r="F82" s="22">
        <v>0</v>
      </c>
      <c r="G82" s="102">
        <v>0</v>
      </c>
      <c r="H82" s="102">
        <v>0</v>
      </c>
      <c r="I82" s="22">
        <v>0</v>
      </c>
      <c r="J82" s="22">
        <v>0.68</v>
      </c>
      <c r="K82" s="22">
        <v>0.55500000000000005</v>
      </c>
      <c r="L82" s="22">
        <v>27.69</v>
      </c>
      <c r="M82" s="22">
        <v>1.37</v>
      </c>
      <c r="N82" s="22">
        <v>0.84</v>
      </c>
      <c r="O82" s="22">
        <v>0</v>
      </c>
      <c r="P82" s="22"/>
      <c r="Q82" s="22"/>
      <c r="S82" s="22"/>
      <c r="U82" s="76"/>
      <c r="V82" s="76"/>
      <c r="W82" s="76"/>
    </row>
    <row r="83" spans="1:23" x14ac:dyDescent="0.2">
      <c r="C83" s="137">
        <v>2013</v>
      </c>
      <c r="D83" s="102">
        <v>0</v>
      </c>
      <c r="E83" s="102">
        <v>0</v>
      </c>
      <c r="F83" s="102">
        <v>0</v>
      </c>
      <c r="G83" s="102">
        <v>0</v>
      </c>
      <c r="H83" s="102">
        <v>0</v>
      </c>
      <c r="I83" s="22">
        <v>15.769</v>
      </c>
      <c r="J83" s="22">
        <v>30.132999999999999</v>
      </c>
      <c r="K83" s="22">
        <v>21.588000000000001</v>
      </c>
      <c r="L83" s="22">
        <v>0</v>
      </c>
      <c r="M83" s="22">
        <v>0</v>
      </c>
      <c r="N83" s="22">
        <v>0</v>
      </c>
      <c r="O83" s="22">
        <v>0</v>
      </c>
      <c r="P83" s="22"/>
      <c r="Q83" s="22"/>
      <c r="S83" s="22"/>
      <c r="U83" s="76"/>
      <c r="V83" s="76"/>
      <c r="W83" s="76"/>
    </row>
    <row r="84" spans="1:23" x14ac:dyDescent="0.2">
      <c r="C84" s="137">
        <v>2014</v>
      </c>
      <c r="D84" s="102">
        <v>0</v>
      </c>
      <c r="E84" s="102">
        <v>0</v>
      </c>
      <c r="F84" s="102">
        <v>0</v>
      </c>
      <c r="G84" s="102">
        <v>0</v>
      </c>
      <c r="H84" s="102">
        <v>1.48</v>
      </c>
      <c r="I84" s="22">
        <v>8.8350000000000009</v>
      </c>
      <c r="J84" s="22">
        <v>28.9</v>
      </c>
      <c r="K84" s="22">
        <v>7.23</v>
      </c>
      <c r="L84" s="22">
        <v>0</v>
      </c>
      <c r="M84" s="22">
        <v>0</v>
      </c>
      <c r="N84" s="22">
        <v>0</v>
      </c>
      <c r="O84" s="22">
        <v>0</v>
      </c>
      <c r="P84" s="22"/>
      <c r="Q84" s="22"/>
      <c r="S84" s="22"/>
      <c r="U84" s="76"/>
      <c r="V84" s="76"/>
      <c r="W84" s="76"/>
    </row>
    <row r="85" spans="1:23" x14ac:dyDescent="0.2">
      <c r="C85" s="137">
        <v>2015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22">
        <v>0</v>
      </c>
      <c r="J85" s="22">
        <v>0.28999999999999998</v>
      </c>
      <c r="K85" s="22">
        <v>15.047000000000001</v>
      </c>
      <c r="L85" s="22">
        <v>5.968</v>
      </c>
      <c r="M85" s="22">
        <v>0</v>
      </c>
      <c r="N85" s="22">
        <v>0</v>
      </c>
      <c r="O85" s="22">
        <v>0</v>
      </c>
      <c r="P85" s="22"/>
      <c r="Q85" s="22"/>
      <c r="S85" s="22"/>
      <c r="U85" s="76"/>
      <c r="V85" s="76"/>
      <c r="W85" s="76"/>
    </row>
    <row r="86" spans="1:23" x14ac:dyDescent="0.2">
      <c r="C86" s="137">
        <v>2016</v>
      </c>
      <c r="D86" s="102">
        <v>0</v>
      </c>
      <c r="E86" s="102">
        <v>0</v>
      </c>
      <c r="F86" s="102">
        <v>0</v>
      </c>
      <c r="G86" s="102">
        <v>0</v>
      </c>
      <c r="H86" s="102">
        <v>2450</v>
      </c>
      <c r="I86" s="22">
        <v>0</v>
      </c>
      <c r="J86" s="22">
        <v>22.026</v>
      </c>
      <c r="K86" s="22">
        <v>9.6150000000000002</v>
      </c>
      <c r="L86" s="22">
        <v>0</v>
      </c>
      <c r="M86" s="22">
        <v>0</v>
      </c>
      <c r="N86" s="22">
        <v>0</v>
      </c>
      <c r="O86" s="22">
        <v>0</v>
      </c>
      <c r="P86" s="22"/>
      <c r="Q86" s="22"/>
      <c r="S86" s="22"/>
      <c r="U86" s="76"/>
      <c r="V86" s="76"/>
      <c r="W86" s="76"/>
    </row>
    <row r="87" spans="1:23" x14ac:dyDescent="0.2">
      <c r="C87" s="137">
        <v>2017</v>
      </c>
      <c r="D87" s="102">
        <v>0</v>
      </c>
      <c r="E87" s="102">
        <v>0</v>
      </c>
      <c r="F87" s="102"/>
      <c r="G87" s="102"/>
      <c r="H87" s="102"/>
      <c r="I87" s="22"/>
      <c r="J87" s="22"/>
      <c r="K87" s="22"/>
      <c r="L87" s="22"/>
      <c r="M87" s="22"/>
      <c r="N87" s="22"/>
      <c r="O87" s="22"/>
      <c r="P87" s="22"/>
      <c r="Q87" s="22"/>
      <c r="S87" s="22"/>
      <c r="U87" s="76"/>
      <c r="V87" s="76"/>
      <c r="W87" s="76"/>
    </row>
    <row r="88" spans="1:23" x14ac:dyDescent="0.2">
      <c r="D88" s="102"/>
      <c r="E88" s="102"/>
      <c r="F88" s="102"/>
      <c r="G88" s="102"/>
      <c r="H88" s="102"/>
      <c r="I88" s="22"/>
      <c r="J88" s="22"/>
      <c r="K88" s="22"/>
      <c r="L88" s="22"/>
      <c r="M88" s="22"/>
      <c r="N88" s="22"/>
      <c r="O88" s="22"/>
      <c r="P88" s="22"/>
      <c r="Q88" s="22"/>
      <c r="S88" s="22"/>
      <c r="U88" s="76"/>
      <c r="V88" s="76"/>
      <c r="W88" s="76"/>
    </row>
    <row r="89" spans="1:23" x14ac:dyDescent="0.2">
      <c r="A89" s="21" t="s">
        <v>54</v>
      </c>
      <c r="B89" s="21" t="s">
        <v>30</v>
      </c>
      <c r="C89" s="136"/>
      <c r="D89" s="135">
        <v>1</v>
      </c>
      <c r="E89" s="135">
        <v>2</v>
      </c>
      <c r="F89" s="135">
        <v>3</v>
      </c>
      <c r="G89" s="135">
        <v>4</v>
      </c>
      <c r="H89" s="135">
        <v>5</v>
      </c>
      <c r="I89" s="135">
        <v>6</v>
      </c>
      <c r="J89" s="135">
        <v>7</v>
      </c>
      <c r="K89" s="135">
        <v>8</v>
      </c>
      <c r="L89" s="135">
        <v>9</v>
      </c>
      <c r="M89" s="135">
        <v>10</v>
      </c>
      <c r="N89" s="135">
        <v>11</v>
      </c>
      <c r="O89" s="135">
        <v>12</v>
      </c>
      <c r="P89" s="22"/>
      <c r="Q89" s="22"/>
      <c r="S89" s="22"/>
      <c r="U89" s="76"/>
      <c r="V89" s="76"/>
      <c r="W89" s="76"/>
    </row>
    <row r="90" spans="1:23" x14ac:dyDescent="0.2">
      <c r="C90" s="137">
        <v>2007</v>
      </c>
      <c r="D90" s="22"/>
      <c r="E90" s="102"/>
      <c r="F90" s="102"/>
      <c r="G90" s="102">
        <v>0</v>
      </c>
      <c r="H90" s="102">
        <v>0.12</v>
      </c>
      <c r="I90" s="22">
        <v>5.62</v>
      </c>
      <c r="J90" s="22">
        <v>8.76</v>
      </c>
      <c r="K90" s="22">
        <v>4.66</v>
      </c>
      <c r="L90" s="22">
        <v>0.82</v>
      </c>
      <c r="M90" s="22">
        <v>0</v>
      </c>
      <c r="N90" s="22">
        <v>0</v>
      </c>
      <c r="O90" s="22">
        <v>0</v>
      </c>
      <c r="P90" s="22"/>
      <c r="Q90" s="22"/>
      <c r="S90" s="22"/>
    </row>
    <row r="91" spans="1:23" x14ac:dyDescent="0.2">
      <c r="C91" s="137">
        <v>2008</v>
      </c>
      <c r="D91" s="22">
        <v>0</v>
      </c>
      <c r="E91" s="102">
        <v>0</v>
      </c>
      <c r="F91" s="102">
        <v>0</v>
      </c>
      <c r="G91" s="102">
        <v>0</v>
      </c>
      <c r="H91" s="102">
        <v>1.92</v>
      </c>
      <c r="I91" s="22">
        <v>10.702999999999999</v>
      </c>
      <c r="J91" s="22">
        <v>39.607999999999997</v>
      </c>
      <c r="K91" s="22">
        <v>1.54</v>
      </c>
      <c r="L91" s="22">
        <v>0</v>
      </c>
      <c r="M91" s="22">
        <v>0</v>
      </c>
      <c r="N91" s="22">
        <v>0</v>
      </c>
      <c r="O91" s="22">
        <v>0</v>
      </c>
      <c r="P91" s="22"/>
      <c r="Q91" s="22"/>
      <c r="S91" s="22"/>
    </row>
    <row r="92" spans="1:23" x14ac:dyDescent="0.2">
      <c r="C92" s="137">
        <v>2009</v>
      </c>
      <c r="D92" s="21">
        <v>0</v>
      </c>
      <c r="E92" s="103">
        <v>0</v>
      </c>
      <c r="F92" s="103">
        <v>0</v>
      </c>
      <c r="G92" s="103">
        <v>0</v>
      </c>
      <c r="H92" s="103">
        <v>0.12</v>
      </c>
      <c r="I92" s="21">
        <v>3.1040000000000001</v>
      </c>
      <c r="J92" s="21">
        <v>0</v>
      </c>
      <c r="K92" s="21">
        <v>0.16</v>
      </c>
      <c r="L92" s="21">
        <v>0.22</v>
      </c>
      <c r="M92" s="21">
        <v>0</v>
      </c>
      <c r="N92" s="21">
        <v>0</v>
      </c>
      <c r="O92" s="21">
        <v>0</v>
      </c>
    </row>
    <row r="93" spans="1:23" x14ac:dyDescent="0.2">
      <c r="C93" s="137">
        <v>2010</v>
      </c>
      <c r="D93" s="21">
        <v>0</v>
      </c>
      <c r="E93" s="103">
        <v>0</v>
      </c>
      <c r="F93" s="103">
        <v>0</v>
      </c>
      <c r="G93" s="103">
        <v>0</v>
      </c>
      <c r="H93" s="103">
        <v>0</v>
      </c>
      <c r="I93" s="21">
        <v>1.575</v>
      </c>
      <c r="J93" s="21">
        <v>0.04</v>
      </c>
      <c r="K93" s="21">
        <v>0</v>
      </c>
      <c r="L93" s="21">
        <v>0.91</v>
      </c>
      <c r="M93" s="21">
        <v>0</v>
      </c>
      <c r="N93" s="21">
        <v>0</v>
      </c>
      <c r="O93" s="21">
        <v>0</v>
      </c>
    </row>
    <row r="94" spans="1:23" x14ac:dyDescent="0.2">
      <c r="C94" s="137">
        <v>2011</v>
      </c>
      <c r="D94" s="21">
        <v>0</v>
      </c>
      <c r="E94" s="103">
        <v>0</v>
      </c>
      <c r="F94" s="103">
        <v>0</v>
      </c>
      <c r="G94" s="103">
        <v>0</v>
      </c>
      <c r="H94" s="103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</row>
    <row r="95" spans="1:23" x14ac:dyDescent="0.2">
      <c r="C95" s="137">
        <v>2012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1.2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</row>
    <row r="96" spans="1:23" x14ac:dyDescent="0.2">
      <c r="C96" s="137">
        <v>2013</v>
      </c>
      <c r="D96" s="21">
        <v>0</v>
      </c>
      <c r="E96" s="21">
        <v>0</v>
      </c>
      <c r="F96" s="21">
        <v>0</v>
      </c>
      <c r="G96" s="21">
        <v>0</v>
      </c>
      <c r="H96" s="21">
        <v>0.28000000000000003</v>
      </c>
      <c r="I96" s="21">
        <v>1.26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</row>
    <row r="97" spans="3:15" x14ac:dyDescent="0.2">
      <c r="C97" s="137">
        <v>2014</v>
      </c>
      <c r="D97" s="21">
        <v>0</v>
      </c>
      <c r="E97" s="21">
        <v>0</v>
      </c>
      <c r="F97" s="21">
        <v>0</v>
      </c>
      <c r="G97" s="21">
        <v>0</v>
      </c>
      <c r="H97" s="21">
        <v>0.41299999999999998</v>
      </c>
      <c r="I97" s="21">
        <v>0</v>
      </c>
      <c r="J97" s="21">
        <v>5.3250000000000002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</row>
    <row r="98" spans="3:15" x14ac:dyDescent="0.2">
      <c r="C98" s="137">
        <v>2015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</row>
    <row r="99" spans="3:15" x14ac:dyDescent="0.2">
      <c r="C99" s="137">
        <v>2016</v>
      </c>
      <c r="D99" s="21">
        <v>0</v>
      </c>
      <c r="E99" s="21">
        <v>0</v>
      </c>
      <c r="F99" s="21">
        <v>0</v>
      </c>
      <c r="G99" s="21">
        <v>0</v>
      </c>
      <c r="H99" s="21">
        <v>1880</v>
      </c>
      <c r="I99" s="21">
        <v>500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</row>
    <row r="100" spans="3:15" x14ac:dyDescent="0.2">
      <c r="C100" s="137">
        <v>2017</v>
      </c>
      <c r="D100" s="21">
        <v>0</v>
      </c>
      <c r="E100" s="21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workbookViewId="0">
      <selection activeCell="C40" sqref="C40:I40"/>
    </sheetView>
  </sheetViews>
  <sheetFormatPr baseColWidth="10" defaultColWidth="9" defaultRowHeight="15" x14ac:dyDescent="0.25"/>
  <cols>
    <col min="1" max="1" width="9" style="95"/>
    <col min="2" max="2" width="9.125" style="95" bestFit="1" customWidth="1"/>
    <col min="3" max="3" width="9" style="95"/>
    <col min="4" max="4" width="9.125" style="95" bestFit="1" customWidth="1"/>
    <col min="5" max="6" width="9.25" style="95" bestFit="1" customWidth="1"/>
    <col min="7" max="7" width="11.625" style="95" bestFit="1" customWidth="1"/>
    <col min="8" max="9" width="9.25" style="95" bestFit="1" customWidth="1"/>
    <col min="10" max="10" width="9.625" style="95" bestFit="1" customWidth="1"/>
    <col min="11" max="11" width="9.25" style="95" bestFit="1" customWidth="1"/>
    <col min="12" max="12" width="9.625" style="95" bestFit="1" customWidth="1"/>
    <col min="13" max="13" width="9.125" style="95" bestFit="1" customWidth="1"/>
    <col min="14" max="15" width="9.5" style="95" bestFit="1" customWidth="1"/>
    <col min="16" max="16384" width="9" style="95"/>
  </cols>
  <sheetData>
    <row r="1" spans="1:22" x14ac:dyDescent="0.25">
      <c r="A1" s="95" t="s">
        <v>109</v>
      </c>
      <c r="B1" s="95" t="s">
        <v>110</v>
      </c>
    </row>
    <row r="3" spans="1:22" x14ac:dyDescent="0.25">
      <c r="A3" s="95" t="s">
        <v>105</v>
      </c>
      <c r="C3" s="143" t="s">
        <v>107</v>
      </c>
    </row>
    <row r="4" spans="1:22" x14ac:dyDescent="0.25">
      <c r="A4" s="140"/>
      <c r="B4" s="139">
        <v>1</v>
      </c>
      <c r="C4" s="139">
        <v>2</v>
      </c>
      <c r="D4" s="139">
        <v>3</v>
      </c>
      <c r="E4" s="139">
        <v>4</v>
      </c>
      <c r="F4" s="139">
        <v>5</v>
      </c>
      <c r="G4" s="139">
        <v>6</v>
      </c>
      <c r="H4" s="139">
        <v>7</v>
      </c>
      <c r="I4" s="139">
        <v>8</v>
      </c>
      <c r="J4" s="139">
        <v>9</v>
      </c>
      <c r="K4" s="139">
        <v>10</v>
      </c>
      <c r="L4" s="139">
        <v>11</v>
      </c>
      <c r="M4" s="139">
        <v>12</v>
      </c>
      <c r="N4" s="95" t="s">
        <v>108</v>
      </c>
      <c r="O4" s="95" t="s">
        <v>44</v>
      </c>
      <c r="P4" s="95" t="s">
        <v>83</v>
      </c>
      <c r="R4" s="95" t="s">
        <v>119</v>
      </c>
    </row>
    <row r="5" spans="1:22" x14ac:dyDescent="0.15">
      <c r="A5" s="141">
        <v>2000</v>
      </c>
      <c r="B5" s="95">
        <v>188</v>
      </c>
      <c r="C5" s="95">
        <v>521.00000190734863</v>
      </c>
      <c r="D5" s="95">
        <v>41160.199981689453</v>
      </c>
      <c r="E5" s="95">
        <v>94755.399230957031</v>
      </c>
      <c r="F5" s="95">
        <v>1224231.1000976562</v>
      </c>
      <c r="G5" s="95">
        <v>37490</v>
      </c>
      <c r="H5" s="95">
        <v>8718.9999847412109</v>
      </c>
      <c r="I5" s="95">
        <v>865.29998779296875</v>
      </c>
      <c r="J5" s="95">
        <v>19955</v>
      </c>
      <c r="K5" s="95">
        <v>153438.5</v>
      </c>
      <c r="L5" s="95">
        <v>142387</v>
      </c>
      <c r="N5" s="95">
        <f>SUM(B5:M5)</f>
        <v>1723710.4992847443</v>
      </c>
      <c r="O5" s="95">
        <f>SUM(E5:J5)</f>
        <v>1386015.7993011475</v>
      </c>
      <c r="P5" s="95">
        <f>SUM(L5,M5,B6)</f>
        <v>142387</v>
      </c>
      <c r="R5" s="93">
        <f>N5/1000</f>
        <v>1723.7104992847442</v>
      </c>
      <c r="U5" s="97"/>
      <c r="V5" s="97"/>
    </row>
    <row r="6" spans="1:22" x14ac:dyDescent="0.15">
      <c r="A6" s="141">
        <v>2001</v>
      </c>
      <c r="C6" s="95">
        <v>13</v>
      </c>
      <c r="E6" s="95">
        <v>4</v>
      </c>
      <c r="F6" s="95">
        <v>82</v>
      </c>
      <c r="G6" s="95">
        <v>17</v>
      </c>
      <c r="I6" s="95">
        <v>1845</v>
      </c>
      <c r="J6" s="95">
        <v>599.40000915527344</v>
      </c>
      <c r="K6" s="95">
        <v>192</v>
      </c>
      <c r="N6" s="95">
        <f t="shared" ref="N6:N14" si="0">SUM(B6:M6)</f>
        <v>2752.4000091552734</v>
      </c>
      <c r="O6" s="95">
        <f t="shared" ref="O6:O15" si="1">SUM(E6:J6)</f>
        <v>2547.4000091552734</v>
      </c>
      <c r="P6" s="95">
        <f t="shared" ref="P6:P14" si="2">SUM(L6,M6,B7)</f>
        <v>0</v>
      </c>
      <c r="R6" s="93">
        <f t="shared" ref="R6:R16" si="3">N6/1000</f>
        <v>2.7524000091552736</v>
      </c>
      <c r="U6" s="97"/>
      <c r="V6" s="121"/>
    </row>
    <row r="7" spans="1:22" x14ac:dyDescent="0.15">
      <c r="A7" s="141">
        <v>2002</v>
      </c>
      <c r="D7" s="95">
        <v>150.59999847412109</v>
      </c>
      <c r="F7" s="95">
        <v>19</v>
      </c>
      <c r="H7" s="95">
        <v>8</v>
      </c>
      <c r="N7" s="95">
        <f t="shared" si="0"/>
        <v>177.59999847412109</v>
      </c>
      <c r="O7" s="95">
        <f t="shared" si="1"/>
        <v>27</v>
      </c>
      <c r="P7" s="95">
        <f t="shared" si="2"/>
        <v>0</v>
      </c>
      <c r="R7" s="93">
        <f t="shared" si="3"/>
        <v>0.17759999847412108</v>
      </c>
      <c r="U7" s="97"/>
      <c r="V7" s="97"/>
    </row>
    <row r="8" spans="1:22" x14ac:dyDescent="0.15">
      <c r="A8" s="141">
        <v>2003</v>
      </c>
      <c r="E8" s="95">
        <v>19.200000762939453</v>
      </c>
      <c r="F8" s="95">
        <v>113258</v>
      </c>
      <c r="G8" s="95">
        <v>619.5</v>
      </c>
      <c r="H8" s="95">
        <v>12071</v>
      </c>
      <c r="N8" s="95">
        <f t="shared" si="0"/>
        <v>125967.70000076294</v>
      </c>
      <c r="O8" s="95">
        <f t="shared" si="1"/>
        <v>125967.70000076294</v>
      </c>
      <c r="P8" s="95">
        <f t="shared" si="2"/>
        <v>22868.400390625</v>
      </c>
      <c r="R8" s="93">
        <f t="shared" si="3"/>
        <v>125.96770000076295</v>
      </c>
      <c r="S8" s="97"/>
      <c r="U8" s="97"/>
      <c r="V8" s="97"/>
    </row>
    <row r="9" spans="1:22" x14ac:dyDescent="0.15">
      <c r="A9" s="141">
        <v>2004</v>
      </c>
      <c r="B9" s="95">
        <v>22868.400390625</v>
      </c>
      <c r="C9" s="95">
        <v>846</v>
      </c>
      <c r="D9" s="95">
        <v>45375.299926757812</v>
      </c>
      <c r="E9" s="95">
        <v>224.5</v>
      </c>
      <c r="F9" s="95">
        <v>103644</v>
      </c>
      <c r="G9" s="95">
        <v>41683.80078125</v>
      </c>
      <c r="H9" s="95">
        <v>159620.3046875</v>
      </c>
      <c r="J9" s="95">
        <v>70904.199096679688</v>
      </c>
      <c r="K9" s="95">
        <v>28637.10009765625</v>
      </c>
      <c r="L9" s="95">
        <v>5189</v>
      </c>
      <c r="M9" s="95">
        <v>16619</v>
      </c>
      <c r="N9" s="95">
        <f t="shared" si="0"/>
        <v>495611.60498046875</v>
      </c>
      <c r="O9" s="95">
        <f t="shared" si="1"/>
        <v>376076.80456542969</v>
      </c>
      <c r="P9" s="95">
        <f t="shared" si="2"/>
        <v>21844</v>
      </c>
      <c r="R9" s="93">
        <f t="shared" si="3"/>
        <v>495.61160498046877</v>
      </c>
      <c r="S9" s="97"/>
      <c r="T9" s="96"/>
      <c r="U9" s="97"/>
      <c r="V9" s="97"/>
    </row>
    <row r="10" spans="1:22" x14ac:dyDescent="0.15">
      <c r="A10" s="141">
        <v>2005</v>
      </c>
      <c r="B10" s="95">
        <v>36</v>
      </c>
      <c r="C10" s="95">
        <v>7573</v>
      </c>
      <c r="D10" s="95">
        <v>8.5</v>
      </c>
      <c r="E10" s="95">
        <v>36916.800048828125</v>
      </c>
      <c r="F10" s="95">
        <v>39922</v>
      </c>
      <c r="G10" s="95">
        <v>11868.5</v>
      </c>
      <c r="H10" s="95">
        <v>3755</v>
      </c>
      <c r="I10" s="95">
        <v>206165.10009765625</v>
      </c>
      <c r="J10" s="95">
        <v>374397.5</v>
      </c>
      <c r="K10" s="95">
        <v>349851.296875</v>
      </c>
      <c r="L10" s="95">
        <v>296065.107421875</v>
      </c>
      <c r="M10" s="95">
        <v>24668</v>
      </c>
      <c r="N10" s="95">
        <f t="shared" si="0"/>
        <v>1351226.8044433594</v>
      </c>
      <c r="O10" s="95">
        <f t="shared" si="1"/>
        <v>673024.90014648438</v>
      </c>
      <c r="P10" s="95">
        <f t="shared" si="2"/>
        <v>321920.107421875</v>
      </c>
      <c r="R10" s="93">
        <f t="shared" si="3"/>
        <v>1351.2268044433595</v>
      </c>
      <c r="S10" s="97"/>
      <c r="T10" s="96"/>
      <c r="U10" s="97"/>
      <c r="V10" s="97"/>
    </row>
    <row r="11" spans="1:22" x14ac:dyDescent="0.15">
      <c r="A11" s="141">
        <v>2006</v>
      </c>
      <c r="B11" s="95">
        <v>1187</v>
      </c>
      <c r="C11" s="95">
        <v>8641</v>
      </c>
      <c r="F11" s="95">
        <v>575020</v>
      </c>
      <c r="G11" s="95">
        <v>337118.39990234375</v>
      </c>
      <c r="H11" s="95">
        <v>1435</v>
      </c>
      <c r="I11" s="95">
        <v>93201</v>
      </c>
      <c r="J11" s="95">
        <v>461497</v>
      </c>
      <c r="K11" s="95">
        <v>173771</v>
      </c>
      <c r="L11" s="95">
        <v>82809</v>
      </c>
      <c r="N11" s="95">
        <f t="shared" si="0"/>
        <v>1734679.3999023438</v>
      </c>
      <c r="O11" s="95">
        <f t="shared" si="1"/>
        <v>1468271.3999023438</v>
      </c>
      <c r="P11" s="95">
        <f t="shared" si="2"/>
        <v>143577</v>
      </c>
      <c r="R11" s="93">
        <f t="shared" si="3"/>
        <v>1734.6793999023437</v>
      </c>
      <c r="S11" s="97"/>
      <c r="T11" s="96"/>
      <c r="U11" s="97"/>
      <c r="V11" s="97"/>
    </row>
    <row r="12" spans="1:22" x14ac:dyDescent="0.15">
      <c r="A12" s="141">
        <v>2007</v>
      </c>
      <c r="B12" s="95">
        <v>60768</v>
      </c>
      <c r="C12" s="95">
        <v>7847</v>
      </c>
      <c r="D12" s="95">
        <v>227725</v>
      </c>
      <c r="E12" s="95">
        <v>85658</v>
      </c>
      <c r="G12" s="95">
        <v>6034</v>
      </c>
      <c r="H12" s="95">
        <v>865357</v>
      </c>
      <c r="I12" s="95">
        <v>69606</v>
      </c>
      <c r="J12" s="95">
        <v>29106</v>
      </c>
      <c r="K12" s="95">
        <v>1881192</v>
      </c>
      <c r="L12" s="95">
        <v>162888</v>
      </c>
      <c r="N12" s="95">
        <f t="shared" si="0"/>
        <v>3396181</v>
      </c>
      <c r="O12" s="95">
        <f t="shared" si="1"/>
        <v>1055761</v>
      </c>
      <c r="P12" s="95">
        <f t="shared" si="2"/>
        <v>162888</v>
      </c>
      <c r="R12" s="93">
        <f t="shared" si="3"/>
        <v>3396.181</v>
      </c>
      <c r="S12" s="97"/>
      <c r="T12" s="96"/>
      <c r="U12" s="97"/>
      <c r="V12" s="97"/>
    </row>
    <row r="13" spans="1:22" x14ac:dyDescent="0.15">
      <c r="A13" s="141">
        <v>2008</v>
      </c>
      <c r="C13" s="95">
        <v>63209</v>
      </c>
      <c r="D13" s="95">
        <v>1603209</v>
      </c>
      <c r="E13" s="95">
        <v>1153068</v>
      </c>
      <c r="F13" s="95">
        <v>980521</v>
      </c>
      <c r="G13" s="95">
        <v>2610</v>
      </c>
      <c r="H13" s="95">
        <v>2963</v>
      </c>
      <c r="I13" s="95">
        <v>804</v>
      </c>
      <c r="J13" s="95">
        <v>153942</v>
      </c>
      <c r="K13" s="95">
        <v>16</v>
      </c>
      <c r="N13" s="95">
        <f t="shared" si="0"/>
        <v>3960342</v>
      </c>
      <c r="O13" s="95">
        <f t="shared" si="1"/>
        <v>2293908</v>
      </c>
      <c r="P13" s="95">
        <f t="shared" si="2"/>
        <v>6747.5999755859375</v>
      </c>
      <c r="R13" s="93">
        <f t="shared" si="3"/>
        <v>3960.3420000000001</v>
      </c>
      <c r="S13" s="97"/>
      <c r="T13" s="96"/>
      <c r="U13" s="97"/>
      <c r="V13" s="97"/>
    </row>
    <row r="14" spans="1:22" x14ac:dyDescent="0.15">
      <c r="A14" s="141">
        <v>2009</v>
      </c>
      <c r="B14" s="95">
        <v>6747.5999755859375</v>
      </c>
      <c r="C14" s="95">
        <v>4034</v>
      </c>
      <c r="D14" s="95">
        <v>36445.199996948242</v>
      </c>
      <c r="E14" s="95">
        <v>369951</v>
      </c>
      <c r="H14" s="95">
        <v>886575</v>
      </c>
      <c r="I14" s="95">
        <v>1382776</v>
      </c>
      <c r="J14" s="95">
        <v>1553101</v>
      </c>
      <c r="K14" s="95">
        <v>636368</v>
      </c>
      <c r="L14" s="95">
        <v>84604</v>
      </c>
      <c r="M14" s="95">
        <v>3560</v>
      </c>
      <c r="N14" s="95">
        <f t="shared" si="0"/>
        <v>4964161.7999725342</v>
      </c>
      <c r="O14" s="95">
        <f t="shared" si="1"/>
        <v>4192403</v>
      </c>
      <c r="P14" s="95">
        <f t="shared" si="2"/>
        <v>88164</v>
      </c>
      <c r="R14" s="93">
        <f t="shared" si="3"/>
        <v>4964.161799972534</v>
      </c>
      <c r="S14" s="97"/>
      <c r="T14" s="96"/>
      <c r="U14" s="97"/>
      <c r="V14" s="97"/>
    </row>
    <row r="15" spans="1:22" x14ac:dyDescent="0.15">
      <c r="A15" s="141">
        <v>2010</v>
      </c>
      <c r="B15" s="95">
        <v>0</v>
      </c>
      <c r="C15" s="95">
        <v>150428</v>
      </c>
      <c r="D15" s="95">
        <v>528860</v>
      </c>
      <c r="E15" s="95">
        <v>657612</v>
      </c>
      <c r="F15" s="95">
        <v>1346297</v>
      </c>
      <c r="G15" s="95">
        <v>8</v>
      </c>
      <c r="H15" s="95">
        <v>19388</v>
      </c>
      <c r="I15" s="95">
        <v>11697.5</v>
      </c>
      <c r="J15" s="95">
        <v>20</v>
      </c>
      <c r="K15" s="95">
        <v>219536</v>
      </c>
      <c r="L15" s="95">
        <v>14</v>
      </c>
      <c r="M15" s="95">
        <v>0</v>
      </c>
      <c r="N15" s="95">
        <f>SUM(B15:M15)</f>
        <v>2933860.5</v>
      </c>
      <c r="O15" s="95">
        <f t="shared" si="1"/>
        <v>2035022.5</v>
      </c>
      <c r="P15" s="95">
        <f>SUM(L15,M15,B16)</f>
        <v>14</v>
      </c>
      <c r="R15" s="93">
        <f t="shared" si="3"/>
        <v>2933.8604999999998</v>
      </c>
      <c r="S15" s="97"/>
      <c r="T15" s="96"/>
      <c r="U15" s="97"/>
      <c r="V15" s="97"/>
    </row>
    <row r="16" spans="1:22" x14ac:dyDescent="0.15">
      <c r="A16" s="141">
        <v>2011</v>
      </c>
      <c r="B16" s="95">
        <v>0</v>
      </c>
      <c r="C16" s="95">
        <v>4912</v>
      </c>
      <c r="D16" s="95">
        <v>128</v>
      </c>
      <c r="E16" s="95">
        <v>3479847.3999996185</v>
      </c>
      <c r="F16" s="95">
        <v>12249089</v>
      </c>
      <c r="G16" s="95">
        <v>6349724</v>
      </c>
      <c r="H16" s="95">
        <v>2755.7999877929688</v>
      </c>
      <c r="I16" s="95">
        <v>11752.799987792969</v>
      </c>
      <c r="J16" s="95">
        <v>406434</v>
      </c>
      <c r="K16" s="95">
        <v>997412</v>
      </c>
      <c r="L16" s="95">
        <v>1698651</v>
      </c>
      <c r="M16" s="95">
        <v>132519</v>
      </c>
      <c r="N16" s="95">
        <f>SUM(B16:M16)</f>
        <v>25333224.999975204</v>
      </c>
      <c r="O16" s="95">
        <f>SUM(E16:J16)</f>
        <v>22499602.999975204</v>
      </c>
      <c r="P16" s="95">
        <f>SUM(L16,M16,B17)</f>
        <v>1831170</v>
      </c>
      <c r="R16" s="93">
        <f t="shared" si="3"/>
        <v>25333.224999975206</v>
      </c>
      <c r="T16" s="96"/>
      <c r="U16" s="97"/>
      <c r="V16" s="97"/>
    </row>
    <row r="17" spans="1:22" x14ac:dyDescent="0.15">
      <c r="A17" s="141">
        <v>2012</v>
      </c>
      <c r="C17" s="95">
        <v>92940</v>
      </c>
      <c r="D17" s="95">
        <v>13478.400390625</v>
      </c>
      <c r="E17" s="95">
        <v>10635769</v>
      </c>
      <c r="F17" s="95">
        <v>2422311</v>
      </c>
      <c r="G17" s="95">
        <v>804573</v>
      </c>
      <c r="H17" s="95">
        <v>5411</v>
      </c>
      <c r="I17" s="95">
        <v>42</v>
      </c>
      <c r="J17" s="95">
        <v>352781</v>
      </c>
      <c r="K17" s="95">
        <v>1400771</v>
      </c>
      <c r="N17" s="95">
        <f>SUM(B17:M17)</f>
        <v>15728076.400390625</v>
      </c>
      <c r="O17" s="95">
        <f>SUM(E17:J17)</f>
        <v>14220887</v>
      </c>
      <c r="P17" s="95">
        <f>SUM(L17,M17,B18)</f>
        <v>0</v>
      </c>
      <c r="T17" s="96"/>
      <c r="U17" s="97"/>
      <c r="V17" s="97"/>
    </row>
    <row r="18" spans="1:22" x14ac:dyDescent="0.15">
      <c r="A18" s="141">
        <v>2013</v>
      </c>
      <c r="C18" s="95">
        <v>3719403</v>
      </c>
      <c r="D18" s="95">
        <v>6183611</v>
      </c>
      <c r="E18" s="95">
        <v>7650469</v>
      </c>
      <c r="F18" s="95">
        <v>1706910</v>
      </c>
      <c r="G18" s="95">
        <v>2028250</v>
      </c>
      <c r="H18" s="95">
        <v>64263</v>
      </c>
      <c r="I18" s="95">
        <v>647298</v>
      </c>
      <c r="J18" s="95">
        <v>350657</v>
      </c>
      <c r="K18" s="95">
        <v>7883533</v>
      </c>
      <c r="L18" s="95">
        <v>4990279</v>
      </c>
      <c r="M18" s="95">
        <v>366766</v>
      </c>
      <c r="N18" s="95">
        <f>SUM(B18:M18)</f>
        <v>35591439</v>
      </c>
      <c r="O18" s="95">
        <f>SUM(E18:J18)</f>
        <v>12447847</v>
      </c>
      <c r="P18" s="95">
        <f>SUM(L18,M18,B23)</f>
        <v>5357045</v>
      </c>
      <c r="T18" s="96"/>
      <c r="U18" s="97"/>
      <c r="V18" s="97"/>
    </row>
    <row r="19" spans="1:22" x14ac:dyDescent="0.15">
      <c r="A19" s="141">
        <v>2014</v>
      </c>
      <c r="C19" s="95">
        <v>21</v>
      </c>
      <c r="D19" s="95">
        <v>181</v>
      </c>
      <c r="E19" s="95">
        <v>109340</v>
      </c>
      <c r="F19" s="95">
        <v>695998</v>
      </c>
      <c r="H19" s="95">
        <v>44487</v>
      </c>
      <c r="T19" s="96"/>
      <c r="U19" s="97"/>
      <c r="V19" s="97"/>
    </row>
    <row r="20" spans="1:22" x14ac:dyDescent="0.15">
      <c r="A20" s="141">
        <v>2015</v>
      </c>
      <c r="B20" s="147">
        <v>6413</v>
      </c>
      <c r="C20" s="147"/>
      <c r="D20" s="147">
        <v>125492.79998779297</v>
      </c>
      <c r="E20" s="147">
        <v>4812588</v>
      </c>
      <c r="F20" s="147">
        <v>2809316.8004150391</v>
      </c>
      <c r="G20" s="147">
        <v>10767125.400146484</v>
      </c>
      <c r="H20" s="147">
        <v>4291047</v>
      </c>
      <c r="I20" s="147">
        <v>2422214</v>
      </c>
      <c r="J20" s="147">
        <v>1581190</v>
      </c>
      <c r="K20" s="147">
        <v>4464336</v>
      </c>
      <c r="L20" s="147">
        <v>55919</v>
      </c>
      <c r="M20" s="147">
        <v>15806</v>
      </c>
      <c r="T20" s="96"/>
      <c r="U20" s="97"/>
      <c r="V20" s="97"/>
    </row>
    <row r="21" spans="1:22" x14ac:dyDescent="0.15">
      <c r="A21" s="141">
        <v>2016</v>
      </c>
      <c r="B21" s="147">
        <v>61121</v>
      </c>
      <c r="C21" s="147">
        <v>184911</v>
      </c>
      <c r="D21" s="147">
        <v>70917.599975585938</v>
      </c>
      <c r="E21" s="147">
        <v>1359248.8000030518</v>
      </c>
      <c r="F21" s="147">
        <v>8325264.200012207</v>
      </c>
      <c r="G21" s="147">
        <v>3114421.2000007629</v>
      </c>
      <c r="H21" s="147">
        <v>5353</v>
      </c>
      <c r="I21" s="147">
        <v>225751.59999847412</v>
      </c>
      <c r="J21" s="147">
        <v>1515996</v>
      </c>
      <c r="K21" s="147">
        <v>1174854</v>
      </c>
      <c r="L21" s="147">
        <v>373884</v>
      </c>
      <c r="M21" s="147">
        <v>1023776</v>
      </c>
      <c r="T21" s="96"/>
      <c r="U21" s="97"/>
      <c r="V21" s="97"/>
    </row>
    <row r="22" spans="1:22" x14ac:dyDescent="0.15">
      <c r="A22" s="141">
        <v>2017</v>
      </c>
      <c r="B22" s="147">
        <v>1126018</v>
      </c>
      <c r="C22" s="169">
        <v>1461237</v>
      </c>
      <c r="D22" s="169">
        <v>6404676.6000061035</v>
      </c>
      <c r="E22" s="169">
        <v>1400997</v>
      </c>
      <c r="F22" s="169">
        <v>2624344</v>
      </c>
      <c r="G22" s="169">
        <v>6959812</v>
      </c>
      <c r="H22" s="169">
        <v>4853842</v>
      </c>
      <c r="I22" s="169">
        <v>1350097.2001953125</v>
      </c>
      <c r="J22" s="147"/>
      <c r="K22" s="147"/>
      <c r="L22" s="147"/>
      <c r="M22" s="147"/>
      <c r="T22" s="96"/>
      <c r="U22" s="97"/>
      <c r="V22" s="97"/>
    </row>
    <row r="24" spans="1:22" x14ac:dyDescent="0.25">
      <c r="A24" s="95" t="s">
        <v>106</v>
      </c>
      <c r="C24" s="143" t="s">
        <v>107</v>
      </c>
    </row>
    <row r="25" spans="1:22" x14ac:dyDescent="0.15">
      <c r="A25" s="140"/>
      <c r="B25" s="139">
        <v>1</v>
      </c>
      <c r="C25" s="139">
        <v>2</v>
      </c>
      <c r="D25" s="139">
        <v>3</v>
      </c>
      <c r="E25" s="139">
        <v>4</v>
      </c>
      <c r="F25" s="139">
        <v>5</v>
      </c>
      <c r="G25" s="139">
        <v>6</v>
      </c>
      <c r="H25" s="139">
        <v>7</v>
      </c>
      <c r="I25" s="139">
        <v>8</v>
      </c>
      <c r="J25" s="139">
        <v>9</v>
      </c>
      <c r="K25" s="139">
        <v>10</v>
      </c>
      <c r="L25" s="139">
        <v>11</v>
      </c>
      <c r="M25" s="139">
        <v>12</v>
      </c>
      <c r="N25" s="95" t="s">
        <v>108</v>
      </c>
      <c r="O25" s="95" t="s">
        <v>44</v>
      </c>
      <c r="P25" s="95" t="s">
        <v>83</v>
      </c>
      <c r="U25" s="96"/>
      <c r="V25" s="96"/>
    </row>
    <row r="26" spans="1:22" x14ac:dyDescent="0.15">
      <c r="A26" s="141">
        <v>2003</v>
      </c>
      <c r="E26" s="95">
        <v>19.200000762939453</v>
      </c>
      <c r="F26" s="95">
        <v>971</v>
      </c>
      <c r="G26" s="95">
        <v>619.5</v>
      </c>
      <c r="H26" s="95">
        <v>17</v>
      </c>
      <c r="N26" s="95">
        <f>SUM(B26:M26)</f>
        <v>1626.7000007629395</v>
      </c>
      <c r="O26" s="95">
        <f>SUM(E26:J26)</f>
        <v>1626.7000007629395</v>
      </c>
      <c r="P26" s="95">
        <f>SUM(L26,M26,B27)</f>
        <v>0</v>
      </c>
      <c r="U26" s="96"/>
      <c r="V26" s="122"/>
    </row>
    <row r="27" spans="1:22" x14ac:dyDescent="0.15">
      <c r="A27" s="141">
        <v>2004</v>
      </c>
      <c r="C27" s="95">
        <v>289</v>
      </c>
      <c r="D27" s="95">
        <v>12073.799926757812</v>
      </c>
      <c r="E27" s="95">
        <v>216.5</v>
      </c>
      <c r="F27" s="95">
        <v>8</v>
      </c>
      <c r="G27" s="95">
        <v>1355.5</v>
      </c>
      <c r="H27" s="95">
        <v>277</v>
      </c>
      <c r="L27" s="95">
        <v>8</v>
      </c>
      <c r="M27" s="95">
        <v>125</v>
      </c>
      <c r="N27" s="95">
        <f t="shared" ref="N27:N33" si="4">SUM(B27:M27)</f>
        <v>14352.799926757812</v>
      </c>
      <c r="O27" s="95">
        <f t="shared" ref="O27:O33" si="5">SUM(E27:J27)</f>
        <v>1857</v>
      </c>
      <c r="P27" s="95">
        <f t="shared" ref="P27:P32" si="6">SUM(L27,M27,B28)</f>
        <v>169</v>
      </c>
      <c r="U27" s="96"/>
      <c r="V27" s="96"/>
    </row>
    <row r="28" spans="1:22" x14ac:dyDescent="0.15">
      <c r="A28" s="141">
        <v>2005</v>
      </c>
      <c r="B28" s="95">
        <v>36</v>
      </c>
      <c r="D28" s="95">
        <v>8.5</v>
      </c>
      <c r="E28" s="95">
        <v>7</v>
      </c>
      <c r="G28" s="95">
        <v>1383.5</v>
      </c>
      <c r="J28" s="95">
        <v>8</v>
      </c>
      <c r="N28" s="95">
        <f t="shared" si="4"/>
        <v>1443</v>
      </c>
      <c r="O28" s="95">
        <f t="shared" si="5"/>
        <v>1398.5</v>
      </c>
      <c r="P28" s="95">
        <f t="shared" si="6"/>
        <v>9</v>
      </c>
      <c r="U28" s="96"/>
      <c r="V28" s="96"/>
    </row>
    <row r="29" spans="1:22" x14ac:dyDescent="0.15">
      <c r="A29" s="141">
        <v>2006</v>
      </c>
      <c r="B29" s="95">
        <v>9</v>
      </c>
      <c r="C29" s="95">
        <v>2696</v>
      </c>
      <c r="G29" s="95">
        <v>6705.39990234375</v>
      </c>
      <c r="H29" s="95">
        <v>1370</v>
      </c>
      <c r="I29" s="95">
        <v>562</v>
      </c>
      <c r="K29" s="95">
        <v>16153</v>
      </c>
      <c r="N29" s="95">
        <f t="shared" si="4"/>
        <v>27495.39990234375</v>
      </c>
      <c r="O29" s="95">
        <f t="shared" si="5"/>
        <v>8637.39990234375</v>
      </c>
      <c r="P29" s="95">
        <f t="shared" si="6"/>
        <v>0</v>
      </c>
      <c r="U29" s="96"/>
      <c r="V29" s="96"/>
    </row>
    <row r="30" spans="1:22" x14ac:dyDescent="0.15">
      <c r="A30" s="141">
        <v>2007</v>
      </c>
      <c r="C30" s="95">
        <v>7807</v>
      </c>
      <c r="D30" s="95">
        <v>21965</v>
      </c>
      <c r="E30" s="95">
        <v>1228</v>
      </c>
      <c r="G30" s="95">
        <v>495</v>
      </c>
      <c r="H30" s="95">
        <v>117</v>
      </c>
      <c r="L30" s="95">
        <v>6</v>
      </c>
      <c r="N30" s="95">
        <f t="shared" si="4"/>
        <v>31618</v>
      </c>
      <c r="O30" s="95">
        <f t="shared" si="5"/>
        <v>1840</v>
      </c>
      <c r="P30" s="95">
        <f t="shared" si="6"/>
        <v>6</v>
      </c>
      <c r="U30" s="96"/>
      <c r="V30" s="96"/>
    </row>
    <row r="31" spans="1:22" x14ac:dyDescent="0.15">
      <c r="A31" s="141">
        <v>2008</v>
      </c>
      <c r="D31" s="95">
        <v>458651</v>
      </c>
      <c r="E31" s="95">
        <v>165877</v>
      </c>
      <c r="F31" s="95">
        <v>36904</v>
      </c>
      <c r="G31" s="95">
        <v>2610</v>
      </c>
      <c r="H31" s="95">
        <v>75</v>
      </c>
      <c r="K31" s="95">
        <v>16</v>
      </c>
      <c r="N31" s="95">
        <f t="shared" si="4"/>
        <v>664133</v>
      </c>
      <c r="O31" s="95">
        <f t="shared" si="5"/>
        <v>205466</v>
      </c>
      <c r="P31" s="95">
        <f t="shared" si="6"/>
        <v>6747.5999755859375</v>
      </c>
      <c r="U31" s="96"/>
      <c r="V31" s="96"/>
    </row>
    <row r="32" spans="1:22" x14ac:dyDescent="0.15">
      <c r="A32" s="141">
        <v>2009</v>
      </c>
      <c r="B32" s="95">
        <v>6747.5999755859375</v>
      </c>
      <c r="C32" s="95">
        <v>3599</v>
      </c>
      <c r="D32" s="95">
        <v>328.19999694824219</v>
      </c>
      <c r="E32" s="95">
        <v>2031</v>
      </c>
      <c r="H32" s="95">
        <v>3948</v>
      </c>
      <c r="I32" s="95">
        <v>69363</v>
      </c>
      <c r="K32" s="95">
        <v>246</v>
      </c>
      <c r="N32" s="95">
        <f t="shared" si="4"/>
        <v>86262.79997253418</v>
      </c>
      <c r="O32" s="95">
        <f t="shared" si="5"/>
        <v>75342</v>
      </c>
      <c r="P32" s="95">
        <f t="shared" si="6"/>
        <v>0</v>
      </c>
      <c r="U32" s="96"/>
      <c r="V32" s="96"/>
    </row>
    <row r="33" spans="1:22" x14ac:dyDescent="0.15">
      <c r="A33" s="141">
        <v>2010</v>
      </c>
      <c r="B33" s="95">
        <v>0</v>
      </c>
      <c r="C33" s="95">
        <v>39055</v>
      </c>
      <c r="D33" s="95">
        <v>50031</v>
      </c>
      <c r="E33" s="95">
        <v>50946</v>
      </c>
      <c r="F33" s="95">
        <v>34</v>
      </c>
      <c r="G33" s="95">
        <v>0</v>
      </c>
      <c r="H33" s="95">
        <v>104</v>
      </c>
      <c r="I33" s="95">
        <v>2143</v>
      </c>
      <c r="J33" s="95">
        <v>0</v>
      </c>
      <c r="K33" s="95">
        <v>0</v>
      </c>
      <c r="L33" s="95">
        <v>4</v>
      </c>
      <c r="M33" s="95">
        <v>0</v>
      </c>
      <c r="N33" s="95">
        <f t="shared" si="4"/>
        <v>142317</v>
      </c>
      <c r="O33" s="95">
        <f t="shared" si="5"/>
        <v>53227</v>
      </c>
      <c r="P33" s="95">
        <f>SUM(L33,M33,B34)</f>
        <v>4</v>
      </c>
      <c r="U33" s="96"/>
      <c r="V33" s="96"/>
    </row>
    <row r="34" spans="1:22" x14ac:dyDescent="0.15">
      <c r="A34" s="141">
        <v>2011</v>
      </c>
      <c r="B34" s="95">
        <v>0</v>
      </c>
      <c r="C34" s="95">
        <v>0</v>
      </c>
      <c r="D34" s="95">
        <v>128</v>
      </c>
      <c r="E34" s="95">
        <v>20.399999618530273</v>
      </c>
      <c r="F34" s="95">
        <v>46</v>
      </c>
      <c r="G34" s="95">
        <v>0</v>
      </c>
      <c r="H34" s="95">
        <v>1063.7999877929688</v>
      </c>
      <c r="I34" s="95">
        <v>782.79998779296875</v>
      </c>
      <c r="J34" s="95">
        <v>30</v>
      </c>
      <c r="K34" s="95">
        <v>0</v>
      </c>
      <c r="L34" s="95">
        <v>0</v>
      </c>
      <c r="M34" s="95">
        <v>0</v>
      </c>
      <c r="N34" s="95">
        <f>SUM(B34:M34)</f>
        <v>2070.9999752044678</v>
      </c>
      <c r="O34" s="95">
        <f>SUM(E34:J34)</f>
        <v>1942.9999752044678</v>
      </c>
      <c r="P34" s="95">
        <f>SUM(L34,M34,B35)</f>
        <v>0</v>
      </c>
      <c r="U34" s="96"/>
      <c r="V34" s="96"/>
    </row>
    <row r="35" spans="1:22" x14ac:dyDescent="0.15">
      <c r="A35" s="141">
        <v>2012</v>
      </c>
      <c r="C35" s="95">
        <v>34</v>
      </c>
      <c r="D35" s="95">
        <v>13478.400390625</v>
      </c>
      <c r="F35" s="95">
        <v>4</v>
      </c>
      <c r="H35" s="95">
        <v>938</v>
      </c>
      <c r="N35" s="95">
        <f>SUM(B35:M35)</f>
        <v>14454.400390625</v>
      </c>
      <c r="O35" s="95">
        <f>SUM(E35:J35)</f>
        <v>942</v>
      </c>
      <c r="P35" s="95">
        <f>SUM(L35,M35,B36)</f>
        <v>0</v>
      </c>
      <c r="U35" s="96"/>
      <c r="V35" s="96"/>
    </row>
    <row r="36" spans="1:22" x14ac:dyDescent="0.15">
      <c r="A36" s="141">
        <v>2013</v>
      </c>
      <c r="C36" s="95">
        <v>79</v>
      </c>
      <c r="D36" s="95">
        <v>23895</v>
      </c>
      <c r="K36" s="95">
        <v>12</v>
      </c>
      <c r="N36" s="95">
        <f>SUM(B36:M36)</f>
        <v>23986</v>
      </c>
      <c r="O36" s="95">
        <f>SUM(E36:J36)</f>
        <v>0</v>
      </c>
      <c r="P36" s="95">
        <f>SUM(L36,M36,B41)</f>
        <v>0</v>
      </c>
      <c r="U36" s="96"/>
      <c r="V36" s="96"/>
    </row>
    <row r="37" spans="1:22" x14ac:dyDescent="0.15">
      <c r="A37" s="141">
        <v>2014</v>
      </c>
      <c r="C37" s="95">
        <v>21</v>
      </c>
      <c r="D37" s="95">
        <v>181</v>
      </c>
      <c r="E37" s="95">
        <v>19</v>
      </c>
      <c r="U37" s="96"/>
      <c r="V37" s="96"/>
    </row>
    <row r="38" spans="1:22" x14ac:dyDescent="0.15">
      <c r="A38" s="141">
        <v>2015</v>
      </c>
      <c r="B38" s="95">
        <v>320</v>
      </c>
      <c r="D38" s="95">
        <v>2345.7999877929688</v>
      </c>
      <c r="E38" s="95">
        <v>99</v>
      </c>
      <c r="F38" s="95">
        <v>13158.800415039062</v>
      </c>
      <c r="G38" s="95">
        <v>10482.400146484375</v>
      </c>
      <c r="H38" s="95">
        <v>79812</v>
      </c>
      <c r="I38" s="95">
        <v>2091</v>
      </c>
      <c r="U38" s="96"/>
      <c r="V38" s="96"/>
    </row>
    <row r="39" spans="1:22" x14ac:dyDescent="0.15">
      <c r="A39" s="141">
        <v>2016</v>
      </c>
      <c r="B39" s="147">
        <v>6</v>
      </c>
      <c r="C39" s="95">
        <v>880</v>
      </c>
      <c r="D39" s="95">
        <v>804.5999755859375</v>
      </c>
      <c r="E39" s="95">
        <v>715.80000305175781</v>
      </c>
      <c r="F39" s="95">
        <v>772.20001220703125</v>
      </c>
      <c r="G39" s="95">
        <v>44.200000762939453</v>
      </c>
      <c r="H39" s="95">
        <v>20</v>
      </c>
      <c r="I39" s="95">
        <v>344.59999847412109</v>
      </c>
      <c r="U39" s="96"/>
      <c r="V39" s="96"/>
    </row>
    <row r="40" spans="1:22" x14ac:dyDescent="0.15">
      <c r="A40" s="141">
        <v>2017</v>
      </c>
      <c r="B40" s="147"/>
      <c r="C40" s="169"/>
      <c r="D40" s="169">
        <v>164.60000610351562</v>
      </c>
      <c r="E40" s="169"/>
      <c r="F40" s="169"/>
      <c r="G40" s="169"/>
      <c r="H40" s="169"/>
      <c r="I40" s="169">
        <v>5196.2001953125</v>
      </c>
      <c r="U40" s="96"/>
      <c r="V40" s="96"/>
    </row>
    <row r="41" spans="1:22" x14ac:dyDescent="0.15">
      <c r="U41" s="96"/>
      <c r="V41" s="96"/>
    </row>
    <row r="42" spans="1:22" x14ac:dyDescent="0.25">
      <c r="A42" s="95" t="s">
        <v>104</v>
      </c>
    </row>
    <row r="43" spans="1:22" x14ac:dyDescent="0.25">
      <c r="A43" s="95" t="s">
        <v>111</v>
      </c>
      <c r="S43" s="126"/>
    </row>
    <row r="44" spans="1:22" x14ac:dyDescent="0.25">
      <c r="A44" s="140"/>
      <c r="B44" s="139">
        <v>1</v>
      </c>
      <c r="C44" s="139">
        <v>2</v>
      </c>
      <c r="D44" s="139">
        <v>3</v>
      </c>
      <c r="E44" s="139">
        <v>4</v>
      </c>
      <c r="F44" s="139">
        <v>5</v>
      </c>
      <c r="G44" s="139">
        <v>6</v>
      </c>
      <c r="H44" s="139">
        <v>7</v>
      </c>
      <c r="I44" s="139">
        <v>8</v>
      </c>
      <c r="J44" s="139">
        <v>9</v>
      </c>
      <c r="K44" s="139">
        <v>10</v>
      </c>
      <c r="L44" s="139">
        <v>11</v>
      </c>
      <c r="M44" s="139">
        <v>12</v>
      </c>
      <c r="N44" s="95" t="s">
        <v>108</v>
      </c>
      <c r="O44" s="95" t="s">
        <v>118</v>
      </c>
      <c r="S44" s="126"/>
    </row>
    <row r="45" spans="1:22" x14ac:dyDescent="0.25">
      <c r="A45" s="141">
        <v>1998</v>
      </c>
      <c r="B45" s="92">
        <v>116727</v>
      </c>
      <c r="C45" s="92">
        <v>185342</v>
      </c>
      <c r="D45" s="92">
        <v>124675</v>
      </c>
      <c r="E45" s="92">
        <v>981215</v>
      </c>
      <c r="F45" s="92">
        <v>7945943</v>
      </c>
      <c r="G45" s="92">
        <v>1766838</v>
      </c>
      <c r="H45" s="92">
        <v>1700490</v>
      </c>
      <c r="I45" s="92">
        <v>13435</v>
      </c>
      <c r="J45" s="92">
        <v>324348</v>
      </c>
      <c r="K45" s="92">
        <v>448273</v>
      </c>
      <c r="L45" s="92">
        <v>157145</v>
      </c>
      <c r="M45" s="92">
        <v>269201</v>
      </c>
      <c r="N45" s="95">
        <f>SUM(B45:M45)</f>
        <v>14033632</v>
      </c>
      <c r="O45" s="95">
        <f>N45/1000</f>
        <v>14033.632</v>
      </c>
      <c r="S45" s="126"/>
    </row>
    <row r="46" spans="1:22" x14ac:dyDescent="0.25">
      <c r="A46" s="141">
        <v>1999</v>
      </c>
      <c r="B46" s="92">
        <v>1683531</v>
      </c>
      <c r="C46" s="92">
        <v>496687</v>
      </c>
      <c r="D46" s="92">
        <v>985905</v>
      </c>
      <c r="E46" s="92">
        <v>3629692</v>
      </c>
      <c r="F46" s="92">
        <v>3789875</v>
      </c>
      <c r="G46" s="92">
        <v>2940081</v>
      </c>
      <c r="H46" s="92">
        <v>919114</v>
      </c>
      <c r="I46" s="92">
        <v>711039</v>
      </c>
      <c r="J46" s="92">
        <v>2751976</v>
      </c>
      <c r="K46" s="92">
        <v>7546840</v>
      </c>
      <c r="L46" s="92">
        <v>581057</v>
      </c>
      <c r="M46" s="92">
        <v>104433</v>
      </c>
      <c r="N46" s="95">
        <f t="shared" ref="N46:N56" si="7">SUM(B46:M46)</f>
        <v>26140230</v>
      </c>
      <c r="O46" s="95">
        <f t="shared" ref="O46:O60" si="8">N46/1000</f>
        <v>26140.23</v>
      </c>
      <c r="S46" s="126"/>
    </row>
    <row r="47" spans="1:22" x14ac:dyDescent="0.25">
      <c r="A47" s="141">
        <v>2000</v>
      </c>
      <c r="B47" s="92">
        <v>4339</v>
      </c>
      <c r="C47" s="92">
        <v>41386</v>
      </c>
      <c r="D47" s="92">
        <v>48761</v>
      </c>
      <c r="E47" s="92">
        <v>71564</v>
      </c>
      <c r="F47" s="92">
        <v>1128748</v>
      </c>
      <c r="G47" s="92">
        <v>63775</v>
      </c>
      <c r="H47" s="92">
        <v>7058</v>
      </c>
      <c r="I47" s="92">
        <v>74405</v>
      </c>
      <c r="J47" s="92">
        <v>418536</v>
      </c>
      <c r="K47" s="92">
        <v>677612</v>
      </c>
      <c r="L47" s="92">
        <v>309083</v>
      </c>
      <c r="M47" s="92">
        <v>6730</v>
      </c>
      <c r="N47" s="95">
        <f t="shared" si="7"/>
        <v>2851997</v>
      </c>
      <c r="O47" s="95">
        <f t="shared" si="8"/>
        <v>2851.9969999999998</v>
      </c>
      <c r="S47" s="126"/>
    </row>
    <row r="48" spans="1:22" x14ac:dyDescent="0.25">
      <c r="A48" s="141">
        <v>2001</v>
      </c>
      <c r="B48" s="92">
        <v>0</v>
      </c>
      <c r="C48" s="92">
        <v>4811</v>
      </c>
      <c r="D48" s="92">
        <v>0</v>
      </c>
      <c r="E48" s="92">
        <v>43082</v>
      </c>
      <c r="F48" s="92">
        <v>0</v>
      </c>
      <c r="G48" s="92">
        <v>1437</v>
      </c>
      <c r="H48" s="92">
        <v>0</v>
      </c>
      <c r="I48" s="92">
        <v>0</v>
      </c>
      <c r="J48" s="92">
        <v>0</v>
      </c>
      <c r="K48" s="92">
        <v>9737</v>
      </c>
      <c r="L48" s="92">
        <v>0</v>
      </c>
      <c r="M48" s="92">
        <v>0</v>
      </c>
      <c r="N48" s="95">
        <f t="shared" si="7"/>
        <v>59067</v>
      </c>
      <c r="O48" s="95">
        <f t="shared" si="8"/>
        <v>59.067</v>
      </c>
      <c r="S48" s="126"/>
    </row>
    <row r="49" spans="1:19" x14ac:dyDescent="0.25">
      <c r="A49" s="141">
        <v>2002</v>
      </c>
      <c r="B49" s="92">
        <v>0</v>
      </c>
      <c r="C49" s="92">
        <v>0</v>
      </c>
      <c r="D49" s="92">
        <v>0</v>
      </c>
      <c r="E49" s="92">
        <v>0</v>
      </c>
      <c r="F49" s="92">
        <v>0</v>
      </c>
      <c r="G49" s="92">
        <v>0</v>
      </c>
      <c r="H49" s="92">
        <v>0</v>
      </c>
      <c r="I49" s="92">
        <v>0</v>
      </c>
      <c r="J49" s="92">
        <v>0</v>
      </c>
      <c r="K49" s="92">
        <v>0</v>
      </c>
      <c r="L49" s="92">
        <v>0</v>
      </c>
      <c r="M49" s="92">
        <v>0</v>
      </c>
      <c r="N49" s="95">
        <f t="shared" si="7"/>
        <v>0</v>
      </c>
      <c r="O49" s="95">
        <f t="shared" si="8"/>
        <v>0</v>
      </c>
      <c r="R49" s="92"/>
      <c r="S49" s="126"/>
    </row>
    <row r="50" spans="1:19" x14ac:dyDescent="0.25">
      <c r="A50" s="141">
        <v>2003</v>
      </c>
      <c r="B50" s="92">
        <v>329</v>
      </c>
      <c r="C50" s="92">
        <v>0</v>
      </c>
      <c r="D50" s="92">
        <v>1887</v>
      </c>
      <c r="E50" s="92">
        <v>16602</v>
      </c>
      <c r="F50" s="92">
        <v>276251</v>
      </c>
      <c r="G50" s="92">
        <v>0</v>
      </c>
      <c r="H50" s="92">
        <v>18987</v>
      </c>
      <c r="I50" s="92">
        <v>5621</v>
      </c>
      <c r="J50" s="92">
        <v>7273</v>
      </c>
      <c r="K50" s="92">
        <v>0</v>
      </c>
      <c r="L50" s="92">
        <v>74391</v>
      </c>
      <c r="M50" s="92">
        <v>47367</v>
      </c>
      <c r="N50" s="95">
        <f t="shared" si="7"/>
        <v>448708</v>
      </c>
      <c r="O50" s="95">
        <f t="shared" si="8"/>
        <v>448.70800000000003</v>
      </c>
      <c r="R50" s="92"/>
      <c r="S50" s="126"/>
    </row>
    <row r="51" spans="1:19" x14ac:dyDescent="0.25">
      <c r="A51" s="141">
        <v>2004</v>
      </c>
      <c r="B51" s="92">
        <v>61674</v>
      </c>
      <c r="C51" s="92">
        <v>83151</v>
      </c>
      <c r="D51" s="92">
        <v>53631</v>
      </c>
      <c r="E51" s="92">
        <v>3456</v>
      </c>
      <c r="F51" s="92">
        <v>262111</v>
      </c>
      <c r="G51" s="92">
        <v>125183</v>
      </c>
      <c r="H51" s="92">
        <v>253424</v>
      </c>
      <c r="I51" s="92">
        <v>41198</v>
      </c>
      <c r="J51" s="92">
        <v>129862</v>
      </c>
      <c r="K51" s="92">
        <v>68032</v>
      </c>
      <c r="L51" s="92">
        <v>3542</v>
      </c>
      <c r="M51" s="92">
        <v>4123</v>
      </c>
      <c r="N51" s="95">
        <f t="shared" si="7"/>
        <v>1089387</v>
      </c>
      <c r="O51" s="95">
        <f t="shared" si="8"/>
        <v>1089.3869999999999</v>
      </c>
      <c r="R51" s="92"/>
      <c r="S51" s="126"/>
    </row>
    <row r="52" spans="1:19" x14ac:dyDescent="0.25">
      <c r="A52" s="141">
        <v>2005</v>
      </c>
      <c r="B52" s="92">
        <v>2325</v>
      </c>
      <c r="C52" s="92">
        <v>17533</v>
      </c>
      <c r="D52" s="92">
        <v>335</v>
      </c>
      <c r="E52" s="92">
        <v>58743</v>
      </c>
      <c r="F52" s="92">
        <v>238335</v>
      </c>
      <c r="G52" s="92">
        <v>11049</v>
      </c>
      <c r="H52" s="92">
        <v>35181</v>
      </c>
      <c r="I52" s="92">
        <v>240350</v>
      </c>
      <c r="J52" s="92">
        <v>428664</v>
      </c>
      <c r="K52" s="92">
        <v>375306</v>
      </c>
      <c r="L52" s="92">
        <v>369547</v>
      </c>
      <c r="M52" s="92">
        <v>28161</v>
      </c>
      <c r="N52" s="95">
        <f t="shared" si="7"/>
        <v>1805529</v>
      </c>
      <c r="O52" s="95">
        <f t="shared" si="8"/>
        <v>1805.529</v>
      </c>
      <c r="R52" s="92"/>
      <c r="S52" s="126"/>
    </row>
    <row r="53" spans="1:19" x14ac:dyDescent="0.25">
      <c r="A53" s="141">
        <v>2006</v>
      </c>
      <c r="B53" s="92">
        <v>587</v>
      </c>
      <c r="C53" s="92">
        <v>4527</v>
      </c>
      <c r="D53" s="92">
        <v>0</v>
      </c>
      <c r="E53" s="92">
        <v>40981</v>
      </c>
      <c r="F53" s="92">
        <v>481875</v>
      </c>
      <c r="G53" s="92">
        <v>409899</v>
      </c>
      <c r="H53" s="92">
        <v>5849</v>
      </c>
      <c r="I53" s="92">
        <v>189465</v>
      </c>
      <c r="J53" s="92">
        <v>480278</v>
      </c>
      <c r="K53" s="92">
        <v>319582</v>
      </c>
      <c r="L53" s="92">
        <v>134083</v>
      </c>
      <c r="M53" s="92">
        <v>277229</v>
      </c>
      <c r="N53" s="95">
        <f t="shared" si="7"/>
        <v>2344355</v>
      </c>
      <c r="O53" s="95">
        <f t="shared" si="8"/>
        <v>2344.355</v>
      </c>
      <c r="P53" s="93"/>
      <c r="R53" s="92"/>
      <c r="S53" s="126"/>
    </row>
    <row r="54" spans="1:19" x14ac:dyDescent="0.25">
      <c r="A54" s="141">
        <v>2007</v>
      </c>
      <c r="B54" s="92">
        <v>94258</v>
      </c>
      <c r="C54" s="92">
        <v>0</v>
      </c>
      <c r="D54" s="92">
        <v>227104</v>
      </c>
      <c r="E54" s="92">
        <v>116555</v>
      </c>
      <c r="F54" s="92">
        <v>19341</v>
      </c>
      <c r="G54" s="92">
        <v>23385</v>
      </c>
      <c r="H54" s="92">
        <v>911557</v>
      </c>
      <c r="I54" s="92">
        <v>137240</v>
      </c>
      <c r="J54" s="92">
        <v>43378</v>
      </c>
      <c r="K54" s="92">
        <v>2360877</v>
      </c>
      <c r="L54" s="92">
        <v>215221</v>
      </c>
      <c r="M54" s="92">
        <v>1935</v>
      </c>
      <c r="N54" s="95">
        <f t="shared" si="7"/>
        <v>4150851</v>
      </c>
      <c r="O54" s="95">
        <f t="shared" si="8"/>
        <v>4150.8509999999997</v>
      </c>
      <c r="R54" s="92"/>
      <c r="S54" s="126"/>
    </row>
    <row r="55" spans="1:19" x14ac:dyDescent="0.25">
      <c r="A55" s="141">
        <v>2008</v>
      </c>
      <c r="B55" s="92">
        <v>500</v>
      </c>
      <c r="C55" s="92">
        <v>161998</v>
      </c>
      <c r="D55" s="92">
        <v>1263167</v>
      </c>
      <c r="E55" s="92">
        <v>1440155</v>
      </c>
      <c r="F55" s="92">
        <v>1198002</v>
      </c>
      <c r="G55" s="92">
        <v>9937</v>
      </c>
      <c r="H55" s="92">
        <v>1444</v>
      </c>
      <c r="I55" s="92">
        <v>20427</v>
      </c>
      <c r="J55" s="92">
        <v>358598</v>
      </c>
      <c r="K55" s="92">
        <v>113160</v>
      </c>
      <c r="L55" s="92">
        <v>0</v>
      </c>
      <c r="M55" s="92">
        <v>42109</v>
      </c>
      <c r="N55" s="95">
        <f t="shared" si="7"/>
        <v>4609497</v>
      </c>
      <c r="O55" s="95">
        <f t="shared" si="8"/>
        <v>4609.4970000000003</v>
      </c>
      <c r="R55" s="92"/>
    </row>
    <row r="56" spans="1:19" x14ac:dyDescent="0.25">
      <c r="A56" s="141">
        <v>2009</v>
      </c>
      <c r="B56" s="92">
        <v>10948</v>
      </c>
      <c r="C56" s="92">
        <v>2379</v>
      </c>
      <c r="D56" s="92">
        <v>467425</v>
      </c>
      <c r="E56" s="92">
        <v>830556</v>
      </c>
      <c r="F56" s="92">
        <v>9429</v>
      </c>
      <c r="G56" s="92">
        <v>1202</v>
      </c>
      <c r="H56" s="92">
        <v>951321</v>
      </c>
      <c r="I56" s="92">
        <v>1449222</v>
      </c>
      <c r="J56" s="92">
        <v>1348539</v>
      </c>
      <c r="K56" s="92">
        <v>540239</v>
      </c>
      <c r="L56" s="92">
        <v>335578</v>
      </c>
      <c r="M56" s="92">
        <v>13946</v>
      </c>
      <c r="N56" s="95">
        <f t="shared" si="7"/>
        <v>5960784</v>
      </c>
      <c r="O56" s="95">
        <f t="shared" si="8"/>
        <v>5960.7839999999997</v>
      </c>
      <c r="S56" s="92"/>
    </row>
    <row r="57" spans="1:19" x14ac:dyDescent="0.25">
      <c r="A57" s="141">
        <v>2010</v>
      </c>
      <c r="B57" s="92">
        <v>2784</v>
      </c>
      <c r="C57" s="92">
        <v>358774</v>
      </c>
      <c r="D57" s="92">
        <v>494578</v>
      </c>
      <c r="E57" s="92">
        <v>425099</v>
      </c>
      <c r="F57" s="92">
        <v>2079988</v>
      </c>
      <c r="G57" s="92">
        <v>168631</v>
      </c>
      <c r="H57" s="92">
        <v>34630</v>
      </c>
      <c r="I57" s="92">
        <v>42642</v>
      </c>
      <c r="J57" s="92">
        <v>1025</v>
      </c>
      <c r="K57" s="92">
        <v>1064175</v>
      </c>
      <c r="L57" s="92">
        <v>135624</v>
      </c>
      <c r="M57" s="92">
        <v>0</v>
      </c>
      <c r="N57" s="95">
        <f t="shared" ref="N57:N62" si="9">SUM(B57:M57)</f>
        <v>4807950</v>
      </c>
      <c r="O57" s="95">
        <f t="shared" si="8"/>
        <v>4807.95</v>
      </c>
    </row>
    <row r="58" spans="1:19" s="99" customFormat="1" x14ac:dyDescent="0.25">
      <c r="A58" s="142">
        <v>2011</v>
      </c>
      <c r="B58" s="100">
        <v>2369</v>
      </c>
      <c r="C58" s="100">
        <v>5734</v>
      </c>
      <c r="D58" s="100">
        <v>161359</v>
      </c>
      <c r="E58" s="100">
        <v>3053878</v>
      </c>
      <c r="F58" s="100">
        <v>12610426</v>
      </c>
      <c r="G58" s="100">
        <v>6953978</v>
      </c>
      <c r="H58" s="100">
        <v>32865</v>
      </c>
      <c r="I58" s="100">
        <v>7695</v>
      </c>
      <c r="J58" s="100">
        <v>191091</v>
      </c>
      <c r="K58" s="100">
        <v>1851413</v>
      </c>
      <c r="L58" s="100">
        <v>2654451</v>
      </c>
      <c r="M58" s="100">
        <v>134046</v>
      </c>
      <c r="N58" s="95">
        <f t="shared" si="9"/>
        <v>27659305</v>
      </c>
      <c r="O58" s="95">
        <f t="shared" si="8"/>
        <v>27659.305</v>
      </c>
    </row>
    <row r="59" spans="1:19" x14ac:dyDescent="0.25">
      <c r="A59" s="141">
        <v>2012</v>
      </c>
      <c r="B59" s="95">
        <v>5540</v>
      </c>
      <c r="C59" s="95">
        <v>270376</v>
      </c>
      <c r="D59" s="95">
        <v>152721</v>
      </c>
      <c r="E59" s="95">
        <v>10661193</v>
      </c>
      <c r="F59" s="95">
        <v>2682835</v>
      </c>
      <c r="G59" s="95">
        <v>912019</v>
      </c>
      <c r="H59" s="95">
        <v>66797</v>
      </c>
      <c r="I59" s="95">
        <v>7906</v>
      </c>
      <c r="J59" s="95">
        <v>1148553</v>
      </c>
      <c r="K59" s="95">
        <v>1599714</v>
      </c>
      <c r="L59" s="95">
        <v>47698</v>
      </c>
      <c r="M59" s="95">
        <v>609</v>
      </c>
      <c r="N59" s="95">
        <f t="shared" si="9"/>
        <v>17555961</v>
      </c>
      <c r="O59" s="95">
        <f>N59/1000</f>
        <v>17555.960999999999</v>
      </c>
    </row>
    <row r="60" spans="1:19" x14ac:dyDescent="0.25">
      <c r="A60" s="141">
        <v>2013</v>
      </c>
      <c r="B60" s="95">
        <v>5292</v>
      </c>
      <c r="C60" s="95">
        <v>4742498</v>
      </c>
      <c r="D60" s="95">
        <v>8339027</v>
      </c>
      <c r="E60" s="95">
        <v>8925709</v>
      </c>
      <c r="F60" s="95">
        <v>1636518</v>
      </c>
      <c r="G60" s="93">
        <v>1951958</v>
      </c>
      <c r="H60" s="95">
        <v>81199</v>
      </c>
      <c r="I60" s="95">
        <v>512522</v>
      </c>
      <c r="J60" s="95">
        <v>321991</v>
      </c>
      <c r="K60" s="95">
        <v>6595293</v>
      </c>
      <c r="L60" s="95">
        <v>4708605</v>
      </c>
      <c r="M60" s="95">
        <v>1382644</v>
      </c>
      <c r="N60" s="95">
        <f t="shared" si="9"/>
        <v>39203256</v>
      </c>
      <c r="O60" s="95">
        <f t="shared" si="8"/>
        <v>39203.256000000001</v>
      </c>
    </row>
    <row r="61" spans="1:19" x14ac:dyDescent="0.25">
      <c r="A61" s="141">
        <v>2014</v>
      </c>
      <c r="B61" s="95">
        <v>0</v>
      </c>
      <c r="C61" s="95">
        <v>679</v>
      </c>
      <c r="D61" s="95">
        <v>16529</v>
      </c>
      <c r="E61" s="95">
        <v>136009</v>
      </c>
      <c r="F61" s="95">
        <v>682075</v>
      </c>
      <c r="G61" s="93">
        <v>1486</v>
      </c>
      <c r="H61" s="95">
        <v>55113</v>
      </c>
      <c r="I61" s="95">
        <v>11514</v>
      </c>
      <c r="J61" s="95">
        <v>8799</v>
      </c>
      <c r="K61" s="95">
        <v>12159</v>
      </c>
      <c r="L61" s="95">
        <v>39731</v>
      </c>
      <c r="M61" s="95">
        <v>0</v>
      </c>
      <c r="N61" s="95">
        <f t="shared" si="9"/>
        <v>964094</v>
      </c>
      <c r="O61" s="95">
        <f>N61/1000</f>
        <v>964.09400000000005</v>
      </c>
    </row>
    <row r="62" spans="1:19" x14ac:dyDescent="0.25">
      <c r="A62" s="141">
        <v>2015</v>
      </c>
      <c r="B62" s="95">
        <v>3655</v>
      </c>
      <c r="C62" s="95">
        <v>219086</v>
      </c>
      <c r="D62" s="95">
        <v>189361</v>
      </c>
      <c r="E62" s="95">
        <v>4378752</v>
      </c>
      <c r="F62" s="95">
        <v>2647477</v>
      </c>
      <c r="G62" s="93">
        <v>10469581</v>
      </c>
      <c r="H62" s="95">
        <v>3935768</v>
      </c>
      <c r="I62" s="95">
        <v>2200260</v>
      </c>
      <c r="J62" s="95">
        <v>1591161</v>
      </c>
      <c r="K62" s="95">
        <v>3743853</v>
      </c>
      <c r="L62" s="95">
        <v>230568</v>
      </c>
      <c r="M62" s="95">
        <v>27868</v>
      </c>
      <c r="N62" s="95">
        <f t="shared" si="9"/>
        <v>29637390</v>
      </c>
      <c r="O62" s="95">
        <f>N62/1000</f>
        <v>29637.39</v>
      </c>
    </row>
    <row r="63" spans="1:19" x14ac:dyDescent="0.25">
      <c r="A63" s="141">
        <v>2016</v>
      </c>
      <c r="B63" s="95">
        <v>56466</v>
      </c>
      <c r="C63" s="95">
        <v>291951</v>
      </c>
      <c r="D63" s="95">
        <v>95469</v>
      </c>
      <c r="E63" s="95">
        <v>1309833</v>
      </c>
      <c r="F63" s="95">
        <v>8586279</v>
      </c>
      <c r="G63" s="93">
        <v>2785356</v>
      </c>
      <c r="H63" s="95">
        <v>69756</v>
      </c>
      <c r="I63" s="95">
        <v>234435</v>
      </c>
      <c r="J63" s="95">
        <v>1685059</v>
      </c>
      <c r="K63" s="95">
        <v>1079761</v>
      </c>
      <c r="L63" s="95">
        <v>399278</v>
      </c>
      <c r="M63" s="95">
        <v>777287</v>
      </c>
      <c r="N63" s="95">
        <f>SUM(B63:M63)</f>
        <v>17370930</v>
      </c>
      <c r="O63" s="95">
        <f>N63/1000</f>
        <v>17370.93</v>
      </c>
    </row>
    <row r="64" spans="1:19" x14ac:dyDescent="0.25">
      <c r="A64" s="141">
        <v>2017</v>
      </c>
      <c r="B64" s="95">
        <v>896333</v>
      </c>
      <c r="C64" s="169">
        <v>1195119</v>
      </c>
      <c r="D64" s="169">
        <v>5957240</v>
      </c>
      <c r="E64" s="169">
        <v>1670010</v>
      </c>
      <c r="F64" s="169">
        <v>2133326</v>
      </c>
      <c r="G64" s="174">
        <v>6829218</v>
      </c>
      <c r="H64" s="169">
        <v>4390981</v>
      </c>
      <c r="I64" s="169">
        <v>958811</v>
      </c>
    </row>
    <row r="65" spans="1:13" x14ac:dyDescent="0.25">
      <c r="G65" s="93"/>
    </row>
    <row r="66" spans="1:13" x14ac:dyDescent="0.25">
      <c r="A66" s="95" t="s">
        <v>135</v>
      </c>
    </row>
    <row r="67" spans="1:13" x14ac:dyDescent="0.25">
      <c r="A67" s="141">
        <v>2017</v>
      </c>
      <c r="B67" s="139">
        <v>1</v>
      </c>
      <c r="C67" s="139">
        <v>2</v>
      </c>
      <c r="D67" s="139">
        <v>3</v>
      </c>
      <c r="E67" s="139">
        <v>4</v>
      </c>
      <c r="F67" s="139">
        <v>5</v>
      </c>
      <c r="G67" s="139">
        <v>6</v>
      </c>
      <c r="H67" s="139">
        <v>7</v>
      </c>
      <c r="I67" s="139">
        <v>8</v>
      </c>
      <c r="J67" s="139">
        <v>9</v>
      </c>
      <c r="K67" s="139">
        <v>10</v>
      </c>
      <c r="L67" s="139">
        <v>11</v>
      </c>
      <c r="M67" s="139">
        <v>12</v>
      </c>
    </row>
    <row r="68" spans="1:13" x14ac:dyDescent="0.25">
      <c r="A68" s="141" t="s">
        <v>131</v>
      </c>
      <c r="B68" s="95">
        <v>0</v>
      </c>
      <c r="C68" s="169"/>
      <c r="D68" s="169"/>
      <c r="E68" s="169"/>
      <c r="F68" s="169"/>
      <c r="G68" s="169"/>
      <c r="H68" s="169">
        <v>31624</v>
      </c>
      <c r="I68" s="169"/>
    </row>
    <row r="69" spans="1:13" x14ac:dyDescent="0.25">
      <c r="A69" s="141" t="s">
        <v>132</v>
      </c>
      <c r="B69" s="95">
        <v>896333</v>
      </c>
      <c r="C69" s="169">
        <v>1195119</v>
      </c>
      <c r="D69" s="169">
        <v>5957240</v>
      </c>
      <c r="E69" s="169">
        <v>1670010</v>
      </c>
      <c r="F69" s="169">
        <v>2133326</v>
      </c>
      <c r="G69" s="169">
        <v>6829218</v>
      </c>
      <c r="H69" s="169">
        <v>4359357</v>
      </c>
      <c r="I69" s="169">
        <v>958811</v>
      </c>
    </row>
    <row r="70" spans="1:13" x14ac:dyDescent="0.25">
      <c r="A70" s="144" t="s">
        <v>133</v>
      </c>
      <c r="B70" s="148">
        <f>SUM(B68:B69)</f>
        <v>896333</v>
      </c>
      <c r="C70" s="175">
        <f t="shared" ref="C70:I70" si="10">SUM(C68:C69)</f>
        <v>1195119</v>
      </c>
      <c r="D70" s="175">
        <f t="shared" si="10"/>
        <v>5957240</v>
      </c>
      <c r="E70" s="175">
        <f t="shared" si="10"/>
        <v>1670010</v>
      </c>
      <c r="F70" s="175">
        <f t="shared" si="10"/>
        <v>2133326</v>
      </c>
      <c r="G70" s="175">
        <f t="shared" si="10"/>
        <v>6829218</v>
      </c>
      <c r="H70" s="175">
        <f t="shared" si="10"/>
        <v>4390981</v>
      </c>
      <c r="I70" s="175">
        <f t="shared" si="10"/>
        <v>958811</v>
      </c>
    </row>
    <row r="71" spans="1:13" x14ac:dyDescent="0.25">
      <c r="A71" s="150"/>
      <c r="B71" s="148"/>
      <c r="C71" s="148"/>
      <c r="D71" s="148"/>
      <c r="E71" s="148"/>
      <c r="F71" s="148"/>
      <c r="G71" s="148"/>
      <c r="H71" s="148"/>
      <c r="I71" s="148"/>
    </row>
    <row r="72" spans="1:13" x14ac:dyDescent="0.25">
      <c r="A72" s="141">
        <v>2016</v>
      </c>
      <c r="B72" s="139">
        <v>1</v>
      </c>
      <c r="C72" s="139">
        <v>2</v>
      </c>
      <c r="D72" s="139">
        <v>3</v>
      </c>
      <c r="E72" s="139">
        <v>4</v>
      </c>
      <c r="F72" s="139">
        <v>5</v>
      </c>
      <c r="G72" s="139">
        <v>6</v>
      </c>
      <c r="H72" s="139">
        <v>7</v>
      </c>
      <c r="I72" s="139">
        <v>8</v>
      </c>
      <c r="J72" s="139">
        <v>9</v>
      </c>
      <c r="K72" s="139">
        <v>10</v>
      </c>
      <c r="L72" s="139">
        <v>11</v>
      </c>
      <c r="M72" s="139">
        <v>12</v>
      </c>
    </row>
    <row r="73" spans="1:13" x14ac:dyDescent="0.25">
      <c r="A73" s="141" t="s">
        <v>131</v>
      </c>
      <c r="B73" s="147">
        <v>0</v>
      </c>
      <c r="C73" s="95">
        <v>0</v>
      </c>
      <c r="D73" s="95">
        <v>12858</v>
      </c>
      <c r="E73" s="95">
        <v>15042</v>
      </c>
      <c r="F73" s="95">
        <v>390815</v>
      </c>
      <c r="G73" s="95">
        <v>0</v>
      </c>
      <c r="H73" s="95">
        <v>0</v>
      </c>
      <c r="I73" s="95">
        <v>0</v>
      </c>
      <c r="J73" s="95">
        <v>0</v>
      </c>
      <c r="K73" s="95">
        <v>0</v>
      </c>
      <c r="L73" s="95">
        <v>716</v>
      </c>
      <c r="M73" s="95">
        <v>0</v>
      </c>
    </row>
    <row r="74" spans="1:13" x14ac:dyDescent="0.25">
      <c r="A74" s="141" t="s">
        <v>132</v>
      </c>
      <c r="B74" s="147">
        <v>56466</v>
      </c>
      <c r="C74" s="95">
        <v>291951</v>
      </c>
      <c r="D74" s="95">
        <v>82611</v>
      </c>
      <c r="E74" s="95">
        <v>1294791</v>
      </c>
      <c r="F74" s="95">
        <v>8195464</v>
      </c>
      <c r="G74" s="146">
        <v>2785356</v>
      </c>
      <c r="H74" s="95">
        <v>69756</v>
      </c>
      <c r="I74" s="95">
        <v>234435</v>
      </c>
      <c r="J74" s="95">
        <v>1685059</v>
      </c>
      <c r="K74" s="95">
        <v>1079761</v>
      </c>
      <c r="L74" s="95">
        <v>398562</v>
      </c>
      <c r="M74" s="95">
        <v>777287</v>
      </c>
    </row>
    <row r="75" spans="1:13" x14ac:dyDescent="0.25">
      <c r="A75" s="144" t="s">
        <v>133</v>
      </c>
      <c r="B75" s="148">
        <f>SUM(B73:B74)</f>
        <v>56466</v>
      </c>
      <c r="C75" s="148">
        <f t="shared" ref="C75:M75" si="11">SUM(C73:C74)</f>
        <v>291951</v>
      </c>
      <c r="D75" s="148">
        <f t="shared" si="11"/>
        <v>95469</v>
      </c>
      <c r="E75" s="148">
        <f t="shared" si="11"/>
        <v>1309833</v>
      </c>
      <c r="F75" s="148">
        <f t="shared" si="11"/>
        <v>8586279</v>
      </c>
      <c r="G75" s="148">
        <f t="shared" si="11"/>
        <v>2785356</v>
      </c>
      <c r="H75" s="148">
        <f t="shared" si="11"/>
        <v>69756</v>
      </c>
      <c r="I75" s="148">
        <f t="shared" si="11"/>
        <v>234435</v>
      </c>
      <c r="J75" s="148">
        <f t="shared" si="11"/>
        <v>1685059</v>
      </c>
      <c r="K75" s="148">
        <f t="shared" si="11"/>
        <v>1079761</v>
      </c>
      <c r="L75" s="148">
        <f t="shared" si="11"/>
        <v>399278</v>
      </c>
      <c r="M75" s="148">
        <f t="shared" si="11"/>
        <v>777287</v>
      </c>
    </row>
    <row r="77" spans="1:13" x14ac:dyDescent="0.25">
      <c r="A77" s="141">
        <v>2015</v>
      </c>
      <c r="B77" s="139">
        <v>1</v>
      </c>
      <c r="C77" s="139">
        <v>2</v>
      </c>
      <c r="D77" s="139">
        <v>3</v>
      </c>
      <c r="E77" s="139">
        <v>4</v>
      </c>
      <c r="F77" s="139">
        <v>5</v>
      </c>
      <c r="G77" s="139">
        <v>6</v>
      </c>
      <c r="H77" s="139">
        <v>7</v>
      </c>
      <c r="I77" s="139">
        <v>8</v>
      </c>
      <c r="J77" s="139">
        <v>9</v>
      </c>
      <c r="K77" s="139">
        <v>10</v>
      </c>
      <c r="L77" s="139">
        <v>11</v>
      </c>
      <c r="M77" s="139">
        <v>12</v>
      </c>
    </row>
    <row r="78" spans="1:13" x14ac:dyDescent="0.25">
      <c r="A78" s="141" t="s">
        <v>131</v>
      </c>
      <c r="B78" s="95">
        <v>0</v>
      </c>
      <c r="C78" s="95">
        <v>219086</v>
      </c>
      <c r="D78" s="95">
        <v>37193</v>
      </c>
      <c r="E78" s="95">
        <v>60472</v>
      </c>
      <c r="F78" s="95">
        <v>3351</v>
      </c>
      <c r="G78" s="95">
        <v>1793</v>
      </c>
      <c r="H78" s="95">
        <v>37901</v>
      </c>
      <c r="I78" s="95">
        <v>0</v>
      </c>
      <c r="J78" s="95">
        <v>0</v>
      </c>
      <c r="K78" s="95">
        <v>0</v>
      </c>
      <c r="L78" s="95">
        <v>0</v>
      </c>
      <c r="M78" s="95">
        <v>0</v>
      </c>
    </row>
    <row r="79" spans="1:13" x14ac:dyDescent="0.25">
      <c r="A79" s="141" t="s">
        <v>132</v>
      </c>
      <c r="B79" s="95">
        <v>3655</v>
      </c>
      <c r="C79" s="95">
        <v>0</v>
      </c>
      <c r="D79" s="95">
        <v>152168</v>
      </c>
      <c r="E79" s="95">
        <v>4318280</v>
      </c>
      <c r="F79" s="95">
        <v>2644126</v>
      </c>
      <c r="G79" s="95">
        <v>10467788</v>
      </c>
      <c r="H79" s="95">
        <v>3897867</v>
      </c>
      <c r="I79" s="95">
        <v>2200260</v>
      </c>
      <c r="J79" s="95">
        <v>1591161</v>
      </c>
      <c r="K79" s="95">
        <v>3743853</v>
      </c>
      <c r="L79" s="95">
        <v>230568</v>
      </c>
      <c r="M79" s="95">
        <v>27868</v>
      </c>
    </row>
    <row r="80" spans="1:13" x14ac:dyDescent="0.25">
      <c r="A80" s="144" t="s">
        <v>133</v>
      </c>
      <c r="B80" s="95">
        <f>SUM(B78:B79)</f>
        <v>3655</v>
      </c>
      <c r="C80" s="95">
        <f t="shared" ref="C80:M80" si="12">SUM(C78:C79)</f>
        <v>219086</v>
      </c>
      <c r="D80" s="95">
        <f t="shared" si="12"/>
        <v>189361</v>
      </c>
      <c r="E80" s="95">
        <f t="shared" si="12"/>
        <v>4378752</v>
      </c>
      <c r="F80" s="95">
        <f t="shared" si="12"/>
        <v>2647477</v>
      </c>
      <c r="G80" s="95">
        <f t="shared" si="12"/>
        <v>10469581</v>
      </c>
      <c r="H80" s="95">
        <f t="shared" si="12"/>
        <v>3935768</v>
      </c>
      <c r="I80" s="95">
        <f t="shared" si="12"/>
        <v>2200260</v>
      </c>
      <c r="J80" s="95">
        <f t="shared" si="12"/>
        <v>1591161</v>
      </c>
      <c r="K80" s="95">
        <f t="shared" si="12"/>
        <v>3743853</v>
      </c>
      <c r="L80" s="95">
        <f t="shared" si="12"/>
        <v>230568</v>
      </c>
      <c r="M80" s="95">
        <f t="shared" si="12"/>
        <v>27868</v>
      </c>
    </row>
    <row r="82" spans="1:13" x14ac:dyDescent="0.25">
      <c r="A82" s="141">
        <v>2014</v>
      </c>
      <c r="B82" s="139">
        <v>1</v>
      </c>
      <c r="C82" s="139">
        <v>2</v>
      </c>
      <c r="D82" s="139">
        <v>3</v>
      </c>
      <c r="E82" s="139">
        <v>4</v>
      </c>
      <c r="F82" s="139">
        <v>5</v>
      </c>
      <c r="G82" s="139">
        <v>6</v>
      </c>
      <c r="H82" s="139">
        <v>7</v>
      </c>
      <c r="I82" s="139">
        <v>8</v>
      </c>
      <c r="J82" s="139">
        <v>9</v>
      </c>
      <c r="K82" s="139">
        <v>10</v>
      </c>
      <c r="L82" s="139">
        <v>11</v>
      </c>
      <c r="M82" s="139">
        <v>12</v>
      </c>
    </row>
    <row r="83" spans="1:13" x14ac:dyDescent="0.25">
      <c r="A83" s="141" t="s">
        <v>131</v>
      </c>
      <c r="B83" s="95">
        <v>0</v>
      </c>
      <c r="C83" s="95">
        <v>0</v>
      </c>
      <c r="D83" s="95">
        <v>0</v>
      </c>
      <c r="E83" s="95">
        <v>0</v>
      </c>
      <c r="F83" s="95">
        <v>0</v>
      </c>
      <c r="G83" s="95">
        <v>0</v>
      </c>
      <c r="H83" s="95">
        <v>231</v>
      </c>
      <c r="I83" s="95">
        <v>7</v>
      </c>
      <c r="J83" s="95">
        <v>0</v>
      </c>
      <c r="K83" s="95">
        <v>0</v>
      </c>
      <c r="L83" s="95">
        <v>0</v>
      </c>
      <c r="M83" s="95">
        <v>0</v>
      </c>
    </row>
    <row r="84" spans="1:13" x14ac:dyDescent="0.25">
      <c r="A84" s="141" t="s">
        <v>132</v>
      </c>
      <c r="B84" s="95">
        <v>0</v>
      </c>
      <c r="C84" s="95">
        <v>679</v>
      </c>
      <c r="D84" s="95">
        <v>16529</v>
      </c>
      <c r="E84" s="95">
        <v>136009</v>
      </c>
      <c r="F84" s="95">
        <v>682075</v>
      </c>
      <c r="G84" s="95">
        <v>1486</v>
      </c>
      <c r="H84" s="95">
        <v>54882</v>
      </c>
      <c r="I84" s="95">
        <v>11507</v>
      </c>
      <c r="J84" s="95">
        <v>8799</v>
      </c>
      <c r="K84" s="95">
        <v>12159</v>
      </c>
      <c r="L84" s="95">
        <v>39731</v>
      </c>
      <c r="M84" s="95">
        <v>0</v>
      </c>
    </row>
    <row r="85" spans="1:13" x14ac:dyDescent="0.25">
      <c r="A85" s="144" t="s">
        <v>133</v>
      </c>
      <c r="B85" s="132">
        <f>SUM(B83:B84)</f>
        <v>0</v>
      </c>
      <c r="C85" s="132">
        <f>SUM(C83:C84)</f>
        <v>679</v>
      </c>
      <c r="D85" s="132">
        <f t="shared" ref="D85:M85" si="13">SUM(D83:D84)</f>
        <v>16529</v>
      </c>
      <c r="E85" s="132">
        <f t="shared" si="13"/>
        <v>136009</v>
      </c>
      <c r="F85" s="132">
        <f t="shared" si="13"/>
        <v>682075</v>
      </c>
      <c r="G85" s="132">
        <f t="shared" si="13"/>
        <v>1486</v>
      </c>
      <c r="H85" s="132">
        <f t="shared" si="13"/>
        <v>55113</v>
      </c>
      <c r="I85" s="132">
        <f t="shared" si="13"/>
        <v>11514</v>
      </c>
      <c r="J85" s="132">
        <f t="shared" si="13"/>
        <v>8799</v>
      </c>
      <c r="K85" s="132">
        <f t="shared" si="13"/>
        <v>12159</v>
      </c>
      <c r="L85" s="132">
        <f t="shared" si="13"/>
        <v>39731</v>
      </c>
      <c r="M85" s="132">
        <f t="shared" si="13"/>
        <v>0</v>
      </c>
    </row>
    <row r="86" spans="1:13" x14ac:dyDescent="0.25">
      <c r="A86" s="144"/>
    </row>
    <row r="87" spans="1:13" x14ac:dyDescent="0.25">
      <c r="A87" s="141">
        <v>2013</v>
      </c>
      <c r="B87" s="139">
        <v>1</v>
      </c>
      <c r="C87" s="139">
        <v>2</v>
      </c>
      <c r="D87" s="139">
        <v>3</v>
      </c>
      <c r="E87" s="139">
        <v>4</v>
      </c>
      <c r="F87" s="139">
        <v>5</v>
      </c>
      <c r="G87" s="139">
        <v>6</v>
      </c>
      <c r="H87" s="139">
        <v>7</v>
      </c>
      <c r="I87" s="139">
        <v>8</v>
      </c>
      <c r="J87" s="139">
        <v>9</v>
      </c>
      <c r="K87" s="139">
        <v>10</v>
      </c>
      <c r="L87" s="139">
        <v>11</v>
      </c>
      <c r="M87" s="139">
        <v>12</v>
      </c>
    </row>
    <row r="88" spans="1:13" x14ac:dyDescent="0.25">
      <c r="A88" s="141" t="s">
        <v>131</v>
      </c>
      <c r="C88" s="95">
        <v>892792</v>
      </c>
      <c r="D88" s="95">
        <v>2128083</v>
      </c>
      <c r="E88" s="95">
        <v>1333850</v>
      </c>
      <c r="F88" s="95">
        <v>50790</v>
      </c>
      <c r="K88" s="95">
        <v>3569</v>
      </c>
      <c r="L88" s="95">
        <v>78111</v>
      </c>
    </row>
    <row r="89" spans="1:13" x14ac:dyDescent="0.25">
      <c r="A89" s="141" t="s">
        <v>132</v>
      </c>
      <c r="B89" s="95">
        <v>5292</v>
      </c>
      <c r="C89" s="95">
        <v>3849706</v>
      </c>
      <c r="D89" s="95">
        <v>6210944</v>
      </c>
      <c r="E89" s="95">
        <v>7591859</v>
      </c>
      <c r="F89" s="95">
        <v>1585728</v>
      </c>
      <c r="G89" s="95">
        <v>1951958</v>
      </c>
      <c r="H89" s="95">
        <v>81199</v>
      </c>
      <c r="I89" s="95">
        <v>512522</v>
      </c>
      <c r="J89" s="95">
        <v>321991</v>
      </c>
      <c r="K89" s="95">
        <v>6591724</v>
      </c>
      <c r="L89" s="95">
        <v>4630494</v>
      </c>
      <c r="M89" s="95">
        <v>1382644</v>
      </c>
    </row>
    <row r="90" spans="1:13" x14ac:dyDescent="0.25">
      <c r="A90" s="144" t="s">
        <v>133</v>
      </c>
      <c r="B90" s="132">
        <f>SUM(B88:B89)</f>
        <v>5292</v>
      </c>
      <c r="C90" s="132">
        <f t="shared" ref="C90:M90" si="14">SUM(C88:C89)</f>
        <v>4742498</v>
      </c>
      <c r="D90" s="132">
        <f t="shared" si="14"/>
        <v>8339027</v>
      </c>
      <c r="E90" s="132">
        <f t="shared" si="14"/>
        <v>8925709</v>
      </c>
      <c r="F90" s="132">
        <f t="shared" si="14"/>
        <v>1636518</v>
      </c>
      <c r="G90" s="132">
        <f t="shared" si="14"/>
        <v>1951958</v>
      </c>
      <c r="H90" s="132">
        <f t="shared" si="14"/>
        <v>81199</v>
      </c>
      <c r="I90" s="132">
        <f t="shared" si="14"/>
        <v>512522</v>
      </c>
      <c r="J90" s="132">
        <f t="shared" si="14"/>
        <v>321991</v>
      </c>
      <c r="K90" s="132">
        <f t="shared" si="14"/>
        <v>6595293</v>
      </c>
      <c r="L90" s="132">
        <f t="shared" si="14"/>
        <v>4708605</v>
      </c>
      <c r="M90" s="132">
        <f t="shared" si="14"/>
        <v>1382644</v>
      </c>
    </row>
    <row r="91" spans="1:13" x14ac:dyDescent="0.25">
      <c r="A91" s="144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</row>
    <row r="92" spans="1:13" x14ac:dyDescent="0.25">
      <c r="A92" s="141">
        <v>2012</v>
      </c>
      <c r="B92" s="139">
        <v>1</v>
      </c>
      <c r="C92" s="139">
        <v>2</v>
      </c>
      <c r="D92" s="139">
        <v>3</v>
      </c>
      <c r="E92" s="139">
        <v>4</v>
      </c>
      <c r="F92" s="139">
        <v>5</v>
      </c>
      <c r="G92" s="139">
        <v>6</v>
      </c>
      <c r="H92" s="139">
        <v>7</v>
      </c>
      <c r="I92" s="139">
        <v>8</v>
      </c>
      <c r="J92" s="139">
        <v>9</v>
      </c>
      <c r="K92" s="139">
        <v>10</v>
      </c>
      <c r="L92" s="139">
        <v>11</v>
      </c>
      <c r="M92" s="139">
        <v>12</v>
      </c>
    </row>
    <row r="93" spans="1:13" x14ac:dyDescent="0.25">
      <c r="A93" s="141" t="s">
        <v>131</v>
      </c>
      <c r="B93" s="95">
        <v>4865</v>
      </c>
      <c r="D93" s="95">
        <v>116212</v>
      </c>
      <c r="E93" s="95">
        <v>355072</v>
      </c>
      <c r="F93" s="95">
        <v>193632</v>
      </c>
      <c r="L93" s="95">
        <v>4</v>
      </c>
    </row>
    <row r="94" spans="1:13" x14ac:dyDescent="0.25">
      <c r="A94" s="141" t="s">
        <v>132</v>
      </c>
      <c r="B94" s="95">
        <v>675</v>
      </c>
      <c r="C94" s="95">
        <v>228021</v>
      </c>
      <c r="D94" s="95">
        <v>10553</v>
      </c>
      <c r="E94" s="95">
        <v>9404139</v>
      </c>
      <c r="F94" s="95">
        <v>2172383</v>
      </c>
      <c r="G94" s="95">
        <v>769605</v>
      </c>
      <c r="H94" s="95">
        <v>64619</v>
      </c>
      <c r="I94" s="95">
        <v>7906</v>
      </c>
      <c r="J94" s="95">
        <v>1148553</v>
      </c>
      <c r="K94" s="95">
        <v>1599714</v>
      </c>
      <c r="L94" s="95">
        <v>47694</v>
      </c>
      <c r="M94" s="95">
        <v>609</v>
      </c>
    </row>
    <row r="95" spans="1:13" x14ac:dyDescent="0.25">
      <c r="A95" s="141" t="s">
        <v>134</v>
      </c>
      <c r="C95" s="95">
        <v>42355</v>
      </c>
      <c r="D95" s="95">
        <v>25956</v>
      </c>
      <c r="E95" s="95">
        <v>901982</v>
      </c>
      <c r="F95" s="95">
        <v>316820</v>
      </c>
      <c r="G95" s="95">
        <v>142414</v>
      </c>
      <c r="H95" s="95">
        <v>2178</v>
      </c>
    </row>
    <row r="96" spans="1:13" x14ac:dyDescent="0.25">
      <c r="A96" s="144" t="s">
        <v>133</v>
      </c>
      <c r="B96" s="132">
        <f>SUM(B93:B95)</f>
        <v>5540</v>
      </c>
      <c r="C96" s="132">
        <f t="shared" ref="C96:M96" si="15">SUM(C93:C95)</f>
        <v>270376</v>
      </c>
      <c r="D96" s="132">
        <f t="shared" si="15"/>
        <v>152721</v>
      </c>
      <c r="E96" s="132">
        <f t="shared" si="15"/>
        <v>10661193</v>
      </c>
      <c r="F96" s="132">
        <f t="shared" si="15"/>
        <v>2682835</v>
      </c>
      <c r="G96" s="132">
        <f t="shared" si="15"/>
        <v>912019</v>
      </c>
      <c r="H96" s="132">
        <f t="shared" si="15"/>
        <v>66797</v>
      </c>
      <c r="I96" s="132">
        <f t="shared" si="15"/>
        <v>7906</v>
      </c>
      <c r="J96" s="132">
        <f t="shared" si="15"/>
        <v>1148553</v>
      </c>
      <c r="K96" s="132">
        <f t="shared" si="15"/>
        <v>1599714</v>
      </c>
      <c r="L96" s="132">
        <f t="shared" si="15"/>
        <v>47698</v>
      </c>
      <c r="M96" s="132">
        <f t="shared" si="15"/>
        <v>609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W212"/>
  <sheetViews>
    <sheetView topLeftCell="A179" workbookViewId="0">
      <selection activeCell="P211" sqref="P211"/>
    </sheetView>
  </sheetViews>
  <sheetFormatPr baseColWidth="10" defaultColWidth="10.625" defaultRowHeight="14" x14ac:dyDescent="0.15"/>
  <cols>
    <col min="1" max="13" width="7.125" style="1" customWidth="1"/>
    <col min="14" max="14" width="8.25" style="1" customWidth="1"/>
    <col min="15" max="15" width="9.25" style="1" customWidth="1"/>
    <col min="16" max="16" width="8.25" style="1" customWidth="1"/>
    <col min="17" max="17" width="7.875" style="1" customWidth="1"/>
    <col min="18" max="23" width="7.125" style="1" customWidth="1"/>
    <col min="24" max="27" width="7" style="1" customWidth="1"/>
    <col min="28" max="16384" width="10.625" style="1"/>
  </cols>
  <sheetData>
    <row r="1" spans="1:22" x14ac:dyDescent="0.15">
      <c r="G1" s="52" t="s">
        <v>0</v>
      </c>
    </row>
    <row r="2" spans="1:22" x14ac:dyDescent="0.15">
      <c r="A2" s="1" t="s">
        <v>1</v>
      </c>
    </row>
    <row r="3" spans="1:22" x14ac:dyDescent="0.15">
      <c r="A3" s="1" t="s">
        <v>2</v>
      </c>
      <c r="E3" s="20" t="s">
        <v>89</v>
      </c>
      <c r="M3" s="1" t="s">
        <v>3</v>
      </c>
    </row>
    <row r="4" spans="1:22" x14ac:dyDescent="0.15">
      <c r="A4" s="2"/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</row>
    <row r="5" spans="1:22" x14ac:dyDescent="0.15">
      <c r="A5" s="2" t="s">
        <v>17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>
        <f t="shared" ref="N5:N17" si="0">SUM(B5:M5)</f>
        <v>0</v>
      </c>
    </row>
    <row r="6" spans="1:22" x14ac:dyDescent="0.15">
      <c r="A6" s="2" t="s">
        <v>18</v>
      </c>
      <c r="B6" s="2">
        <v>36.314999999999998</v>
      </c>
      <c r="C6" s="2">
        <v>24.779</v>
      </c>
      <c r="D6" s="2">
        <v>0</v>
      </c>
      <c r="E6" s="2">
        <v>0</v>
      </c>
      <c r="F6" s="2">
        <v>13.12</v>
      </c>
      <c r="G6" s="2">
        <v>39.35</v>
      </c>
      <c r="H6" s="2">
        <v>434.91</v>
      </c>
      <c r="I6" s="2">
        <v>210.98</v>
      </c>
      <c r="J6" s="2">
        <v>106.13</v>
      </c>
      <c r="K6" s="2">
        <v>113.19</v>
      </c>
      <c r="L6" s="2">
        <v>50.96</v>
      </c>
      <c r="M6" s="2">
        <v>2.2599999999999998</v>
      </c>
      <c r="N6" s="2">
        <f t="shared" si="0"/>
        <v>1031.9940000000001</v>
      </c>
    </row>
    <row r="7" spans="1:22" x14ac:dyDescent="0.15">
      <c r="A7" s="2" t="s">
        <v>19</v>
      </c>
      <c r="B7" s="2">
        <v>33.658000000000001</v>
      </c>
      <c r="C7" s="2">
        <v>0</v>
      </c>
      <c r="D7" s="2">
        <v>1.2849999999999999</v>
      </c>
      <c r="E7" s="2">
        <v>0</v>
      </c>
      <c r="F7" s="2">
        <v>29.59</v>
      </c>
      <c r="G7" s="2">
        <v>386.38</v>
      </c>
      <c r="H7" s="2">
        <v>400.29</v>
      </c>
      <c r="I7" s="2">
        <v>100.22</v>
      </c>
      <c r="J7" s="2">
        <v>229.22</v>
      </c>
      <c r="K7" s="2">
        <v>294.02</v>
      </c>
      <c r="L7" s="2">
        <v>128.38</v>
      </c>
      <c r="M7" s="2">
        <v>0</v>
      </c>
      <c r="N7" s="2">
        <f t="shared" si="0"/>
        <v>1603.0430000000001</v>
      </c>
    </row>
    <row r="8" spans="1:22" x14ac:dyDescent="0.15">
      <c r="A8" s="2" t="s">
        <v>20</v>
      </c>
      <c r="B8" s="2">
        <v>26.27</v>
      </c>
      <c r="C8" s="2">
        <v>7.7969999999999997</v>
      </c>
      <c r="D8" s="2">
        <v>0</v>
      </c>
      <c r="E8" s="2">
        <v>0</v>
      </c>
      <c r="F8" s="2">
        <v>14.49</v>
      </c>
      <c r="G8" s="2">
        <v>205.34</v>
      </c>
      <c r="H8" s="2">
        <v>137.91999999999999</v>
      </c>
      <c r="I8" s="2">
        <v>38.96</v>
      </c>
      <c r="J8" s="2">
        <v>67.290000000000006</v>
      </c>
      <c r="K8" s="2">
        <v>67.98</v>
      </c>
      <c r="L8" s="2">
        <v>0</v>
      </c>
      <c r="M8" s="2">
        <v>0</v>
      </c>
      <c r="N8" s="2">
        <f t="shared" si="0"/>
        <v>566.04700000000003</v>
      </c>
    </row>
    <row r="9" spans="1:22" x14ac:dyDescent="0.15">
      <c r="A9" s="2" t="s">
        <v>21</v>
      </c>
      <c r="B9" s="2">
        <v>0</v>
      </c>
      <c r="C9" s="2">
        <v>0</v>
      </c>
      <c r="D9" s="2">
        <v>1489</v>
      </c>
      <c r="E9" s="2">
        <v>0</v>
      </c>
      <c r="F9" s="2">
        <v>1.73</v>
      </c>
      <c r="G9" s="2">
        <v>0</v>
      </c>
      <c r="H9" s="2">
        <v>0.43</v>
      </c>
      <c r="I9" s="2">
        <v>18.91</v>
      </c>
      <c r="J9" s="2">
        <v>191.38</v>
      </c>
      <c r="K9" s="2">
        <v>0</v>
      </c>
      <c r="L9" s="2">
        <v>0</v>
      </c>
      <c r="M9" s="2">
        <v>0</v>
      </c>
      <c r="N9" s="2">
        <f t="shared" si="0"/>
        <v>1701.4500000000003</v>
      </c>
    </row>
    <row r="10" spans="1:22" x14ac:dyDescent="0.15">
      <c r="A10" s="2" t="s">
        <v>22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33.1</v>
      </c>
      <c r="J10" s="2"/>
      <c r="K10" s="2">
        <v>51.7</v>
      </c>
      <c r="L10" s="2">
        <v>0</v>
      </c>
      <c r="M10" s="2">
        <v>0</v>
      </c>
      <c r="N10" s="2">
        <f t="shared" si="0"/>
        <v>84.800000000000011</v>
      </c>
      <c r="O10" s="1" t="s">
        <v>81</v>
      </c>
      <c r="P10" s="1" t="s">
        <v>82</v>
      </c>
      <c r="Q10" s="1" t="s">
        <v>83</v>
      </c>
      <c r="R10" s="1" t="s">
        <v>84</v>
      </c>
      <c r="S10" s="1" t="s">
        <v>85</v>
      </c>
    </row>
    <row r="11" spans="1:22" x14ac:dyDescent="0.15">
      <c r="A11" s="2" t="s">
        <v>23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7</v>
      </c>
      <c r="K11" s="2">
        <v>7.4</v>
      </c>
      <c r="L11" s="2">
        <v>0</v>
      </c>
      <c r="M11" s="2">
        <v>0</v>
      </c>
      <c r="N11" s="2">
        <f t="shared" si="0"/>
        <v>14.4</v>
      </c>
      <c r="O11" s="3">
        <f t="shared" ref="O11:O16" si="1">E11+F11+G11+H11+I11</f>
        <v>0</v>
      </c>
      <c r="P11" s="3">
        <f>E11+F11+G11+H11+I11+J11</f>
        <v>7</v>
      </c>
      <c r="Q11" s="3">
        <f>L11+M11+B12</f>
        <v>0</v>
      </c>
      <c r="R11" s="1">
        <f>K11+L11+M11+B12</f>
        <v>7.4</v>
      </c>
      <c r="S11" s="1">
        <f t="shared" ref="S11:S19" si="2">L11+M11+B12+C12+D12</f>
        <v>0</v>
      </c>
    </row>
    <row r="12" spans="1:22" x14ac:dyDescent="0.15">
      <c r="A12" s="2" t="s">
        <v>32</v>
      </c>
      <c r="B12" s="2">
        <v>0</v>
      </c>
      <c r="C12" s="2">
        <v>0</v>
      </c>
      <c r="D12" s="2">
        <v>0</v>
      </c>
      <c r="E12" s="2">
        <v>0</v>
      </c>
      <c r="F12" s="2">
        <v>2.2000000000000002</v>
      </c>
      <c r="G12" s="2">
        <v>5.6</v>
      </c>
      <c r="H12" s="2">
        <v>55.36</v>
      </c>
      <c r="I12" s="2">
        <v>6.03</v>
      </c>
      <c r="J12" s="2">
        <v>15.63</v>
      </c>
      <c r="K12" s="2">
        <v>44.72</v>
      </c>
      <c r="L12" s="2">
        <v>0</v>
      </c>
      <c r="M12" s="2">
        <v>0</v>
      </c>
      <c r="N12" s="2">
        <f t="shared" si="0"/>
        <v>129.54</v>
      </c>
      <c r="O12" s="3">
        <f t="shared" si="1"/>
        <v>69.19</v>
      </c>
      <c r="P12" s="3">
        <f t="shared" ref="P12:P19" si="3">E12+F12+G12+H12+I12+J12</f>
        <v>84.82</v>
      </c>
      <c r="Q12" s="3">
        <f t="shared" ref="Q12:Q18" si="4">L12+M12+B13</f>
        <v>0</v>
      </c>
      <c r="R12" s="1">
        <f t="shared" ref="R12:R18" si="5">K12+L12+M12+B13</f>
        <v>44.72</v>
      </c>
      <c r="S12" s="1">
        <f t="shared" si="2"/>
        <v>0</v>
      </c>
    </row>
    <row r="13" spans="1:22" x14ac:dyDescent="0.15">
      <c r="A13" s="2" t="s">
        <v>33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0.3</v>
      </c>
      <c r="H13" s="2">
        <v>0.9</v>
      </c>
      <c r="I13" s="2">
        <v>0.2</v>
      </c>
      <c r="J13" s="2">
        <v>0</v>
      </c>
      <c r="K13" s="2">
        <v>0</v>
      </c>
      <c r="L13" s="2">
        <v>0</v>
      </c>
      <c r="M13" s="2">
        <v>0</v>
      </c>
      <c r="N13" s="2">
        <f t="shared" si="0"/>
        <v>1.4</v>
      </c>
      <c r="O13" s="3">
        <f t="shared" si="1"/>
        <v>1.4</v>
      </c>
      <c r="P13" s="3">
        <f t="shared" si="3"/>
        <v>1.4</v>
      </c>
      <c r="Q13" s="3">
        <f t="shared" si="4"/>
        <v>0</v>
      </c>
      <c r="R13" s="1">
        <f t="shared" si="5"/>
        <v>0</v>
      </c>
      <c r="S13" s="1">
        <f t="shared" si="2"/>
        <v>0</v>
      </c>
    </row>
    <row r="14" spans="1:22" x14ac:dyDescent="0.15">
      <c r="A14" s="2" t="s">
        <v>34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1.4</v>
      </c>
      <c r="I14" s="2">
        <v>0.1</v>
      </c>
      <c r="J14" s="2">
        <v>6.7</v>
      </c>
      <c r="K14" s="2">
        <v>3.4</v>
      </c>
      <c r="L14" s="2">
        <v>0.4</v>
      </c>
      <c r="M14" s="2">
        <v>0</v>
      </c>
      <c r="N14" s="2">
        <f t="shared" si="0"/>
        <v>12</v>
      </c>
      <c r="O14" s="3">
        <f t="shared" si="1"/>
        <v>1.5</v>
      </c>
      <c r="P14" s="3">
        <f t="shared" si="3"/>
        <v>8.1999999999999993</v>
      </c>
      <c r="Q14" s="3">
        <f t="shared" si="4"/>
        <v>0.4</v>
      </c>
      <c r="R14" s="1">
        <f t="shared" si="5"/>
        <v>3.8</v>
      </c>
      <c r="S14" s="1">
        <f t="shared" si="2"/>
        <v>0.4</v>
      </c>
    </row>
    <row r="15" spans="1:22" ht="15" x14ac:dyDescent="0.15">
      <c r="A15" s="2" t="s">
        <v>35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0.28000000000000003</v>
      </c>
      <c r="H15" s="2">
        <v>0</v>
      </c>
      <c r="I15" s="2">
        <v>2.48</v>
      </c>
      <c r="J15" s="2">
        <v>17.059999999999999</v>
      </c>
      <c r="K15" s="2">
        <v>8.36</v>
      </c>
      <c r="L15" s="2">
        <v>0</v>
      </c>
      <c r="M15" s="2">
        <v>0</v>
      </c>
      <c r="N15" s="2">
        <f t="shared" si="0"/>
        <v>28.18</v>
      </c>
      <c r="O15" s="3">
        <f t="shared" si="1"/>
        <v>2.76</v>
      </c>
      <c r="P15" s="3">
        <f t="shared" si="3"/>
        <v>19.82</v>
      </c>
      <c r="Q15" s="3">
        <f t="shared" si="4"/>
        <v>0</v>
      </c>
      <c r="R15" s="1">
        <f t="shared" si="5"/>
        <v>8.36</v>
      </c>
      <c r="S15" s="1">
        <f t="shared" si="2"/>
        <v>0</v>
      </c>
      <c r="U15" s="91"/>
    </row>
    <row r="16" spans="1:22" ht="15" x14ac:dyDescent="0.15">
      <c r="A16" s="2" t="s">
        <v>37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0.42</v>
      </c>
      <c r="J16" s="2">
        <v>5.94</v>
      </c>
      <c r="K16" s="2">
        <v>16.84</v>
      </c>
      <c r="L16" s="2">
        <v>0.74</v>
      </c>
      <c r="M16" s="2">
        <v>0</v>
      </c>
      <c r="N16" s="2">
        <f t="shared" si="0"/>
        <v>23.939999999999998</v>
      </c>
      <c r="O16" s="3">
        <f t="shared" si="1"/>
        <v>0.42</v>
      </c>
      <c r="P16" s="3">
        <f t="shared" si="3"/>
        <v>6.36</v>
      </c>
      <c r="Q16" s="3">
        <f t="shared" si="4"/>
        <v>0.74</v>
      </c>
      <c r="R16" s="1">
        <f t="shared" si="5"/>
        <v>17.579999999999998</v>
      </c>
      <c r="S16" s="1">
        <f t="shared" si="2"/>
        <v>0.76</v>
      </c>
      <c r="U16" s="91"/>
      <c r="V16" s="110"/>
    </row>
    <row r="17" spans="1:22" ht="15" x14ac:dyDescent="0.15">
      <c r="A17" s="2" t="s">
        <v>39</v>
      </c>
      <c r="B17" s="2">
        <v>0</v>
      </c>
      <c r="C17" s="2">
        <v>0</v>
      </c>
      <c r="D17" s="2">
        <v>0.02</v>
      </c>
      <c r="E17" s="2">
        <v>0.10199999999999999</v>
      </c>
      <c r="F17" s="2">
        <v>14.763</v>
      </c>
      <c r="G17" s="2">
        <v>22.68</v>
      </c>
      <c r="H17" s="2">
        <v>1.66</v>
      </c>
      <c r="I17" s="2">
        <v>2.14</v>
      </c>
      <c r="J17" s="2">
        <v>15.64</v>
      </c>
      <c r="K17" s="2">
        <v>33.700000000000003</v>
      </c>
      <c r="L17" s="2">
        <v>0</v>
      </c>
      <c r="M17" s="2">
        <v>0</v>
      </c>
      <c r="N17" s="2">
        <f t="shared" si="0"/>
        <v>90.704999999999998</v>
      </c>
      <c r="O17" s="3">
        <f t="shared" ref="O17:O23" si="6">E17+F17+G17+H17+I17</f>
        <v>41.344999999999999</v>
      </c>
      <c r="P17" s="3">
        <f t="shared" si="3"/>
        <v>56.984999999999999</v>
      </c>
      <c r="Q17" s="3">
        <f t="shared" si="4"/>
        <v>0</v>
      </c>
      <c r="R17" s="1">
        <f t="shared" si="5"/>
        <v>33.700000000000003</v>
      </c>
      <c r="S17" s="1">
        <f t="shared" si="2"/>
        <v>0</v>
      </c>
      <c r="U17" s="91"/>
      <c r="V17" s="110"/>
    </row>
    <row r="18" spans="1:22" ht="15" x14ac:dyDescent="0.15">
      <c r="A18" s="2" t="s">
        <v>40</v>
      </c>
      <c r="B18" s="2">
        <v>0</v>
      </c>
      <c r="C18" s="2">
        <v>0</v>
      </c>
      <c r="D18" s="2">
        <v>0</v>
      </c>
      <c r="E18" s="2">
        <v>3.5000000000000003E-2</v>
      </c>
      <c r="F18" s="2">
        <v>1.1599999999999999</v>
      </c>
      <c r="G18" s="2">
        <v>3.4000000000000002E-2</v>
      </c>
      <c r="H18" s="2">
        <v>0.1</v>
      </c>
      <c r="I18" s="2">
        <v>9.6</v>
      </c>
      <c r="J18" s="2">
        <v>69.680000000000007</v>
      </c>
      <c r="K18" s="2">
        <v>35.58</v>
      </c>
      <c r="L18" s="2">
        <v>0</v>
      </c>
      <c r="M18" s="2">
        <v>0</v>
      </c>
      <c r="N18" s="2">
        <f t="shared" ref="N18:N31" si="7">SUM(B18:M18)</f>
        <v>116.18900000000001</v>
      </c>
      <c r="O18" s="3">
        <f t="shared" si="6"/>
        <v>10.929</v>
      </c>
      <c r="P18" s="3">
        <f t="shared" si="3"/>
        <v>80.609000000000009</v>
      </c>
      <c r="Q18" s="3">
        <f t="shared" si="4"/>
        <v>0</v>
      </c>
      <c r="R18" s="1">
        <f t="shared" si="5"/>
        <v>35.58</v>
      </c>
      <c r="S18" s="1">
        <f t="shared" si="2"/>
        <v>0</v>
      </c>
      <c r="U18" s="91"/>
      <c r="V18" s="110"/>
    </row>
    <row r="19" spans="1:22" ht="15" x14ac:dyDescent="0.15">
      <c r="A19" s="2" t="s">
        <v>41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2.1280000000000001</v>
      </c>
      <c r="H19" s="2">
        <v>18.808</v>
      </c>
      <c r="I19" s="2">
        <v>62.209000000000003</v>
      </c>
      <c r="J19" s="2">
        <v>19.86</v>
      </c>
      <c r="K19" s="2">
        <v>62.86</v>
      </c>
      <c r="L19" s="2">
        <v>0</v>
      </c>
      <c r="M19" s="2">
        <v>0</v>
      </c>
      <c r="N19" s="2">
        <f t="shared" si="7"/>
        <v>165.86500000000001</v>
      </c>
      <c r="O19" s="3">
        <f t="shared" si="6"/>
        <v>83.14500000000001</v>
      </c>
      <c r="P19" s="1">
        <f t="shared" si="3"/>
        <v>103.00500000000001</v>
      </c>
      <c r="Q19" s="3">
        <f t="shared" ref="Q19:Q24" si="8">L19+M19+B20</f>
        <v>0</v>
      </c>
      <c r="R19" s="1">
        <f t="shared" ref="R19:R24" si="9">K19+L19+M19+B20</f>
        <v>62.86</v>
      </c>
      <c r="S19" s="1">
        <f t="shared" si="2"/>
        <v>0.27500000000000002</v>
      </c>
      <c r="U19" s="91"/>
      <c r="V19" s="110"/>
    </row>
    <row r="20" spans="1:22" ht="15" x14ac:dyDescent="0.15">
      <c r="A20" s="2" t="s">
        <v>45</v>
      </c>
      <c r="B20" s="2">
        <v>0</v>
      </c>
      <c r="C20" s="2">
        <v>0</v>
      </c>
      <c r="D20" s="2">
        <v>0.27500000000000002</v>
      </c>
      <c r="E20" s="2">
        <v>4.4999999999999998E-2</v>
      </c>
      <c r="F20" s="2">
        <v>0</v>
      </c>
      <c r="G20" s="2">
        <v>16.707999999999998</v>
      </c>
      <c r="H20" s="2">
        <v>0.874</v>
      </c>
      <c r="I20" s="2">
        <v>6.5000000000000002E-2</v>
      </c>
      <c r="J20" s="2">
        <v>23.34</v>
      </c>
      <c r="K20" s="6">
        <v>11.3</v>
      </c>
      <c r="L20" s="6">
        <v>0</v>
      </c>
      <c r="M20" s="6">
        <v>0</v>
      </c>
      <c r="N20" s="2">
        <f t="shared" si="7"/>
        <v>52.606999999999999</v>
      </c>
      <c r="O20" s="3">
        <f t="shared" si="6"/>
        <v>17.692</v>
      </c>
      <c r="P20" s="1">
        <f t="shared" ref="P20:P25" si="10">E20+F20+G20+H20+I20+J20</f>
        <v>41.031999999999996</v>
      </c>
      <c r="Q20" s="3">
        <f t="shared" si="8"/>
        <v>0</v>
      </c>
      <c r="R20" s="1">
        <f t="shared" si="9"/>
        <v>11.3</v>
      </c>
      <c r="S20" s="1">
        <f t="shared" ref="S20:S25" si="11">L20+M20+B21+C21+D21</f>
        <v>1E-3</v>
      </c>
      <c r="U20" s="91"/>
      <c r="V20" s="110"/>
    </row>
    <row r="21" spans="1:22" ht="15" x14ac:dyDescent="0.15">
      <c r="A21" s="2" t="s">
        <v>46</v>
      </c>
      <c r="B21" s="2">
        <v>0</v>
      </c>
      <c r="C21" s="2">
        <v>0</v>
      </c>
      <c r="D21" s="2">
        <v>1E-3</v>
      </c>
      <c r="E21" s="2">
        <v>1.38</v>
      </c>
      <c r="F21" s="2">
        <v>15.295</v>
      </c>
      <c r="G21" s="2">
        <v>19.062000000000001</v>
      </c>
      <c r="H21" s="2">
        <v>0</v>
      </c>
      <c r="I21" s="2">
        <v>0.02</v>
      </c>
      <c r="J21" s="2">
        <v>112.61499999999999</v>
      </c>
      <c r="K21" s="2">
        <v>48.88</v>
      </c>
      <c r="L21" s="2">
        <v>0</v>
      </c>
      <c r="M21" s="2">
        <v>0</v>
      </c>
      <c r="N21" s="2">
        <f t="shared" si="7"/>
        <v>197.25299999999999</v>
      </c>
      <c r="O21" s="3">
        <f t="shared" si="6"/>
        <v>35.757000000000005</v>
      </c>
      <c r="P21" s="1">
        <f t="shared" si="10"/>
        <v>148.37200000000001</v>
      </c>
      <c r="Q21" s="3">
        <f t="shared" si="8"/>
        <v>0</v>
      </c>
      <c r="R21" s="1">
        <f t="shared" si="9"/>
        <v>48.88</v>
      </c>
      <c r="S21" s="1">
        <f t="shared" si="11"/>
        <v>1.4999999999999999E-2</v>
      </c>
      <c r="U21" s="91"/>
      <c r="V21" s="110"/>
    </row>
    <row r="22" spans="1:22" ht="15" x14ac:dyDescent="0.15">
      <c r="A22" s="2" t="s">
        <v>57</v>
      </c>
      <c r="B22" s="2">
        <v>0</v>
      </c>
      <c r="C22" s="2">
        <v>0</v>
      </c>
      <c r="D22" s="2">
        <v>1.4999999999999999E-2</v>
      </c>
      <c r="E22" s="2">
        <v>0.03</v>
      </c>
      <c r="F22" s="2">
        <v>32.79</v>
      </c>
      <c r="G22" s="2">
        <v>100.58</v>
      </c>
      <c r="H22" s="2">
        <v>0.02</v>
      </c>
      <c r="I22" s="2">
        <v>8.7200000000000006</v>
      </c>
      <c r="J22" s="2">
        <v>28.28</v>
      </c>
      <c r="K22" s="2">
        <v>117.83</v>
      </c>
      <c r="L22" s="2">
        <v>0</v>
      </c>
      <c r="M22" s="2">
        <v>0</v>
      </c>
      <c r="N22" s="2">
        <f t="shared" si="7"/>
        <v>288.26499999999999</v>
      </c>
      <c r="O22" s="3">
        <f t="shared" si="6"/>
        <v>142.14000000000001</v>
      </c>
      <c r="P22" s="1">
        <f t="shared" si="10"/>
        <v>170.42000000000002</v>
      </c>
      <c r="Q22" s="3">
        <f t="shared" si="8"/>
        <v>0</v>
      </c>
      <c r="R22" s="1">
        <f t="shared" si="9"/>
        <v>117.83</v>
      </c>
      <c r="S22" s="1">
        <f t="shared" si="11"/>
        <v>0.40500000000000003</v>
      </c>
      <c r="U22" s="91"/>
      <c r="V22" s="110"/>
    </row>
    <row r="23" spans="1:22" ht="15" x14ac:dyDescent="0.15">
      <c r="A23" s="2" t="s">
        <v>92</v>
      </c>
      <c r="B23" s="2">
        <v>0</v>
      </c>
      <c r="C23" s="2">
        <v>0</v>
      </c>
      <c r="D23" s="2">
        <v>0.40500000000000003</v>
      </c>
      <c r="E23" s="2">
        <v>0.157</v>
      </c>
      <c r="F23" s="2">
        <v>1.4999999999999999E-2</v>
      </c>
      <c r="G23" s="2">
        <v>0</v>
      </c>
      <c r="H23" s="2">
        <v>1.89</v>
      </c>
      <c r="I23" s="2">
        <v>0.30499999999999999</v>
      </c>
      <c r="J23" s="2">
        <v>16.12</v>
      </c>
      <c r="K23" s="2">
        <v>4.96</v>
      </c>
      <c r="L23" s="2">
        <v>0</v>
      </c>
      <c r="M23" s="2">
        <v>0</v>
      </c>
      <c r="N23" s="2">
        <f t="shared" si="7"/>
        <v>23.852000000000004</v>
      </c>
      <c r="O23" s="3">
        <f t="shared" si="6"/>
        <v>2.367</v>
      </c>
      <c r="P23" s="1">
        <f t="shared" si="10"/>
        <v>18.487000000000002</v>
      </c>
      <c r="Q23" s="3">
        <f t="shared" si="8"/>
        <v>0</v>
      </c>
      <c r="R23" s="1">
        <f t="shared" si="9"/>
        <v>4.96</v>
      </c>
      <c r="S23" s="1">
        <f t="shared" si="11"/>
        <v>0.86</v>
      </c>
      <c r="V23" s="110"/>
    </row>
    <row r="24" spans="1:22" ht="15" x14ac:dyDescent="0.15">
      <c r="A24" s="2" t="s">
        <v>103</v>
      </c>
      <c r="B24" s="2">
        <v>0</v>
      </c>
      <c r="C24" s="2">
        <v>0</v>
      </c>
      <c r="D24" s="2">
        <v>0.86</v>
      </c>
      <c r="E24" s="2">
        <v>1.5289999999999999</v>
      </c>
      <c r="F24" s="2">
        <v>0</v>
      </c>
      <c r="G24" s="2">
        <v>1.4750000000000001</v>
      </c>
      <c r="H24" s="2">
        <v>3.2629999999999999</v>
      </c>
      <c r="I24" s="2">
        <v>0.64400000000000002</v>
      </c>
      <c r="J24" s="2">
        <v>9.34</v>
      </c>
      <c r="K24" s="2">
        <v>0.16</v>
      </c>
      <c r="L24" s="2">
        <v>0</v>
      </c>
      <c r="M24" s="2">
        <v>0.03</v>
      </c>
      <c r="N24" s="2">
        <f t="shared" si="7"/>
        <v>17.301000000000002</v>
      </c>
      <c r="O24" s="3">
        <f t="shared" ref="O24:O30" si="12">E24+F24+G24+H24+I24</f>
        <v>6.9109999999999996</v>
      </c>
      <c r="P24" s="1">
        <f t="shared" si="10"/>
        <v>16.250999999999998</v>
      </c>
      <c r="Q24" s="3">
        <f t="shared" si="8"/>
        <v>0.03</v>
      </c>
      <c r="R24" s="1">
        <f t="shared" si="9"/>
        <v>0.19</v>
      </c>
      <c r="S24" s="1">
        <f t="shared" si="11"/>
        <v>0.03</v>
      </c>
      <c r="V24" s="110"/>
    </row>
    <row r="25" spans="1:22" ht="15" x14ac:dyDescent="0.15">
      <c r="A25" s="2" t="s">
        <v>121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1.8280000000000001</v>
      </c>
      <c r="I25" s="2">
        <v>0.01</v>
      </c>
      <c r="J25" s="2">
        <v>0.66</v>
      </c>
      <c r="K25" s="2">
        <v>0.12</v>
      </c>
      <c r="L25" s="2">
        <v>0</v>
      </c>
      <c r="M25" s="2">
        <v>0</v>
      </c>
      <c r="N25" s="2">
        <f t="shared" si="7"/>
        <v>2.6180000000000003</v>
      </c>
      <c r="O25" s="3">
        <f t="shared" si="12"/>
        <v>1.8380000000000001</v>
      </c>
      <c r="P25" s="1">
        <f t="shared" si="10"/>
        <v>2.4980000000000002</v>
      </c>
      <c r="Q25" s="3">
        <f t="shared" ref="Q25:Q30" si="13">L25+M25+B26</f>
        <v>0</v>
      </c>
      <c r="R25" s="1">
        <f t="shared" ref="R25:R30" si="14">K25+L25+M25+B26</f>
        <v>0.12</v>
      </c>
      <c r="S25" s="1">
        <f t="shared" si="11"/>
        <v>0</v>
      </c>
      <c r="V25" s="110"/>
    </row>
    <row r="26" spans="1:22" ht="15" x14ac:dyDescent="0.15">
      <c r="A26" s="2" t="s">
        <v>129</v>
      </c>
      <c r="B26" s="2">
        <v>0</v>
      </c>
      <c r="C26" s="2">
        <v>0</v>
      </c>
      <c r="D26" s="2">
        <v>0</v>
      </c>
      <c r="E26" s="2">
        <v>0</v>
      </c>
      <c r="F26" s="2">
        <v>5.66</v>
      </c>
      <c r="G26" s="2">
        <f>0.12+1.395</f>
        <v>1.5150000000000001</v>
      </c>
      <c r="H26" s="2">
        <f>0.04+1.395</f>
        <v>1.4350000000000001</v>
      </c>
      <c r="I26" s="2">
        <v>1.4999999999999999E-2</v>
      </c>
      <c r="J26" s="2">
        <v>7.56</v>
      </c>
      <c r="K26" s="2">
        <v>17.18</v>
      </c>
      <c r="L26" s="2">
        <v>3.38</v>
      </c>
      <c r="M26" s="2">
        <v>0</v>
      </c>
      <c r="N26" s="2">
        <f t="shared" si="7"/>
        <v>36.745000000000005</v>
      </c>
      <c r="O26" s="3">
        <f t="shared" si="12"/>
        <v>8.6250000000000018</v>
      </c>
      <c r="P26" s="1">
        <f>E26+F26+G26+H26+I26+J26</f>
        <v>16.185000000000002</v>
      </c>
      <c r="Q26" s="3">
        <f t="shared" si="13"/>
        <v>3.38</v>
      </c>
      <c r="R26" s="1">
        <f t="shared" si="14"/>
        <v>20.56</v>
      </c>
      <c r="S26" s="1">
        <f>L26+M26+B27+C27+D27</f>
        <v>3.38</v>
      </c>
      <c r="V26" s="113"/>
    </row>
    <row r="27" spans="1:22" ht="15" x14ac:dyDescent="0.15">
      <c r="A27" s="2" t="s">
        <v>136</v>
      </c>
      <c r="B27" s="2">
        <v>0</v>
      </c>
      <c r="C27" s="2">
        <v>0</v>
      </c>
      <c r="D27" s="2">
        <v>0</v>
      </c>
      <c r="E27" s="2">
        <v>0.02</v>
      </c>
      <c r="F27" s="2">
        <v>0</v>
      </c>
      <c r="G27" s="2">
        <v>0.36</v>
      </c>
      <c r="H27" s="2">
        <v>0.98</v>
      </c>
      <c r="I27" s="2">
        <v>2.9</v>
      </c>
      <c r="J27" s="2">
        <v>6.76</v>
      </c>
      <c r="K27" s="2">
        <v>1.74</v>
      </c>
      <c r="L27" s="2">
        <v>0</v>
      </c>
      <c r="M27" s="2">
        <v>0</v>
      </c>
      <c r="N27" s="2">
        <f t="shared" si="7"/>
        <v>12.76</v>
      </c>
      <c r="O27" s="3">
        <f t="shared" si="12"/>
        <v>4.26</v>
      </c>
      <c r="P27" s="1">
        <f>E27+F27+G27+H27+I27+J27</f>
        <v>11.02</v>
      </c>
      <c r="Q27" s="3">
        <f t="shared" si="13"/>
        <v>0</v>
      </c>
      <c r="R27" s="1">
        <f t="shared" si="14"/>
        <v>1.74</v>
      </c>
      <c r="S27" s="1">
        <f>L27+M27+B28+C28+D28</f>
        <v>4.0750000000000002</v>
      </c>
      <c r="V27" s="113"/>
    </row>
    <row r="28" spans="1:22" ht="15" x14ac:dyDescent="0.15">
      <c r="A28" s="2" t="s">
        <v>140</v>
      </c>
      <c r="B28" s="2">
        <v>0</v>
      </c>
      <c r="C28" s="2">
        <v>0</v>
      </c>
      <c r="D28" s="2">
        <v>4.0750000000000002</v>
      </c>
      <c r="E28" s="2">
        <v>7.74</v>
      </c>
      <c r="F28" s="2">
        <v>8.0709999999999997</v>
      </c>
      <c r="G28" s="2">
        <v>1.0629999999999999</v>
      </c>
      <c r="H28" s="2">
        <v>8.6120000000000001</v>
      </c>
      <c r="I28" s="2">
        <v>24.757999999999999</v>
      </c>
      <c r="J28" s="2">
        <v>3.2</v>
      </c>
      <c r="K28" s="2">
        <v>3.94</v>
      </c>
      <c r="L28" s="2">
        <v>1.89</v>
      </c>
      <c r="M28" s="2">
        <v>2.992</v>
      </c>
      <c r="N28" s="2">
        <f t="shared" si="7"/>
        <v>66.341000000000008</v>
      </c>
      <c r="O28" s="3">
        <f t="shared" si="12"/>
        <v>50.244</v>
      </c>
      <c r="P28" s="1">
        <f>E28+F28+G28+H28+I28+J28</f>
        <v>53.444000000000003</v>
      </c>
      <c r="Q28" s="3">
        <f t="shared" si="13"/>
        <v>4.8819999999999997</v>
      </c>
      <c r="R28" s="1">
        <f t="shared" si="14"/>
        <v>8.8219999999999992</v>
      </c>
      <c r="S28" s="1">
        <f>L28+M28+B29+C29+D29</f>
        <v>4.8819999999999997</v>
      </c>
      <c r="V28" s="113"/>
    </row>
    <row r="29" spans="1:22" ht="15" x14ac:dyDescent="0.15">
      <c r="A29" s="2" t="s">
        <v>143</v>
      </c>
      <c r="B29" s="2">
        <v>0</v>
      </c>
      <c r="C29" s="2">
        <v>0</v>
      </c>
      <c r="D29" s="2">
        <v>0</v>
      </c>
      <c r="E29" s="2">
        <v>55.174999999999997</v>
      </c>
      <c r="F29" s="2">
        <v>133.04</v>
      </c>
      <c r="G29" s="2">
        <v>0.6</v>
      </c>
      <c r="H29" s="2">
        <v>0</v>
      </c>
      <c r="I29" s="2">
        <v>2.2599999999999998</v>
      </c>
      <c r="J29" s="2">
        <v>2.36</v>
      </c>
      <c r="K29" s="2">
        <v>2.88</v>
      </c>
      <c r="L29" s="2">
        <v>0</v>
      </c>
      <c r="M29" s="2">
        <v>0</v>
      </c>
      <c r="N29" s="2">
        <f t="shared" si="7"/>
        <v>196.31499999999997</v>
      </c>
      <c r="O29" s="3">
        <f t="shared" si="12"/>
        <v>191.07499999999996</v>
      </c>
      <c r="P29" s="1">
        <f>E29+F29+G29+H29+I29+J29</f>
        <v>193.43499999999997</v>
      </c>
      <c r="Q29" s="3">
        <f t="shared" si="13"/>
        <v>0</v>
      </c>
      <c r="R29" s="1">
        <f t="shared" si="14"/>
        <v>2.88</v>
      </c>
      <c r="S29" s="1">
        <f>L29+M29+B30+C30+D30</f>
        <v>0</v>
      </c>
      <c r="V29" s="113"/>
    </row>
    <row r="30" spans="1:22" ht="15" x14ac:dyDescent="0.15">
      <c r="A30" s="2" t="s">
        <v>149</v>
      </c>
      <c r="B30" s="2">
        <v>0</v>
      </c>
      <c r="C30" s="2">
        <v>0</v>
      </c>
      <c r="D30" s="176">
        <v>0</v>
      </c>
      <c r="E30" s="176">
        <v>0</v>
      </c>
      <c r="F30" s="176">
        <v>4.4999999999999998E-2</v>
      </c>
      <c r="G30" s="176">
        <v>0</v>
      </c>
      <c r="H30" s="176">
        <v>0</v>
      </c>
      <c r="I30" s="177">
        <v>7.78</v>
      </c>
      <c r="J30" s="151">
        <v>7.09</v>
      </c>
      <c r="K30" s="151">
        <v>4.32</v>
      </c>
      <c r="L30" s="19">
        <v>0</v>
      </c>
      <c r="M30" s="19">
        <v>0</v>
      </c>
      <c r="N30" s="2">
        <f t="shared" si="7"/>
        <v>19.234999999999999</v>
      </c>
      <c r="O30" s="3">
        <f t="shared" si="12"/>
        <v>7.8250000000000002</v>
      </c>
      <c r="P30" s="1">
        <f>E30+F30+G30+H30+I30+J30</f>
        <v>14.914999999999999</v>
      </c>
      <c r="Q30" s="154">
        <f t="shared" si="13"/>
        <v>0</v>
      </c>
      <c r="R30" s="20">
        <f t="shared" si="14"/>
        <v>4.32</v>
      </c>
      <c r="S30" s="20">
        <f>L30+M30+B31+C31+D31</f>
        <v>0</v>
      </c>
      <c r="V30" s="113"/>
    </row>
    <row r="31" spans="1:22" ht="15" x14ac:dyDescent="0.15">
      <c r="A31" s="2" t="s">
        <v>158</v>
      </c>
      <c r="B31" s="2">
        <v>0</v>
      </c>
      <c r="C31" s="2"/>
      <c r="D31" s="151"/>
      <c r="E31" s="151"/>
      <c r="F31" s="151"/>
      <c r="G31" s="151"/>
      <c r="H31" s="151"/>
      <c r="I31" s="151"/>
      <c r="J31" s="151"/>
      <c r="K31" s="151"/>
      <c r="L31" s="2"/>
      <c r="M31" s="2"/>
      <c r="N31" s="2">
        <f t="shared" si="7"/>
        <v>0</v>
      </c>
      <c r="O31" s="154"/>
      <c r="P31" s="20"/>
      <c r="Q31" s="3"/>
      <c r="V31" s="113"/>
    </row>
    <row r="32" spans="1:22" ht="15" x14ac:dyDescent="0.15">
      <c r="A32" s="5"/>
      <c r="B32" s="5"/>
      <c r="C32" s="5"/>
      <c r="D32" s="152"/>
      <c r="E32" s="152"/>
      <c r="F32" s="152"/>
      <c r="G32" s="152"/>
      <c r="H32" s="152"/>
      <c r="I32" s="153"/>
      <c r="J32" s="153"/>
      <c r="K32" s="152"/>
      <c r="L32" s="5"/>
      <c r="M32" s="5"/>
      <c r="N32" s="5"/>
      <c r="O32" s="24">
        <f>AVERAGE(O26:O30)</f>
        <v>52.405799999999985</v>
      </c>
      <c r="P32" s="24">
        <f>AVERAGE(P26:P30)</f>
        <v>57.799799999999991</v>
      </c>
      <c r="Q32" s="24">
        <f>AVERAGE(Q25:Q29)</f>
        <v>1.6524000000000001</v>
      </c>
      <c r="R32" s="24">
        <f>AVERAGE(R25:R29)</f>
        <v>6.8243999999999998</v>
      </c>
      <c r="S32" s="24">
        <f>AVERAGE(S25:S29)</f>
        <v>2.4674</v>
      </c>
      <c r="T32" s="1" t="s">
        <v>164</v>
      </c>
      <c r="V32" s="110"/>
    </row>
    <row r="33" spans="1:22" ht="15" x14ac:dyDescent="0.15">
      <c r="A33" s="1" t="s">
        <v>24</v>
      </c>
      <c r="F33" s="1" t="s">
        <v>101</v>
      </c>
      <c r="M33" s="1" t="s">
        <v>3</v>
      </c>
      <c r="V33" s="110"/>
    </row>
    <row r="34" spans="1:22" x14ac:dyDescent="0.15">
      <c r="A34" s="2"/>
      <c r="B34" s="2" t="s">
        <v>4</v>
      </c>
      <c r="C34" s="2" t="s">
        <v>5</v>
      </c>
      <c r="D34" s="2" t="s">
        <v>6</v>
      </c>
      <c r="E34" s="2" t="s">
        <v>7</v>
      </c>
      <c r="F34" s="2" t="s">
        <v>8</v>
      </c>
      <c r="G34" s="2" t="s">
        <v>9</v>
      </c>
      <c r="H34" s="2" t="s">
        <v>10</v>
      </c>
      <c r="I34" s="2" t="s">
        <v>11</v>
      </c>
      <c r="J34" s="2" t="s">
        <v>12</v>
      </c>
      <c r="K34" s="2" t="s">
        <v>13</v>
      </c>
      <c r="L34" s="2" t="s">
        <v>14</v>
      </c>
      <c r="M34" s="2" t="s">
        <v>15</v>
      </c>
      <c r="N34" s="2" t="s">
        <v>16</v>
      </c>
    </row>
    <row r="35" spans="1:22" x14ac:dyDescent="0.15">
      <c r="A35" s="2" t="s">
        <v>17</v>
      </c>
      <c r="B35" s="2">
        <v>0</v>
      </c>
      <c r="C35" s="2">
        <v>5</v>
      </c>
      <c r="D35" s="2">
        <v>0</v>
      </c>
      <c r="E35" s="2">
        <v>56.9</v>
      </c>
      <c r="F35" s="2">
        <v>108.4</v>
      </c>
      <c r="G35" s="2">
        <v>52</v>
      </c>
      <c r="H35" s="2">
        <v>44.2</v>
      </c>
      <c r="I35" s="2">
        <v>2.8</v>
      </c>
      <c r="J35" s="2">
        <v>1.2</v>
      </c>
      <c r="K35" s="2">
        <v>0.3</v>
      </c>
      <c r="L35" s="2">
        <v>1.6</v>
      </c>
      <c r="M35" s="2">
        <v>0</v>
      </c>
      <c r="N35" s="2">
        <f>SUM(B35:M35)</f>
        <v>272.40000000000003</v>
      </c>
    </row>
    <row r="36" spans="1:22" x14ac:dyDescent="0.15">
      <c r="A36" s="2" t="s">
        <v>18</v>
      </c>
      <c r="B36" s="2">
        <v>0</v>
      </c>
      <c r="C36" s="2">
        <v>23.8</v>
      </c>
      <c r="D36" s="2">
        <v>11.2</v>
      </c>
      <c r="E36" s="2">
        <v>4.3</v>
      </c>
      <c r="F36" s="2">
        <v>102.6</v>
      </c>
      <c r="G36" s="2">
        <v>213.8</v>
      </c>
      <c r="H36" s="2">
        <v>16.100000000000001</v>
      </c>
      <c r="I36" s="2">
        <v>45.6</v>
      </c>
      <c r="J36" s="2">
        <v>1</v>
      </c>
      <c r="K36" s="2">
        <v>0.4</v>
      </c>
      <c r="L36" s="2">
        <v>0</v>
      </c>
      <c r="M36" s="2">
        <v>83.4</v>
      </c>
      <c r="N36" s="2">
        <f t="shared" ref="N36:N46" si="15">SUM(B36:M36)</f>
        <v>502.20000000000005</v>
      </c>
    </row>
    <row r="37" spans="1:22" x14ac:dyDescent="0.15">
      <c r="A37" s="2" t="s">
        <v>19</v>
      </c>
      <c r="B37" s="2">
        <v>0.2</v>
      </c>
      <c r="C37" s="2">
        <v>0</v>
      </c>
      <c r="D37" s="2">
        <v>0</v>
      </c>
      <c r="E37" s="2">
        <v>39.5</v>
      </c>
      <c r="F37" s="2">
        <v>137.4</v>
      </c>
      <c r="G37" s="2">
        <v>141</v>
      </c>
      <c r="H37" s="2">
        <v>153.5</v>
      </c>
      <c r="I37" s="2">
        <v>278</v>
      </c>
      <c r="J37" s="2">
        <v>161.80000000000001</v>
      </c>
      <c r="K37" s="2">
        <v>12.1</v>
      </c>
      <c r="L37" s="2">
        <v>5.4</v>
      </c>
      <c r="M37" s="2">
        <v>7.3</v>
      </c>
      <c r="N37" s="2">
        <f t="shared" si="15"/>
        <v>936.2</v>
      </c>
    </row>
    <row r="38" spans="1:22" x14ac:dyDescent="0.15">
      <c r="A38" s="2" t="s">
        <v>20</v>
      </c>
      <c r="B38" s="2">
        <v>2.4</v>
      </c>
      <c r="C38" s="2">
        <v>0.3</v>
      </c>
      <c r="D38" s="2">
        <v>0.2</v>
      </c>
      <c r="E38" s="2">
        <v>50.1</v>
      </c>
      <c r="F38" s="2">
        <v>83.8</v>
      </c>
      <c r="G38" s="2">
        <v>37.700000000000003</v>
      </c>
      <c r="H38" s="2">
        <v>49</v>
      </c>
      <c r="I38" s="2">
        <v>15.4</v>
      </c>
      <c r="J38" s="2">
        <v>0.2</v>
      </c>
      <c r="K38" s="2">
        <v>0</v>
      </c>
      <c r="L38" s="2">
        <v>0</v>
      </c>
      <c r="M38" s="2">
        <v>0.3</v>
      </c>
      <c r="N38" s="2">
        <f t="shared" si="15"/>
        <v>239.4</v>
      </c>
    </row>
    <row r="39" spans="1:22" x14ac:dyDescent="0.15">
      <c r="A39" s="2" t="s">
        <v>21</v>
      </c>
      <c r="B39" s="2">
        <v>0</v>
      </c>
      <c r="C39" s="2">
        <v>0</v>
      </c>
      <c r="D39" s="2">
        <v>0.6</v>
      </c>
      <c r="E39" s="2">
        <v>133.80000000000001</v>
      </c>
      <c r="F39" s="2">
        <v>161.19999999999999</v>
      </c>
      <c r="G39" s="2">
        <v>115</v>
      </c>
      <c r="H39" s="2">
        <v>7.3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f t="shared" si="15"/>
        <v>417.90000000000003</v>
      </c>
    </row>
    <row r="40" spans="1:22" x14ac:dyDescent="0.15">
      <c r="A40" s="2" t="s">
        <v>22</v>
      </c>
      <c r="B40" s="2">
        <v>0</v>
      </c>
      <c r="C40" s="2">
        <v>0</v>
      </c>
      <c r="D40" s="2">
        <v>0</v>
      </c>
      <c r="E40" s="2">
        <v>0</v>
      </c>
      <c r="F40" s="2">
        <v>2</v>
      </c>
      <c r="G40" s="2">
        <v>0.2</v>
      </c>
      <c r="H40" s="2">
        <v>0</v>
      </c>
      <c r="I40" s="2">
        <v>0</v>
      </c>
      <c r="J40" s="2">
        <v>0</v>
      </c>
      <c r="K40" s="2">
        <v>0.1</v>
      </c>
      <c r="L40" s="2">
        <v>0</v>
      </c>
      <c r="M40" s="2">
        <v>0.7</v>
      </c>
      <c r="N40" s="2">
        <f t="shared" si="15"/>
        <v>3</v>
      </c>
      <c r="O40" s="4" t="s">
        <v>81</v>
      </c>
      <c r="P40" s="4" t="s">
        <v>82</v>
      </c>
      <c r="Q40" s="4" t="s">
        <v>83</v>
      </c>
      <c r="R40" s="4" t="s">
        <v>84</v>
      </c>
      <c r="S40" s="1" t="s">
        <v>85</v>
      </c>
    </row>
    <row r="41" spans="1:22" x14ac:dyDescent="0.15">
      <c r="A41" s="2" t="s">
        <v>23</v>
      </c>
      <c r="B41" s="2">
        <v>0</v>
      </c>
      <c r="C41" s="2">
        <v>0</v>
      </c>
      <c r="D41" s="2">
        <v>0</v>
      </c>
      <c r="E41" s="2">
        <v>11.9</v>
      </c>
      <c r="F41" s="2">
        <v>75.7</v>
      </c>
      <c r="G41" s="2">
        <v>12.7</v>
      </c>
      <c r="H41" s="2">
        <v>0.8</v>
      </c>
      <c r="I41" s="2">
        <v>0</v>
      </c>
      <c r="J41" s="2">
        <v>0</v>
      </c>
      <c r="K41" s="2">
        <v>0</v>
      </c>
      <c r="L41" s="2">
        <v>0.6</v>
      </c>
      <c r="M41" s="2">
        <v>0.1</v>
      </c>
      <c r="N41" s="2">
        <f t="shared" si="15"/>
        <v>101.8</v>
      </c>
      <c r="O41" s="3">
        <f t="shared" ref="O41:O49" si="16">E41+F41+G41+H41+I41</f>
        <v>101.10000000000001</v>
      </c>
      <c r="P41" s="3">
        <f>E41+F41+G41+H41+I41+J41</f>
        <v>101.10000000000001</v>
      </c>
      <c r="Q41" s="3">
        <f>L41+M41+B42</f>
        <v>0.7</v>
      </c>
      <c r="R41" s="1">
        <f>K41+L41+M41+B42</f>
        <v>0.7</v>
      </c>
      <c r="S41" s="1">
        <f t="shared" ref="S41:S49" si="17">L41+M41+B42+C42+D42</f>
        <v>0.7</v>
      </c>
    </row>
    <row r="42" spans="1:22" x14ac:dyDescent="0.15">
      <c r="A42" s="2" t="s">
        <v>32</v>
      </c>
      <c r="B42" s="2">
        <v>0</v>
      </c>
      <c r="C42" s="2">
        <v>0</v>
      </c>
      <c r="D42" s="2">
        <v>0</v>
      </c>
      <c r="E42" s="2">
        <v>0</v>
      </c>
      <c r="F42" s="2">
        <v>25.5</v>
      </c>
      <c r="G42" s="2">
        <v>2.7</v>
      </c>
      <c r="H42" s="2">
        <v>0.1</v>
      </c>
      <c r="I42" s="2">
        <v>26.4</v>
      </c>
      <c r="J42" s="2">
        <v>4.7699999999999996</v>
      </c>
      <c r="K42" s="2">
        <v>0.1</v>
      </c>
      <c r="L42" s="2">
        <v>0.34899999999999998</v>
      </c>
      <c r="M42" s="2">
        <v>0.68200000000000005</v>
      </c>
      <c r="N42" s="2">
        <f t="shared" si="15"/>
        <v>60.600999999999999</v>
      </c>
      <c r="O42" s="3">
        <f t="shared" si="16"/>
        <v>54.7</v>
      </c>
      <c r="P42" s="3">
        <f t="shared" ref="P42:P49" si="18">E42+F42+G42+H42+I42+J42</f>
        <v>59.47</v>
      </c>
      <c r="Q42" s="3">
        <f t="shared" ref="Q42:Q48" si="19">L42+M42+B43</f>
        <v>2.7110000000000003</v>
      </c>
      <c r="R42" s="1">
        <f t="shared" ref="R42:R48" si="20">K42+L42+M42+B43</f>
        <v>2.8109999999999999</v>
      </c>
      <c r="S42" s="1">
        <f t="shared" si="17"/>
        <v>5.2100000000000009</v>
      </c>
    </row>
    <row r="43" spans="1:22" x14ac:dyDescent="0.15">
      <c r="A43" s="2" t="s">
        <v>33</v>
      </c>
      <c r="B43" s="2">
        <v>1.68</v>
      </c>
      <c r="C43" s="2">
        <v>2.4990000000000001</v>
      </c>
      <c r="D43" s="2">
        <v>0</v>
      </c>
      <c r="E43" s="2">
        <v>2.7</v>
      </c>
      <c r="F43" s="2">
        <v>100</v>
      </c>
      <c r="G43" s="2">
        <v>1.9</v>
      </c>
      <c r="H43" s="2">
        <v>0.6</v>
      </c>
      <c r="I43" s="2">
        <v>0.2</v>
      </c>
      <c r="J43" s="2">
        <v>0</v>
      </c>
      <c r="K43" s="2">
        <v>0</v>
      </c>
      <c r="L43" s="2">
        <v>0</v>
      </c>
      <c r="M43" s="2">
        <v>0</v>
      </c>
      <c r="N43" s="2">
        <f t="shared" si="15"/>
        <v>109.57900000000001</v>
      </c>
      <c r="O43" s="3">
        <f t="shared" si="16"/>
        <v>105.4</v>
      </c>
      <c r="P43" s="3">
        <f t="shared" si="18"/>
        <v>105.4</v>
      </c>
      <c r="Q43" s="3">
        <f t="shared" si="19"/>
        <v>0</v>
      </c>
      <c r="R43" s="1">
        <f t="shared" si="20"/>
        <v>0</v>
      </c>
      <c r="S43" s="1">
        <f t="shared" si="17"/>
        <v>0</v>
      </c>
    </row>
    <row r="44" spans="1:22" x14ac:dyDescent="0.15">
      <c r="A44" s="2" t="s">
        <v>34</v>
      </c>
      <c r="B44" s="2">
        <v>0</v>
      </c>
      <c r="C44" s="2">
        <v>0</v>
      </c>
      <c r="D44" s="2">
        <v>0</v>
      </c>
      <c r="E44" s="2">
        <v>0</v>
      </c>
      <c r="F44" s="2">
        <v>0.1</v>
      </c>
      <c r="G44" s="2">
        <v>0.2</v>
      </c>
      <c r="H44" s="2">
        <v>0.4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15"/>
        <v>0.70000000000000007</v>
      </c>
      <c r="O44" s="3">
        <f t="shared" si="16"/>
        <v>0.70000000000000007</v>
      </c>
      <c r="P44" s="3">
        <f t="shared" si="18"/>
        <v>0.70000000000000007</v>
      </c>
      <c r="Q44" s="3">
        <f t="shared" si="19"/>
        <v>0</v>
      </c>
      <c r="R44" s="1">
        <f t="shared" si="20"/>
        <v>0</v>
      </c>
      <c r="S44" s="1">
        <f t="shared" si="17"/>
        <v>1.4E-2</v>
      </c>
    </row>
    <row r="45" spans="1:22" x14ac:dyDescent="0.15">
      <c r="A45" s="2" t="s">
        <v>35</v>
      </c>
      <c r="B45" s="2">
        <v>0</v>
      </c>
      <c r="C45" s="2">
        <v>0</v>
      </c>
      <c r="D45" s="2">
        <v>1.4E-2</v>
      </c>
      <c r="E45" s="2">
        <f>+(4+15)/1000</f>
        <v>1.9E-2</v>
      </c>
      <c r="F45" s="2">
        <f>(5+686)/1000</f>
        <v>0.69099999999999995</v>
      </c>
      <c r="G45" s="2">
        <v>4.2489999999999997</v>
      </c>
      <c r="H45" s="2">
        <v>7.0000000000000001E-3</v>
      </c>
      <c r="I45" s="2">
        <v>0</v>
      </c>
      <c r="J45" s="2">
        <v>1.4E-2</v>
      </c>
      <c r="K45" s="2">
        <v>0</v>
      </c>
      <c r="L45" s="2">
        <v>0</v>
      </c>
      <c r="M45" s="2">
        <v>0</v>
      </c>
      <c r="N45" s="2">
        <f t="shared" si="15"/>
        <v>4.9939999999999998</v>
      </c>
      <c r="O45" s="3">
        <f t="shared" si="16"/>
        <v>4.9659999999999993</v>
      </c>
      <c r="P45" s="3">
        <f t="shared" si="18"/>
        <v>4.9799999999999995</v>
      </c>
      <c r="Q45" s="3">
        <f t="shared" si="19"/>
        <v>0</v>
      </c>
      <c r="R45" s="1">
        <f t="shared" si="20"/>
        <v>0</v>
      </c>
      <c r="S45" s="1">
        <f t="shared" si="17"/>
        <v>0</v>
      </c>
    </row>
    <row r="46" spans="1:22" x14ac:dyDescent="0.15">
      <c r="A46" s="2" t="s">
        <v>37</v>
      </c>
      <c r="B46" s="2">
        <v>0</v>
      </c>
      <c r="C46" s="2">
        <v>0</v>
      </c>
      <c r="D46" s="2">
        <v>0</v>
      </c>
      <c r="E46" s="2">
        <f>0.035+0.182</f>
        <v>0.217</v>
      </c>
      <c r="F46" s="2">
        <f>1.671+0.055+0.574</f>
        <v>2.2999999999999998</v>
      </c>
      <c r="G46" s="2">
        <f>2.076+0.925+1.029</f>
        <v>4.03</v>
      </c>
      <c r="H46" s="2">
        <f>0.015+0.252</f>
        <v>0.26700000000000002</v>
      </c>
      <c r="I46" s="2">
        <v>0.13500000000000001</v>
      </c>
      <c r="J46" s="2">
        <v>0.06</v>
      </c>
      <c r="K46" s="2">
        <v>0</v>
      </c>
      <c r="L46" s="2">
        <v>0</v>
      </c>
      <c r="M46" s="2">
        <v>0</v>
      </c>
      <c r="N46" s="2">
        <f t="shared" si="15"/>
        <v>7.0090000000000003</v>
      </c>
      <c r="O46" s="3">
        <f t="shared" si="16"/>
        <v>6.9490000000000007</v>
      </c>
      <c r="P46" s="3">
        <f t="shared" si="18"/>
        <v>7.0090000000000003</v>
      </c>
      <c r="Q46" s="3">
        <f t="shared" si="19"/>
        <v>0</v>
      </c>
      <c r="R46" s="1">
        <f t="shared" si="20"/>
        <v>0</v>
      </c>
      <c r="S46" s="1">
        <f t="shared" si="17"/>
        <v>0</v>
      </c>
    </row>
    <row r="47" spans="1:22" x14ac:dyDescent="0.15">
      <c r="A47" s="2" t="s">
        <v>39</v>
      </c>
      <c r="B47" s="2">
        <v>0</v>
      </c>
      <c r="C47" s="2">
        <v>0</v>
      </c>
      <c r="D47" s="2">
        <v>0</v>
      </c>
      <c r="E47" s="2">
        <v>5.0000000000000001E-3</v>
      </c>
      <c r="F47" s="2">
        <v>50.592999999999996</v>
      </c>
      <c r="G47" s="2">
        <v>0.69899999999999995</v>
      </c>
      <c r="H47" s="2">
        <v>5.7389999999999999</v>
      </c>
      <c r="I47" s="2">
        <v>0</v>
      </c>
      <c r="J47" s="2">
        <v>6.2E-2</v>
      </c>
      <c r="K47" s="2">
        <v>0.09</v>
      </c>
      <c r="L47" s="2">
        <v>0.36099999999999999</v>
      </c>
      <c r="M47" s="2">
        <v>2.093</v>
      </c>
      <c r="N47" s="2">
        <f t="shared" ref="N47:N52" si="21">SUM(B47:M47)</f>
        <v>59.641999999999996</v>
      </c>
      <c r="O47" s="3">
        <f t="shared" si="16"/>
        <v>57.035999999999994</v>
      </c>
      <c r="P47" s="3">
        <f t="shared" si="18"/>
        <v>57.097999999999992</v>
      </c>
      <c r="Q47" s="3">
        <f t="shared" si="19"/>
        <v>5.282</v>
      </c>
      <c r="R47" s="1">
        <f t="shared" si="20"/>
        <v>5.3719999999999999</v>
      </c>
      <c r="S47" s="1">
        <f t="shared" si="17"/>
        <v>7.242</v>
      </c>
    </row>
    <row r="48" spans="1:22" x14ac:dyDescent="0.15">
      <c r="A48" s="2" t="s">
        <v>40</v>
      </c>
      <c r="B48" s="2">
        <v>2.8279999999999998</v>
      </c>
      <c r="C48" s="2">
        <v>1.96</v>
      </c>
      <c r="D48" s="2">
        <v>0</v>
      </c>
      <c r="E48" s="2">
        <v>0</v>
      </c>
      <c r="F48" s="2">
        <v>2.2719999999999998</v>
      </c>
      <c r="G48" s="2">
        <v>0.21199999999999999</v>
      </c>
      <c r="H48" s="2">
        <v>0.01</v>
      </c>
      <c r="I48" s="2">
        <v>0.11</v>
      </c>
      <c r="J48" s="2">
        <v>3.7999999999999999E-2</v>
      </c>
      <c r="K48" s="2">
        <v>0.18</v>
      </c>
      <c r="L48" s="2">
        <v>0.6</v>
      </c>
      <c r="M48" s="2">
        <v>0</v>
      </c>
      <c r="N48" s="2">
        <f t="shared" si="21"/>
        <v>8.2100000000000009</v>
      </c>
      <c r="O48" s="3">
        <f t="shared" si="16"/>
        <v>2.6039999999999996</v>
      </c>
      <c r="P48" s="3">
        <f t="shared" si="18"/>
        <v>2.6419999999999995</v>
      </c>
      <c r="Q48" s="3">
        <f t="shared" si="19"/>
        <v>0.6</v>
      </c>
      <c r="R48" s="1">
        <f t="shared" si="20"/>
        <v>0.78</v>
      </c>
      <c r="S48" s="1">
        <f t="shared" si="17"/>
        <v>0.6</v>
      </c>
    </row>
    <row r="49" spans="1:22" x14ac:dyDescent="0.15">
      <c r="A49" s="2" t="s">
        <v>41</v>
      </c>
      <c r="B49" s="2">
        <v>0</v>
      </c>
      <c r="C49" s="2">
        <v>0</v>
      </c>
      <c r="D49" s="2">
        <v>0</v>
      </c>
      <c r="E49" s="2">
        <v>1.071</v>
      </c>
      <c r="F49" s="2">
        <v>5.1849999999999996</v>
      </c>
      <c r="G49" s="2">
        <v>8.31</v>
      </c>
      <c r="H49" s="2">
        <v>5.34</v>
      </c>
      <c r="I49" s="2">
        <v>7.57</v>
      </c>
      <c r="J49" s="2">
        <v>1.4999999999999999E-2</v>
      </c>
      <c r="K49" s="2">
        <v>0.45200000000000001</v>
      </c>
      <c r="L49" s="2">
        <v>0.23499999999999999</v>
      </c>
      <c r="M49" s="2">
        <v>0.65200000000000002</v>
      </c>
      <c r="N49" s="2">
        <f t="shared" si="21"/>
        <v>28.830000000000002</v>
      </c>
      <c r="O49" s="3">
        <f t="shared" si="16"/>
        <v>27.475999999999999</v>
      </c>
      <c r="P49" s="3">
        <f t="shared" si="18"/>
        <v>27.491</v>
      </c>
      <c r="Q49" s="3">
        <f t="shared" ref="Q49:Q54" si="22">L49+M49+B50</f>
        <v>3.673</v>
      </c>
      <c r="R49" s="1">
        <f t="shared" ref="R49:R54" si="23">K49+L49+M49+B50</f>
        <v>4.125</v>
      </c>
      <c r="S49" s="1">
        <f t="shared" si="17"/>
        <v>6.4380000000000006</v>
      </c>
    </row>
    <row r="50" spans="1:22" x14ac:dyDescent="0.15">
      <c r="A50" s="2" t="s">
        <v>45</v>
      </c>
      <c r="B50" s="2">
        <v>2.786</v>
      </c>
      <c r="C50" s="2">
        <v>2.7650000000000001</v>
      </c>
      <c r="D50" s="2">
        <v>0</v>
      </c>
      <c r="E50" s="2">
        <v>0.995</v>
      </c>
      <c r="F50" s="2">
        <v>44.432000000000002</v>
      </c>
      <c r="G50" s="2">
        <v>0.9927999999999999</v>
      </c>
      <c r="H50" s="2">
        <v>44.097000000000001</v>
      </c>
      <c r="I50" s="2">
        <v>56.875999999999998</v>
      </c>
      <c r="J50" s="2">
        <v>5.1999999999999998E-2</v>
      </c>
      <c r="K50" s="2">
        <v>0.24399999999999999</v>
      </c>
      <c r="L50" s="2">
        <v>0.03</v>
      </c>
      <c r="M50" s="2">
        <v>0</v>
      </c>
      <c r="N50" s="2">
        <f t="shared" si="21"/>
        <v>153.2698</v>
      </c>
      <c r="O50" s="3">
        <f t="shared" ref="O50:O55" si="24">E50+F50+G50+H50+I50</f>
        <v>147.39279999999999</v>
      </c>
      <c r="P50" s="3">
        <f t="shared" ref="P50:P55" si="25">E50+F50+G50+H50+I50+J50</f>
        <v>147.44479999999999</v>
      </c>
      <c r="Q50" s="3">
        <f t="shared" si="22"/>
        <v>0.03</v>
      </c>
      <c r="R50" s="1">
        <f t="shared" si="23"/>
        <v>0.27400000000000002</v>
      </c>
      <c r="S50" s="1">
        <f t="shared" ref="S50:S59" si="26">L50+M50+B51+C51+D51</f>
        <v>0.03</v>
      </c>
    </row>
    <row r="51" spans="1:22" x14ac:dyDescent="0.15">
      <c r="A51" s="2" t="s">
        <v>46</v>
      </c>
      <c r="B51" s="2">
        <v>0</v>
      </c>
      <c r="C51" s="2">
        <v>0</v>
      </c>
      <c r="D51" s="2">
        <v>0</v>
      </c>
      <c r="E51" s="2">
        <v>1.2E-2</v>
      </c>
      <c r="F51" s="2">
        <v>258.07</v>
      </c>
      <c r="G51" s="2">
        <v>40.944000000000003</v>
      </c>
      <c r="H51" s="2">
        <v>27.853000000000002</v>
      </c>
      <c r="I51" s="2">
        <v>10.243</v>
      </c>
      <c r="J51" s="2">
        <v>3.3559999999999999</v>
      </c>
      <c r="K51" s="2">
        <v>0.71299999999999997</v>
      </c>
      <c r="L51" s="2">
        <v>0.02</v>
      </c>
      <c r="M51" s="2">
        <v>0</v>
      </c>
      <c r="N51" s="2">
        <f t="shared" si="21"/>
        <v>341.21100000000001</v>
      </c>
      <c r="O51" s="3">
        <f t="shared" si="24"/>
        <v>337.12200000000001</v>
      </c>
      <c r="P51" s="3">
        <f t="shared" si="25"/>
        <v>340.47800000000001</v>
      </c>
      <c r="Q51" s="3">
        <f t="shared" si="22"/>
        <v>0.02</v>
      </c>
      <c r="R51" s="1">
        <f t="shared" si="23"/>
        <v>0.73299999999999998</v>
      </c>
      <c r="S51" s="1">
        <f t="shared" si="26"/>
        <v>6.2E-2</v>
      </c>
    </row>
    <row r="52" spans="1:22" x14ac:dyDescent="0.15">
      <c r="A52" s="2" t="s">
        <v>56</v>
      </c>
      <c r="B52" s="2">
        <v>0</v>
      </c>
      <c r="C52" s="2">
        <v>0</v>
      </c>
      <c r="D52" s="2">
        <v>4.2000000000000003E-2</v>
      </c>
      <c r="E52" s="2">
        <v>0</v>
      </c>
      <c r="F52" s="2">
        <v>11.176</v>
      </c>
      <c r="G52" s="2">
        <v>0.56000000000000005</v>
      </c>
      <c r="H52" s="2">
        <v>15.633700000000001</v>
      </c>
      <c r="I52" s="2">
        <v>23.260999999999999</v>
      </c>
      <c r="J52" s="2">
        <v>23.106000000000002</v>
      </c>
      <c r="K52" s="2">
        <v>0.78800000000000003</v>
      </c>
      <c r="L52" s="2">
        <v>1.7000000000000001E-2</v>
      </c>
      <c r="M52" s="2">
        <v>0</v>
      </c>
      <c r="N52" s="2">
        <f t="shared" si="21"/>
        <v>74.583700000000007</v>
      </c>
      <c r="O52" s="3">
        <f t="shared" si="24"/>
        <v>50.630700000000004</v>
      </c>
      <c r="P52" s="3">
        <f t="shared" si="25"/>
        <v>73.736700000000013</v>
      </c>
      <c r="Q52" s="3">
        <f t="shared" si="22"/>
        <v>1.7000000000000001E-2</v>
      </c>
      <c r="R52" s="1">
        <f t="shared" si="23"/>
        <v>0.80500000000000005</v>
      </c>
      <c r="S52" s="1">
        <f t="shared" si="26"/>
        <v>2.859</v>
      </c>
    </row>
    <row r="53" spans="1:22" x14ac:dyDescent="0.15">
      <c r="A53" s="2" t="s">
        <v>92</v>
      </c>
      <c r="B53" s="2">
        <v>0</v>
      </c>
      <c r="C53" s="2">
        <v>2.8420000000000001</v>
      </c>
      <c r="D53" s="2">
        <v>0</v>
      </c>
      <c r="E53" s="2">
        <v>0</v>
      </c>
      <c r="F53" s="2">
        <v>10.657</v>
      </c>
      <c r="G53" s="2">
        <v>12.223000000000001</v>
      </c>
      <c r="H53" s="2">
        <v>2.9870000000000001</v>
      </c>
      <c r="I53" s="2">
        <v>12.147</v>
      </c>
      <c r="J53" s="2">
        <v>3.9780000000000002</v>
      </c>
      <c r="K53" s="2">
        <v>4.5999999999999999E-2</v>
      </c>
      <c r="L53" s="2">
        <v>0</v>
      </c>
      <c r="M53" s="2">
        <v>0</v>
      </c>
      <c r="N53" s="2">
        <f t="shared" ref="N53:N61" si="27">SUM(B53:M53)</f>
        <v>44.88</v>
      </c>
      <c r="O53" s="3">
        <f t="shared" si="24"/>
        <v>38.014000000000003</v>
      </c>
      <c r="P53" s="3">
        <f t="shared" si="25"/>
        <v>41.992000000000004</v>
      </c>
      <c r="Q53" s="3">
        <f t="shared" si="22"/>
        <v>0</v>
      </c>
      <c r="R53" s="1">
        <f t="shared" si="23"/>
        <v>4.5999999999999999E-2</v>
      </c>
      <c r="S53" s="1">
        <f t="shared" si="26"/>
        <v>0</v>
      </c>
      <c r="V53" s="84"/>
    </row>
    <row r="54" spans="1:22" x14ac:dyDescent="0.15">
      <c r="A54" s="2" t="s">
        <v>103</v>
      </c>
      <c r="B54" s="2">
        <v>0</v>
      </c>
      <c r="C54" s="2">
        <v>0</v>
      </c>
      <c r="D54" s="2">
        <v>0</v>
      </c>
      <c r="E54" s="2">
        <v>0</v>
      </c>
      <c r="F54" s="2">
        <v>0.623</v>
      </c>
      <c r="G54" s="2">
        <v>17.460999999999999</v>
      </c>
      <c r="H54" s="2">
        <v>5.6855000000000002</v>
      </c>
      <c r="I54" s="2">
        <v>11.2706</v>
      </c>
      <c r="J54" s="2">
        <v>0.16350000000000001</v>
      </c>
      <c r="K54" s="2">
        <v>0.28000000000000003</v>
      </c>
      <c r="L54" s="2">
        <v>1.044</v>
      </c>
      <c r="M54" s="2">
        <v>0.19500000000000001</v>
      </c>
      <c r="N54" s="2">
        <f t="shared" si="27"/>
        <v>36.7226</v>
      </c>
      <c r="O54" s="3">
        <f t="shared" si="24"/>
        <v>35.040100000000002</v>
      </c>
      <c r="P54" s="3">
        <f t="shared" si="25"/>
        <v>35.203600000000002</v>
      </c>
      <c r="Q54" s="3">
        <f t="shared" si="22"/>
        <v>1.2390000000000001</v>
      </c>
      <c r="R54" s="1">
        <f t="shared" si="23"/>
        <v>1.5190000000000001</v>
      </c>
      <c r="S54" s="1">
        <f t="shared" si="26"/>
        <v>1.2390000000000001</v>
      </c>
    </row>
    <row r="55" spans="1:22" x14ac:dyDescent="0.15">
      <c r="A55" s="2" t="s">
        <v>121</v>
      </c>
      <c r="B55" s="2">
        <v>0</v>
      </c>
      <c r="C55" s="2">
        <v>0</v>
      </c>
      <c r="D55" s="2">
        <v>0</v>
      </c>
      <c r="E55" s="2">
        <v>0</v>
      </c>
      <c r="F55" s="2">
        <v>39.615000000000002</v>
      </c>
      <c r="G55" s="2">
        <v>0</v>
      </c>
      <c r="H55" s="2">
        <v>16.035999999999998</v>
      </c>
      <c r="I55" s="2">
        <v>1.1961999999999999</v>
      </c>
      <c r="J55" s="2">
        <v>0.1326</v>
      </c>
      <c r="K55" s="2">
        <v>1.9E-2</v>
      </c>
      <c r="L55" s="2">
        <v>0</v>
      </c>
      <c r="M55" s="2">
        <v>0</v>
      </c>
      <c r="N55" s="2">
        <f t="shared" si="27"/>
        <v>56.998799999999989</v>
      </c>
      <c r="O55" s="3">
        <f t="shared" si="24"/>
        <v>56.847199999999994</v>
      </c>
      <c r="P55" s="3">
        <f t="shared" si="25"/>
        <v>56.97979999999999</v>
      </c>
      <c r="Q55" s="3">
        <f t="shared" ref="Q55:Q60" si="28">L55+M55+B56</f>
        <v>0</v>
      </c>
      <c r="R55" s="1">
        <f t="shared" ref="R55:R60" si="29">K55+L55+M55+B56</f>
        <v>1.9E-2</v>
      </c>
      <c r="S55" s="1">
        <f t="shared" si="26"/>
        <v>0</v>
      </c>
    </row>
    <row r="56" spans="1:22" x14ac:dyDescent="0.15">
      <c r="A56" s="2" t="s">
        <v>129</v>
      </c>
      <c r="B56" s="2">
        <v>0</v>
      </c>
      <c r="C56" s="2">
        <v>0</v>
      </c>
      <c r="D56" s="2">
        <v>0</v>
      </c>
      <c r="E56" s="2">
        <v>0</v>
      </c>
      <c r="F56" s="2">
        <v>0.06</v>
      </c>
      <c r="G56" s="2">
        <v>0.28499999999999998</v>
      </c>
      <c r="H56" s="2">
        <v>57.002000000000002</v>
      </c>
      <c r="I56" s="2">
        <v>14.448</v>
      </c>
      <c r="J56" s="2">
        <v>13.2</v>
      </c>
      <c r="K56" s="2">
        <v>0</v>
      </c>
      <c r="L56" s="2">
        <v>0</v>
      </c>
      <c r="M56" s="2">
        <v>0</v>
      </c>
      <c r="N56" s="2">
        <f t="shared" si="27"/>
        <v>84.995000000000005</v>
      </c>
      <c r="O56" s="3">
        <f>E56+F56+G56+H56+I56</f>
        <v>71.795000000000002</v>
      </c>
      <c r="P56" s="3">
        <f>E56+F56+G56+H56+I56+J56</f>
        <v>84.995000000000005</v>
      </c>
      <c r="Q56" s="3">
        <f t="shared" si="28"/>
        <v>0</v>
      </c>
      <c r="R56" s="1">
        <f t="shared" si="29"/>
        <v>0</v>
      </c>
      <c r="S56" s="1">
        <f t="shared" si="26"/>
        <v>0</v>
      </c>
    </row>
    <row r="57" spans="1:22" x14ac:dyDescent="0.15">
      <c r="A57" s="2" t="s">
        <v>136</v>
      </c>
      <c r="B57" s="2">
        <v>0</v>
      </c>
      <c r="C57" s="2">
        <v>0</v>
      </c>
      <c r="D57" s="2">
        <v>0</v>
      </c>
      <c r="E57" s="2">
        <v>0</v>
      </c>
      <c r="F57" s="2">
        <v>0.18</v>
      </c>
      <c r="G57" s="2">
        <v>0.18149999999999999</v>
      </c>
      <c r="H57" s="2">
        <v>47.454999999999998</v>
      </c>
      <c r="I57" s="2">
        <v>1.4999999999999999E-2</v>
      </c>
      <c r="J57" s="2">
        <v>0.06</v>
      </c>
      <c r="K57" s="2">
        <v>8.2000000000000003E-2</v>
      </c>
      <c r="L57" s="2">
        <v>0</v>
      </c>
      <c r="M57" s="2">
        <v>0</v>
      </c>
      <c r="N57" s="2">
        <f t="shared" si="27"/>
        <v>47.973500000000001</v>
      </c>
      <c r="O57" s="3">
        <f>E57+F57+G57+H57+I57</f>
        <v>47.831499999999998</v>
      </c>
      <c r="P57" s="3">
        <f>E57+F57+G57+H57+I57+J57</f>
        <v>47.891500000000001</v>
      </c>
      <c r="Q57" s="3">
        <f t="shared" si="28"/>
        <v>0</v>
      </c>
      <c r="R57" s="1">
        <f t="shared" si="29"/>
        <v>8.2000000000000003E-2</v>
      </c>
      <c r="S57" s="1">
        <f t="shared" si="26"/>
        <v>0</v>
      </c>
    </row>
    <row r="58" spans="1:22" x14ac:dyDescent="0.15">
      <c r="A58" s="2" t="s">
        <v>140</v>
      </c>
      <c r="B58" s="2">
        <v>0</v>
      </c>
      <c r="C58" s="2">
        <v>0</v>
      </c>
      <c r="D58" s="2">
        <v>0</v>
      </c>
      <c r="E58" s="2">
        <v>0</v>
      </c>
      <c r="F58" s="2">
        <v>97.89</v>
      </c>
      <c r="G58" s="2">
        <v>21.782</v>
      </c>
      <c r="H58" s="2">
        <v>35.715000000000003</v>
      </c>
      <c r="I58" s="2">
        <v>23.797000000000001</v>
      </c>
      <c r="J58" s="2">
        <v>0</v>
      </c>
      <c r="K58" s="2">
        <v>0</v>
      </c>
      <c r="L58" s="2">
        <v>0</v>
      </c>
      <c r="M58" s="2">
        <v>0</v>
      </c>
      <c r="N58" s="2">
        <f t="shared" si="27"/>
        <v>179.184</v>
      </c>
      <c r="O58" s="3">
        <f>E58+F58+G58+H58+I58</f>
        <v>179.184</v>
      </c>
      <c r="P58" s="3">
        <f>E58+F58+G58+H58+I58+J58</f>
        <v>179.184</v>
      </c>
      <c r="Q58" s="3">
        <f t="shared" si="28"/>
        <v>0</v>
      </c>
      <c r="R58" s="1">
        <f t="shared" si="29"/>
        <v>0</v>
      </c>
      <c r="S58" s="1">
        <f t="shared" si="26"/>
        <v>0</v>
      </c>
    </row>
    <row r="59" spans="1:22" x14ac:dyDescent="0.15">
      <c r="A59" s="2" t="s">
        <v>143</v>
      </c>
      <c r="B59" s="2">
        <v>0</v>
      </c>
      <c r="C59" s="2">
        <v>0</v>
      </c>
      <c r="D59" s="2">
        <v>0</v>
      </c>
      <c r="E59" s="2">
        <v>6.9749999999999996</v>
      </c>
      <c r="F59" s="2">
        <v>4.6349999999999998</v>
      </c>
      <c r="G59" s="2">
        <v>0.48</v>
      </c>
      <c r="H59" s="2">
        <v>0</v>
      </c>
      <c r="I59" s="2">
        <v>5.2999999999999999E-2</v>
      </c>
      <c r="J59" s="2">
        <v>0</v>
      </c>
      <c r="K59" s="2">
        <v>0</v>
      </c>
      <c r="L59" s="2">
        <v>0</v>
      </c>
      <c r="M59" s="2">
        <v>0</v>
      </c>
      <c r="N59" s="2">
        <f t="shared" si="27"/>
        <v>12.143000000000001</v>
      </c>
      <c r="O59" s="3">
        <f>E59+F59+G59+H59+I59</f>
        <v>12.143000000000001</v>
      </c>
      <c r="P59" s="3">
        <f>E59+F59+G59+H59+I59+J59</f>
        <v>12.143000000000001</v>
      </c>
      <c r="Q59" s="3">
        <f t="shared" si="28"/>
        <v>0.29649999999999999</v>
      </c>
      <c r="R59" s="1">
        <f t="shared" si="29"/>
        <v>0.29649999999999999</v>
      </c>
      <c r="S59" s="1">
        <f t="shared" si="26"/>
        <v>0.29649999999999999</v>
      </c>
    </row>
    <row r="60" spans="1:22" x14ac:dyDescent="0.15">
      <c r="A60" s="2" t="s">
        <v>149</v>
      </c>
      <c r="B60" s="2">
        <v>0.29649999999999999</v>
      </c>
      <c r="C60" s="2">
        <v>0</v>
      </c>
      <c r="D60" s="2">
        <v>0</v>
      </c>
      <c r="E60" s="2">
        <v>1.395</v>
      </c>
      <c r="F60" s="2">
        <v>2.7955000000000001</v>
      </c>
      <c r="G60" s="2">
        <v>9.39</v>
      </c>
      <c r="H60" s="2">
        <v>1.89</v>
      </c>
      <c r="I60" s="2">
        <v>0</v>
      </c>
      <c r="J60" s="19">
        <v>0</v>
      </c>
      <c r="K60" s="19">
        <v>0</v>
      </c>
      <c r="L60" s="19">
        <v>0</v>
      </c>
      <c r="M60" s="19">
        <v>0</v>
      </c>
      <c r="N60" s="2">
        <f t="shared" si="27"/>
        <v>15.767000000000001</v>
      </c>
      <c r="O60" s="3">
        <f>E60+F60+G60+H60+I60</f>
        <v>15.470500000000001</v>
      </c>
      <c r="P60" s="3">
        <f>E60+F60+G60+H60+I60+J60</f>
        <v>15.470500000000001</v>
      </c>
      <c r="Q60" s="154">
        <f t="shared" si="28"/>
        <v>0</v>
      </c>
      <c r="R60" s="20">
        <f t="shared" si="29"/>
        <v>0</v>
      </c>
      <c r="S60" s="20">
        <f>L60+M60+B61+C61+D61</f>
        <v>0</v>
      </c>
    </row>
    <row r="61" spans="1:22" x14ac:dyDescent="0.15">
      <c r="A61" s="2" t="s">
        <v>158</v>
      </c>
      <c r="B61" s="19">
        <v>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f t="shared" si="27"/>
        <v>0</v>
      </c>
      <c r="O61" s="154"/>
      <c r="P61" s="154"/>
      <c r="Q61" s="3"/>
    </row>
    <row r="62" spans="1:22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24">
        <f>AVERAGE(O56:O60)</f>
        <v>65.28479999999999</v>
      </c>
      <c r="P62" s="24">
        <f>AVERAGE(P56:P60)</f>
        <v>67.936800000000019</v>
      </c>
      <c r="Q62" s="24">
        <f>AVERAGE(Q55:Q59)</f>
        <v>5.9299999999999999E-2</v>
      </c>
      <c r="R62" s="24">
        <f>AVERAGE(R55:R59)</f>
        <v>7.9499999999999987E-2</v>
      </c>
      <c r="S62" s="24">
        <f>AVERAGE(S55:S59)</f>
        <v>5.9299999999999999E-2</v>
      </c>
    </row>
    <row r="63" spans="1:22" x14ac:dyDescent="0.15">
      <c r="A63" s="1" t="s">
        <v>25</v>
      </c>
      <c r="E63" s="1" t="s">
        <v>49</v>
      </c>
      <c r="M63" s="1" t="s">
        <v>3</v>
      </c>
    </row>
    <row r="64" spans="1:22" x14ac:dyDescent="0.15">
      <c r="A64" s="2"/>
      <c r="B64" s="2" t="s">
        <v>4</v>
      </c>
      <c r="C64" s="2" t="s">
        <v>5</v>
      </c>
      <c r="D64" s="2" t="s">
        <v>6</v>
      </c>
      <c r="E64" s="2" t="s">
        <v>7</v>
      </c>
      <c r="F64" s="2" t="s">
        <v>8</v>
      </c>
      <c r="G64" s="2" t="s">
        <v>9</v>
      </c>
      <c r="H64" s="2" t="s">
        <v>10</v>
      </c>
      <c r="I64" s="2" t="s">
        <v>11</v>
      </c>
      <c r="J64" s="2" t="s">
        <v>12</v>
      </c>
      <c r="K64" s="2" t="s">
        <v>13</v>
      </c>
      <c r="L64" s="2" t="s">
        <v>14</v>
      </c>
      <c r="M64" s="2" t="s">
        <v>15</v>
      </c>
      <c r="N64" s="2" t="s">
        <v>16</v>
      </c>
    </row>
    <row r="65" spans="1:19" x14ac:dyDescent="0.15">
      <c r="A65" s="2" t="s">
        <v>17</v>
      </c>
      <c r="B65" s="2">
        <v>49.177999999999997</v>
      </c>
      <c r="C65" s="2">
        <v>209.77500000000001</v>
      </c>
      <c r="D65" s="2">
        <v>391.51499999999999</v>
      </c>
      <c r="E65" s="2">
        <v>252.06</v>
      </c>
      <c r="F65" s="2">
        <v>4.6879999999999997</v>
      </c>
      <c r="G65" s="2">
        <v>8.7319999999999993</v>
      </c>
      <c r="H65" s="2">
        <v>10.125999999999999</v>
      </c>
      <c r="I65" s="2">
        <v>42.674999999999997</v>
      </c>
      <c r="J65" s="2">
        <v>20.07</v>
      </c>
      <c r="K65" s="2">
        <v>0.06</v>
      </c>
      <c r="L65" s="2">
        <v>0</v>
      </c>
      <c r="M65" s="2">
        <v>0</v>
      </c>
      <c r="N65" s="2">
        <f>SUM(B65:M65)</f>
        <v>988.87899999999991</v>
      </c>
    </row>
    <row r="66" spans="1:19" x14ac:dyDescent="0.15">
      <c r="A66" s="2" t="s">
        <v>18</v>
      </c>
      <c r="B66" s="2">
        <v>64.77</v>
      </c>
      <c r="C66" s="2">
        <v>22.89</v>
      </c>
      <c r="D66" s="2">
        <v>7.4859999999999998</v>
      </c>
      <c r="E66" s="2">
        <v>7.98</v>
      </c>
      <c r="F66" s="2">
        <v>9.7050000000000001</v>
      </c>
      <c r="G66" s="2">
        <v>19.364999999999998</v>
      </c>
      <c r="H66" s="2">
        <v>29.97</v>
      </c>
      <c r="I66" s="2">
        <v>173.565</v>
      </c>
      <c r="J66" s="2">
        <v>37.484999999999999</v>
      </c>
      <c r="K66" s="2">
        <v>1.26</v>
      </c>
      <c r="L66" s="2">
        <v>0.03</v>
      </c>
      <c r="M66" s="2">
        <v>5.7149999999999999</v>
      </c>
      <c r="N66" s="2">
        <f t="shared" ref="N66:N71" si="30">SUM(B66:M66)</f>
        <v>380.22099999999995</v>
      </c>
    </row>
    <row r="67" spans="1:19" x14ac:dyDescent="0.15">
      <c r="A67" s="2" t="s">
        <v>19</v>
      </c>
      <c r="B67" s="2">
        <v>63.57</v>
      </c>
      <c r="C67" s="2">
        <v>0.69</v>
      </c>
      <c r="D67" s="2">
        <v>0</v>
      </c>
      <c r="E67" s="2">
        <v>36.945</v>
      </c>
      <c r="F67" s="2">
        <v>163.995</v>
      </c>
      <c r="G67" s="2">
        <v>67.665000000000006</v>
      </c>
      <c r="H67" s="2">
        <v>56.61</v>
      </c>
      <c r="I67" s="2">
        <v>193.92</v>
      </c>
      <c r="J67" s="2">
        <v>184.37299999999999</v>
      </c>
      <c r="K67" s="2">
        <v>28.666</v>
      </c>
      <c r="L67" s="2">
        <v>55.034999999999997</v>
      </c>
      <c r="M67" s="2">
        <v>152.678</v>
      </c>
      <c r="N67" s="2">
        <f t="shared" si="30"/>
        <v>1004.147</v>
      </c>
    </row>
    <row r="68" spans="1:19" x14ac:dyDescent="0.15">
      <c r="A68" s="2" t="s">
        <v>20</v>
      </c>
      <c r="B68" s="2">
        <v>51.008000000000003</v>
      </c>
      <c r="C68" s="2">
        <v>10.313000000000001</v>
      </c>
      <c r="D68" s="2">
        <v>1.4999999999999999E-2</v>
      </c>
      <c r="E68" s="2">
        <v>0</v>
      </c>
      <c r="F68" s="2">
        <v>1.9650000000000001</v>
      </c>
      <c r="G68" s="2">
        <v>30.42</v>
      </c>
      <c r="H68" s="2">
        <v>3.3530000000000002</v>
      </c>
      <c r="I68" s="2">
        <v>1.974</v>
      </c>
      <c r="J68" s="2">
        <v>5.5369999999999999</v>
      </c>
      <c r="K68" s="2">
        <v>5.258</v>
      </c>
      <c r="L68" s="2">
        <v>4.4999999999999998E-2</v>
      </c>
      <c r="M68" s="2">
        <v>0.106</v>
      </c>
      <c r="N68" s="2">
        <f t="shared" si="30"/>
        <v>109.994</v>
      </c>
    </row>
    <row r="69" spans="1:19" x14ac:dyDescent="0.15">
      <c r="A69" s="2" t="s">
        <v>21</v>
      </c>
      <c r="B69" s="2">
        <v>0</v>
      </c>
      <c r="C69" s="2">
        <v>0.105</v>
      </c>
      <c r="D69" s="2">
        <v>0.248</v>
      </c>
      <c r="E69" s="2">
        <v>0.17299999999999999</v>
      </c>
      <c r="F69" s="2">
        <v>0</v>
      </c>
      <c r="G69" s="2">
        <v>0.13500000000000001</v>
      </c>
      <c r="H69" s="2">
        <v>8.07</v>
      </c>
      <c r="I69" s="2">
        <v>3.7999999999999999E-2</v>
      </c>
      <c r="J69" s="2">
        <v>5.5650000000000004</v>
      </c>
      <c r="K69" s="2">
        <v>0.90800000000000003</v>
      </c>
      <c r="L69" s="2">
        <v>0</v>
      </c>
      <c r="M69" s="2">
        <v>0</v>
      </c>
      <c r="N69" s="2">
        <f t="shared" si="30"/>
        <v>15.241999999999999</v>
      </c>
    </row>
    <row r="70" spans="1:19" x14ac:dyDescent="0.15">
      <c r="A70" s="2" t="s">
        <v>22</v>
      </c>
      <c r="B70" s="2">
        <v>0.03</v>
      </c>
      <c r="C70" s="2">
        <v>7.4999999999999997E-2</v>
      </c>
      <c r="D70" s="2">
        <v>0.16600000000000001</v>
      </c>
      <c r="E70" s="2">
        <v>0</v>
      </c>
      <c r="F70" s="2">
        <v>4.5999999999999999E-2</v>
      </c>
      <c r="G70" s="2">
        <v>0</v>
      </c>
      <c r="H70" s="2">
        <v>1.4999999999999999E-2</v>
      </c>
      <c r="I70" s="2">
        <v>0</v>
      </c>
      <c r="J70" s="2">
        <v>4.4999999999999998E-2</v>
      </c>
      <c r="K70" s="2">
        <v>2.5049999999999999</v>
      </c>
      <c r="L70" s="2">
        <v>0.255</v>
      </c>
      <c r="M70" s="2">
        <v>0</v>
      </c>
      <c r="N70" s="2">
        <f t="shared" si="30"/>
        <v>3.1369999999999996</v>
      </c>
      <c r="O70" s="4" t="s">
        <v>81</v>
      </c>
      <c r="P70" s="4" t="s">
        <v>82</v>
      </c>
      <c r="Q70" s="4" t="s">
        <v>83</v>
      </c>
      <c r="R70" s="4" t="s">
        <v>84</v>
      </c>
      <c r="S70" s="1" t="s">
        <v>85</v>
      </c>
    </row>
    <row r="71" spans="1:19" x14ac:dyDescent="0.15">
      <c r="A71" s="2" t="s">
        <v>23</v>
      </c>
      <c r="B71" s="2">
        <v>0</v>
      </c>
      <c r="C71" s="2">
        <v>0.16500000000000001</v>
      </c>
      <c r="D71" s="2">
        <v>1.4999999999999999E-2</v>
      </c>
      <c r="E71" s="2">
        <v>10.755000000000001</v>
      </c>
      <c r="F71" s="2">
        <v>4.6879999999999997</v>
      </c>
      <c r="G71" s="2">
        <v>0</v>
      </c>
      <c r="H71" s="2">
        <v>8.0000000000000002E-3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f t="shared" si="30"/>
        <v>15.631</v>
      </c>
      <c r="O71" s="1">
        <f t="shared" ref="O71:O79" si="31">E71+F71+G71+H71+I71</f>
        <v>15.451000000000001</v>
      </c>
      <c r="P71" s="1">
        <f>E71+F71+G71+H71+I71+J71</f>
        <v>15.451000000000001</v>
      </c>
      <c r="Q71" s="4">
        <f>L71+M71+B72</f>
        <v>0</v>
      </c>
      <c r="R71" s="1">
        <f>K71+L71+M71+B72</f>
        <v>0</v>
      </c>
      <c r="S71" s="1">
        <f t="shared" ref="S71:S79" si="32">L71+M71+B72+C72+D72</f>
        <v>0.12</v>
      </c>
    </row>
    <row r="72" spans="1:19" x14ac:dyDescent="0.15">
      <c r="A72" s="2" t="s">
        <v>32</v>
      </c>
      <c r="B72" s="2">
        <v>0</v>
      </c>
      <c r="C72" s="2">
        <v>0</v>
      </c>
      <c r="D72" s="2">
        <v>0.12</v>
      </c>
      <c r="E72" s="2">
        <v>0.12</v>
      </c>
      <c r="F72" s="2">
        <v>0</v>
      </c>
      <c r="G72" s="2">
        <v>3.7999999999999999E-2</v>
      </c>
      <c r="H72" s="2">
        <v>1.0649999999999999</v>
      </c>
      <c r="I72" s="2">
        <v>16.373000000000001</v>
      </c>
      <c r="J72" s="2">
        <v>7.4029999999999996</v>
      </c>
      <c r="K72" s="2">
        <v>0</v>
      </c>
      <c r="L72" s="2">
        <v>0</v>
      </c>
      <c r="M72" s="2">
        <v>2.625</v>
      </c>
      <c r="N72" s="2">
        <f t="shared" ref="N72:N77" si="33">SUM(B72:M72)</f>
        <v>27.744</v>
      </c>
      <c r="O72" s="1">
        <f t="shared" si="31"/>
        <v>17.596</v>
      </c>
      <c r="P72" s="1">
        <f t="shared" ref="P72:P80" si="34">E72+F72+G72+H72+I72+J72</f>
        <v>24.998999999999999</v>
      </c>
      <c r="Q72" s="4">
        <f t="shared" ref="Q72:Q77" si="35">L72+M72+B73</f>
        <v>12.691000000000001</v>
      </c>
      <c r="R72" s="1">
        <f t="shared" ref="R72:R78" si="36">K72+L72+M72+B73</f>
        <v>12.691000000000001</v>
      </c>
      <c r="S72" s="1">
        <f t="shared" si="32"/>
        <v>14.222000000000001</v>
      </c>
    </row>
    <row r="73" spans="1:19" x14ac:dyDescent="0.15">
      <c r="A73" s="2" t="s">
        <v>33</v>
      </c>
      <c r="B73" s="2">
        <v>10.066000000000001</v>
      </c>
      <c r="C73" s="2">
        <v>1.351</v>
      </c>
      <c r="D73" s="2">
        <v>0.18</v>
      </c>
      <c r="E73" s="2">
        <v>2.3E-2</v>
      </c>
      <c r="F73" s="2">
        <v>0.13500000000000001</v>
      </c>
      <c r="G73" s="2">
        <v>0.371</v>
      </c>
      <c r="H73" s="2">
        <v>3.1E-2</v>
      </c>
      <c r="I73" s="2">
        <v>3.383</v>
      </c>
      <c r="J73" s="2">
        <v>1.0999999999999999E-2</v>
      </c>
      <c r="K73" s="2">
        <v>0</v>
      </c>
      <c r="L73" s="2">
        <v>0</v>
      </c>
      <c r="M73" s="2">
        <v>0</v>
      </c>
      <c r="N73" s="2">
        <f t="shared" si="33"/>
        <v>15.551000000000002</v>
      </c>
      <c r="O73" s="1">
        <f t="shared" si="31"/>
        <v>3.9430000000000001</v>
      </c>
      <c r="P73" s="1">
        <f t="shared" si="34"/>
        <v>3.9540000000000002</v>
      </c>
      <c r="Q73" s="4">
        <f t="shared" si="35"/>
        <v>0</v>
      </c>
      <c r="R73" s="1">
        <f t="shared" si="36"/>
        <v>0</v>
      </c>
      <c r="S73" s="1">
        <f t="shared" si="32"/>
        <v>0</v>
      </c>
    </row>
    <row r="74" spans="1:19" x14ac:dyDescent="0.15">
      <c r="A74" s="2" t="s">
        <v>34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f t="shared" si="33"/>
        <v>0</v>
      </c>
      <c r="O74" s="1">
        <f t="shared" si="31"/>
        <v>0</v>
      </c>
      <c r="P74" s="1">
        <f t="shared" si="34"/>
        <v>0</v>
      </c>
      <c r="Q74" s="4">
        <f t="shared" si="35"/>
        <v>0</v>
      </c>
      <c r="R74" s="1">
        <f t="shared" si="36"/>
        <v>0</v>
      </c>
      <c r="S74" s="1">
        <f t="shared" si="32"/>
        <v>0</v>
      </c>
    </row>
    <row r="75" spans="1:19" x14ac:dyDescent="0.15">
      <c r="A75" s="2" t="s">
        <v>35</v>
      </c>
      <c r="B75" s="2">
        <v>0</v>
      </c>
      <c r="C75" s="2">
        <v>0</v>
      </c>
      <c r="D75" s="2">
        <v>0</v>
      </c>
      <c r="E75" s="2">
        <v>0</v>
      </c>
      <c r="F75" s="2">
        <v>5.2999999999999999E-2</v>
      </c>
      <c r="G75" s="2">
        <v>1.4999999999999999E-2</v>
      </c>
      <c r="H75" s="2">
        <v>0</v>
      </c>
      <c r="I75" s="2">
        <v>0</v>
      </c>
      <c r="J75" s="2">
        <v>0</v>
      </c>
      <c r="K75" s="2">
        <v>1.4999999999999999E-2</v>
      </c>
      <c r="L75" s="2">
        <v>0</v>
      </c>
      <c r="M75" s="2">
        <v>0</v>
      </c>
      <c r="N75" s="2">
        <f t="shared" si="33"/>
        <v>8.3000000000000004E-2</v>
      </c>
      <c r="O75" s="1">
        <f t="shared" si="31"/>
        <v>6.8000000000000005E-2</v>
      </c>
      <c r="P75" s="1">
        <f t="shared" si="34"/>
        <v>6.8000000000000005E-2</v>
      </c>
      <c r="Q75" s="4">
        <f t="shared" si="35"/>
        <v>0</v>
      </c>
      <c r="R75" s="1">
        <f t="shared" si="36"/>
        <v>1.4999999999999999E-2</v>
      </c>
      <c r="S75" s="1">
        <f t="shared" si="32"/>
        <v>1.151</v>
      </c>
    </row>
    <row r="76" spans="1:19" x14ac:dyDescent="0.15">
      <c r="A76" s="2" t="s">
        <v>37</v>
      </c>
      <c r="B76" s="2">
        <v>0</v>
      </c>
      <c r="C76" s="2">
        <v>0.497</v>
      </c>
      <c r="D76" s="2">
        <v>0.65400000000000003</v>
      </c>
      <c r="E76" s="2">
        <v>7.4999999999999997E-2</v>
      </c>
      <c r="F76" s="2">
        <v>0.12</v>
      </c>
      <c r="G76" s="2">
        <v>1.133</v>
      </c>
      <c r="H76" s="2">
        <v>8.0000000000000002E-3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f t="shared" si="33"/>
        <v>2.4870000000000001</v>
      </c>
      <c r="O76" s="1">
        <f t="shared" si="31"/>
        <v>1.3360000000000001</v>
      </c>
      <c r="P76" s="1">
        <f t="shared" si="34"/>
        <v>1.3360000000000001</v>
      </c>
      <c r="Q76" s="4">
        <f t="shared" si="35"/>
        <v>0</v>
      </c>
      <c r="R76" s="1">
        <f t="shared" si="36"/>
        <v>0</v>
      </c>
      <c r="S76" s="1">
        <f t="shared" si="32"/>
        <v>0.29299999999999998</v>
      </c>
    </row>
    <row r="77" spans="1:19" x14ac:dyDescent="0.15">
      <c r="A77" s="2" t="s">
        <v>39</v>
      </c>
      <c r="B77" s="2">
        <v>0</v>
      </c>
      <c r="C77" s="2">
        <v>0</v>
      </c>
      <c r="D77" s="2">
        <v>0.29299999999999998</v>
      </c>
      <c r="E77" s="2">
        <v>4.4999999999999998E-2</v>
      </c>
      <c r="F77" s="2">
        <v>4.4999999999999998E-2</v>
      </c>
      <c r="G77" s="2">
        <v>0.21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f t="shared" si="33"/>
        <v>0.59299999999999997</v>
      </c>
      <c r="O77" s="1">
        <f t="shared" si="31"/>
        <v>0.3</v>
      </c>
      <c r="P77" s="1">
        <f t="shared" si="34"/>
        <v>0.3</v>
      </c>
      <c r="Q77" s="4">
        <f t="shared" si="35"/>
        <v>4.8000000000000001E-2</v>
      </c>
      <c r="R77" s="1">
        <f t="shared" si="36"/>
        <v>4.8000000000000001E-2</v>
      </c>
      <c r="S77" s="1">
        <f t="shared" si="32"/>
        <v>8.6400000000000005E-2</v>
      </c>
    </row>
    <row r="78" spans="1:19" x14ac:dyDescent="0.15">
      <c r="A78" s="2" t="s">
        <v>40</v>
      </c>
      <c r="B78" s="2">
        <v>4.8000000000000001E-2</v>
      </c>
      <c r="C78" s="2">
        <v>3.2000000000000001E-2</v>
      </c>
      <c r="D78" s="2">
        <v>6.4000000000000003E-3</v>
      </c>
      <c r="E78" s="2">
        <v>1.6E-2</v>
      </c>
      <c r="F78" s="2">
        <v>9.6000000000000002E-2</v>
      </c>
      <c r="G78" s="2">
        <v>0</v>
      </c>
      <c r="H78" s="2">
        <v>4.8000000000000001E-2</v>
      </c>
      <c r="I78" s="2">
        <v>0.246</v>
      </c>
      <c r="J78" s="2">
        <v>0.14399999999999999</v>
      </c>
      <c r="K78" s="2">
        <v>0</v>
      </c>
      <c r="L78" s="2">
        <v>0</v>
      </c>
      <c r="M78" s="2">
        <v>0</v>
      </c>
      <c r="N78" s="2">
        <f t="shared" ref="N78:N88" si="37">SUM(B78:M78)</f>
        <v>0.63639999999999997</v>
      </c>
      <c r="O78" s="1">
        <f t="shared" si="31"/>
        <v>0.40600000000000003</v>
      </c>
      <c r="P78" s="1">
        <f t="shared" si="34"/>
        <v>0.55000000000000004</v>
      </c>
      <c r="Q78" s="4">
        <f t="shared" ref="Q78:Q83" si="38">L78+M78+B79</f>
        <v>6.0999999999999999E-2</v>
      </c>
      <c r="R78" s="1">
        <f t="shared" si="36"/>
        <v>6.0999999999999999E-2</v>
      </c>
      <c r="S78" s="1">
        <f t="shared" si="32"/>
        <v>0.13100000000000001</v>
      </c>
    </row>
    <row r="79" spans="1:19" x14ac:dyDescent="0.15">
      <c r="A79" s="2" t="s">
        <v>41</v>
      </c>
      <c r="B79" s="2">
        <v>6.0999999999999999E-2</v>
      </c>
      <c r="C79" s="2">
        <v>5.3999999999999999E-2</v>
      </c>
      <c r="D79" s="2">
        <v>1.6E-2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2.528</v>
      </c>
      <c r="L79" s="2">
        <v>0</v>
      </c>
      <c r="M79" s="2">
        <v>0</v>
      </c>
      <c r="N79" s="2">
        <f t="shared" si="37"/>
        <v>2.6589999999999998</v>
      </c>
      <c r="O79" s="1">
        <f t="shared" si="31"/>
        <v>0</v>
      </c>
      <c r="P79" s="1">
        <f t="shared" si="34"/>
        <v>0</v>
      </c>
      <c r="Q79" s="4">
        <f t="shared" si="38"/>
        <v>8.0000000000000002E-3</v>
      </c>
      <c r="R79" s="1">
        <f t="shared" ref="R79:R84" si="39">K79+L79+M79+B80</f>
        <v>2.536</v>
      </c>
      <c r="S79" s="1">
        <f t="shared" si="32"/>
        <v>0.192</v>
      </c>
    </row>
    <row r="80" spans="1:19" x14ac:dyDescent="0.15">
      <c r="A80" s="2" t="s">
        <v>45</v>
      </c>
      <c r="B80" s="2">
        <v>8.0000000000000002E-3</v>
      </c>
      <c r="C80" s="2">
        <v>8.7999999999999995E-2</v>
      </c>
      <c r="D80" s="2">
        <v>9.6000000000000002E-2</v>
      </c>
      <c r="E80" s="2">
        <v>0</v>
      </c>
      <c r="F80" s="2">
        <v>0</v>
      </c>
      <c r="G80" s="2">
        <v>0</v>
      </c>
      <c r="H80" s="2">
        <v>2.3410000000000002</v>
      </c>
      <c r="I80" s="2">
        <v>0.08</v>
      </c>
      <c r="J80" s="2">
        <v>0</v>
      </c>
      <c r="K80" s="2">
        <v>0</v>
      </c>
      <c r="L80" s="2">
        <v>0</v>
      </c>
      <c r="M80" s="2">
        <v>0</v>
      </c>
      <c r="N80" s="2">
        <f t="shared" si="37"/>
        <v>2.6130000000000004</v>
      </c>
      <c r="O80" s="1">
        <f t="shared" ref="O80:O87" si="40">E80+F80+G80+H80+I80</f>
        <v>2.4210000000000003</v>
      </c>
      <c r="P80" s="1">
        <f t="shared" si="34"/>
        <v>2.4210000000000003</v>
      </c>
      <c r="Q80" s="4">
        <f t="shared" si="38"/>
        <v>0</v>
      </c>
      <c r="R80" s="1">
        <f t="shared" si="39"/>
        <v>0</v>
      </c>
      <c r="S80" s="1">
        <f t="shared" ref="S80:S85" si="41">L80+M80+B81+C81+D81</f>
        <v>0</v>
      </c>
    </row>
    <row r="81" spans="1:23" x14ac:dyDescent="0.15">
      <c r="A81" s="2" t="s">
        <v>46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17.943999999999999</v>
      </c>
      <c r="I81" s="2">
        <v>3.488</v>
      </c>
      <c r="J81" s="2">
        <v>1.6E-2</v>
      </c>
      <c r="K81" s="2">
        <v>0</v>
      </c>
      <c r="L81" s="2">
        <v>0</v>
      </c>
      <c r="M81" s="2">
        <v>0</v>
      </c>
      <c r="N81" s="2">
        <f t="shared" si="37"/>
        <v>21.447999999999997</v>
      </c>
      <c r="O81" s="1">
        <f t="shared" si="40"/>
        <v>21.431999999999999</v>
      </c>
      <c r="P81" s="1">
        <f t="shared" ref="P81:P86" si="42">E81+F81+G81+H81+I81+J81</f>
        <v>21.447999999999997</v>
      </c>
      <c r="Q81" s="4">
        <f t="shared" si="38"/>
        <v>0</v>
      </c>
      <c r="R81" s="1">
        <f t="shared" si="39"/>
        <v>0</v>
      </c>
      <c r="S81" s="1">
        <f t="shared" si="41"/>
        <v>0</v>
      </c>
    </row>
    <row r="82" spans="1:23" x14ac:dyDescent="0.15">
      <c r="A82" s="2" t="s">
        <v>56</v>
      </c>
      <c r="B82" s="2">
        <v>0</v>
      </c>
      <c r="C82" s="2">
        <v>0</v>
      </c>
      <c r="D82" s="2">
        <v>0</v>
      </c>
      <c r="E82" s="2">
        <v>0</v>
      </c>
      <c r="F82" s="2">
        <v>1.6E-2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1.6E-2</v>
      </c>
      <c r="N82" s="2">
        <f t="shared" si="37"/>
        <v>3.2000000000000001E-2</v>
      </c>
      <c r="O82" s="1">
        <f t="shared" si="40"/>
        <v>1.6E-2</v>
      </c>
      <c r="P82" s="1">
        <f t="shared" si="42"/>
        <v>1.6E-2</v>
      </c>
      <c r="Q82" s="4">
        <f t="shared" si="38"/>
        <v>1.6E-2</v>
      </c>
      <c r="R82" s="1">
        <f t="shared" si="39"/>
        <v>1.6E-2</v>
      </c>
      <c r="S82" s="1">
        <f t="shared" si="41"/>
        <v>1.6E-2</v>
      </c>
    </row>
    <row r="83" spans="1:23" x14ac:dyDescent="0.15">
      <c r="A83" s="2" t="s">
        <v>92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5.0000000000000001E-4</v>
      </c>
      <c r="I83" s="2">
        <v>8.0000000000000002E-3</v>
      </c>
      <c r="J83" s="2">
        <v>0</v>
      </c>
      <c r="K83" s="2">
        <v>0</v>
      </c>
      <c r="L83" s="2">
        <v>0</v>
      </c>
      <c r="M83" s="2">
        <v>0</v>
      </c>
      <c r="N83" s="2">
        <f t="shared" si="37"/>
        <v>8.5000000000000006E-3</v>
      </c>
      <c r="O83" s="1">
        <f t="shared" si="40"/>
        <v>8.5000000000000006E-3</v>
      </c>
      <c r="P83" s="1">
        <f t="shared" si="42"/>
        <v>8.5000000000000006E-3</v>
      </c>
      <c r="Q83" s="4">
        <f t="shared" si="38"/>
        <v>0</v>
      </c>
      <c r="R83" s="1">
        <f t="shared" si="39"/>
        <v>0</v>
      </c>
      <c r="S83" s="1">
        <f t="shared" si="41"/>
        <v>0.14050000000000001</v>
      </c>
    </row>
    <row r="84" spans="1:23" ht="15" x14ac:dyDescent="0.15">
      <c r="A84" s="2" t="s">
        <v>103</v>
      </c>
      <c r="B84" s="2">
        <v>0</v>
      </c>
      <c r="C84" s="2">
        <v>0</v>
      </c>
      <c r="D84" s="2">
        <v>0.14050000000000001</v>
      </c>
      <c r="E84" s="2">
        <v>1.3621000000000001</v>
      </c>
      <c r="F84" s="2">
        <v>0</v>
      </c>
      <c r="G84" s="2">
        <v>1.6E-2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f t="shared" si="37"/>
        <v>1.5186000000000002</v>
      </c>
      <c r="O84" s="1">
        <f t="shared" si="40"/>
        <v>1.3781000000000001</v>
      </c>
      <c r="P84" s="1">
        <f t="shared" si="42"/>
        <v>1.3781000000000001</v>
      </c>
      <c r="Q84" s="4">
        <f t="shared" ref="Q84:Q89" si="43">L84+M84+B85</f>
        <v>0</v>
      </c>
      <c r="R84" s="1">
        <f t="shared" si="39"/>
        <v>0</v>
      </c>
      <c r="S84" s="1">
        <f t="shared" si="41"/>
        <v>0</v>
      </c>
      <c r="W84" s="117"/>
    </row>
    <row r="85" spans="1:23" x14ac:dyDescent="0.15">
      <c r="A85" s="2" t="s">
        <v>121</v>
      </c>
      <c r="B85" s="2">
        <v>0</v>
      </c>
      <c r="C85" s="2">
        <v>0</v>
      </c>
      <c r="D85" s="2">
        <v>0</v>
      </c>
      <c r="E85" s="2">
        <v>0</v>
      </c>
      <c r="F85" s="2">
        <v>1E-3</v>
      </c>
      <c r="G85" s="2">
        <v>0</v>
      </c>
      <c r="H85" s="2">
        <v>0</v>
      </c>
      <c r="I85" s="2">
        <v>0</v>
      </c>
      <c r="J85" s="2">
        <v>0</v>
      </c>
      <c r="K85" s="2">
        <v>6.4000000000000001E-2</v>
      </c>
      <c r="L85" s="2">
        <v>1.44E-2</v>
      </c>
      <c r="M85" s="2">
        <v>0</v>
      </c>
      <c r="N85" s="2">
        <f t="shared" si="37"/>
        <v>7.9399999999999998E-2</v>
      </c>
      <c r="O85" s="1">
        <f t="shared" si="40"/>
        <v>1E-3</v>
      </c>
      <c r="P85" s="1">
        <f t="shared" si="42"/>
        <v>1E-3</v>
      </c>
      <c r="Q85" s="4">
        <f t="shared" si="43"/>
        <v>1.44E-2</v>
      </c>
      <c r="R85" s="1">
        <f t="shared" ref="R85:R90" si="44">K85+L85+M85+B86</f>
        <v>7.8399999999999997E-2</v>
      </c>
      <c r="S85" s="1">
        <f t="shared" si="41"/>
        <v>1.44E-2</v>
      </c>
    </row>
    <row r="86" spans="1:23" x14ac:dyDescent="0.15">
      <c r="A86" s="2" t="s">
        <v>129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1.6E-2</v>
      </c>
      <c r="K86" s="2">
        <v>1.6E-2</v>
      </c>
      <c r="L86" s="2">
        <v>2.4</v>
      </c>
      <c r="M86" s="2">
        <v>1.6160000000000001</v>
      </c>
      <c r="N86" s="2">
        <f t="shared" si="37"/>
        <v>4.048</v>
      </c>
      <c r="O86" s="1">
        <f t="shared" si="40"/>
        <v>0</v>
      </c>
      <c r="P86" s="1">
        <f t="shared" si="42"/>
        <v>1.6E-2</v>
      </c>
      <c r="Q86" s="4">
        <f t="shared" si="43"/>
        <v>4.32</v>
      </c>
      <c r="R86" s="1">
        <f t="shared" si="44"/>
        <v>4.3360000000000003</v>
      </c>
      <c r="S86" s="1">
        <f>L86+M86+B87+C87+D87</f>
        <v>4.5440000000000005</v>
      </c>
    </row>
    <row r="87" spans="1:23" x14ac:dyDescent="0.15">
      <c r="A87" s="2" t="s">
        <v>136</v>
      </c>
      <c r="B87" s="2">
        <v>0.30399999999999999</v>
      </c>
      <c r="C87" s="2">
        <v>9.6000000000000002E-2</v>
      </c>
      <c r="D87" s="2">
        <v>0.128</v>
      </c>
      <c r="E87" s="2">
        <v>4.8000000000000001E-2</v>
      </c>
      <c r="F87" s="2">
        <v>0</v>
      </c>
      <c r="G87" s="2">
        <v>0.92800000000000005</v>
      </c>
      <c r="H87" s="2">
        <v>0</v>
      </c>
      <c r="I87" s="2">
        <v>1.6E-2</v>
      </c>
      <c r="J87" s="2">
        <v>0</v>
      </c>
      <c r="K87" s="2">
        <v>0</v>
      </c>
      <c r="L87" s="2">
        <v>0</v>
      </c>
      <c r="M87" s="2">
        <v>1.6E-2</v>
      </c>
      <c r="N87" s="2">
        <f t="shared" si="37"/>
        <v>1.536</v>
      </c>
      <c r="O87" s="1">
        <f t="shared" si="40"/>
        <v>0.9920000000000001</v>
      </c>
      <c r="P87" s="1">
        <f>E87+F87+G87+H87+I87+J87</f>
        <v>0.9920000000000001</v>
      </c>
      <c r="Q87" s="4">
        <f t="shared" si="43"/>
        <v>1.6E-2</v>
      </c>
      <c r="R87" s="1">
        <f t="shared" si="44"/>
        <v>1.6E-2</v>
      </c>
      <c r="S87" s="1">
        <f>L87+M87+B88+C88+D88</f>
        <v>7.0720000000000001</v>
      </c>
    </row>
    <row r="88" spans="1:23" x14ac:dyDescent="0.15">
      <c r="A88" s="2" t="s">
        <v>140</v>
      </c>
      <c r="B88" s="2">
        <v>0</v>
      </c>
      <c r="C88" s="2">
        <v>0.08</v>
      </c>
      <c r="D88" s="2">
        <v>6.976</v>
      </c>
      <c r="E88" s="2">
        <v>0</v>
      </c>
      <c r="F88" s="2">
        <v>0</v>
      </c>
      <c r="G88" s="2">
        <v>0</v>
      </c>
      <c r="H88" s="2">
        <v>0</v>
      </c>
      <c r="I88" s="2">
        <v>1.6E-2</v>
      </c>
      <c r="J88" s="2">
        <v>0</v>
      </c>
      <c r="K88" s="2">
        <v>0</v>
      </c>
      <c r="L88" s="2">
        <v>0</v>
      </c>
      <c r="M88" s="2">
        <v>0</v>
      </c>
      <c r="N88" s="2">
        <f t="shared" si="37"/>
        <v>7.0720000000000001</v>
      </c>
      <c r="O88" s="1">
        <f>E88+F88+G88+H88+I88</f>
        <v>1.6E-2</v>
      </c>
      <c r="P88" s="1">
        <f>E88+F88+G88+H88+I88+J88</f>
        <v>1.6E-2</v>
      </c>
      <c r="Q88" s="4">
        <f t="shared" si="43"/>
        <v>3.2000000000000001E-2</v>
      </c>
      <c r="R88" s="1">
        <f t="shared" si="44"/>
        <v>3.2000000000000001E-2</v>
      </c>
      <c r="S88" s="1">
        <f>L88+M88+B89+C89+D89</f>
        <v>0.08</v>
      </c>
    </row>
    <row r="89" spans="1:23" x14ac:dyDescent="0.15">
      <c r="A89" s="2" t="s">
        <v>143</v>
      </c>
      <c r="B89" s="2">
        <v>3.2000000000000001E-2</v>
      </c>
      <c r="C89" s="2">
        <v>4.8000000000000001E-2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3.2000000000000001E-2</v>
      </c>
      <c r="L89" s="2">
        <v>0.51200000000000001</v>
      </c>
      <c r="M89" s="2">
        <v>0</v>
      </c>
      <c r="N89" s="2">
        <f>SUM(B89:M89)</f>
        <v>0.624</v>
      </c>
      <c r="O89" s="1">
        <f>E89+F89+G89+H89+I89</f>
        <v>0</v>
      </c>
      <c r="P89" s="1">
        <f>E89+F89+G89+H89+I89+J89</f>
        <v>0</v>
      </c>
      <c r="Q89" s="4">
        <f t="shared" si="43"/>
        <v>0.51200000000000001</v>
      </c>
      <c r="R89" s="1">
        <f t="shared" si="44"/>
        <v>0.54400000000000004</v>
      </c>
      <c r="S89" s="1">
        <f>L89+M89+B90+C90+D90</f>
        <v>1.0720000000000001</v>
      </c>
    </row>
    <row r="90" spans="1:23" x14ac:dyDescent="0.15">
      <c r="A90" s="2" t="s">
        <v>149</v>
      </c>
      <c r="B90" s="2">
        <v>0</v>
      </c>
      <c r="C90" s="2">
        <v>0</v>
      </c>
      <c r="D90" s="2">
        <v>0.56000000000000005</v>
      </c>
      <c r="E90" s="2">
        <v>0</v>
      </c>
      <c r="F90" s="2">
        <v>0</v>
      </c>
      <c r="G90" s="2">
        <v>0.48</v>
      </c>
      <c r="H90" s="2">
        <v>0</v>
      </c>
      <c r="I90" s="2">
        <v>0</v>
      </c>
      <c r="J90" s="19">
        <v>0</v>
      </c>
      <c r="K90" s="19">
        <v>0</v>
      </c>
      <c r="L90" s="19">
        <v>0</v>
      </c>
      <c r="M90" s="19">
        <v>0.27200000000000002</v>
      </c>
      <c r="N90" s="2">
        <f>SUM(B90:M90)</f>
        <v>1.3120000000000001</v>
      </c>
      <c r="O90" s="1">
        <f>E90+F90+G90+H90+I90</f>
        <v>0.48</v>
      </c>
      <c r="P90" s="1">
        <f>E90+F90+G90+H90+I90+J90</f>
        <v>0.48</v>
      </c>
      <c r="Q90" s="24">
        <f>L90+M90+B91</f>
        <v>0.46400000000000002</v>
      </c>
      <c r="R90" s="20">
        <f t="shared" si="44"/>
        <v>0.46400000000000002</v>
      </c>
      <c r="S90" s="20">
        <f>L90+M90+B91+C91+D91</f>
        <v>0.46400000000000002</v>
      </c>
    </row>
    <row r="91" spans="1:23" x14ac:dyDescent="0.15">
      <c r="A91" s="2" t="s">
        <v>158</v>
      </c>
      <c r="B91" s="19">
        <v>0.192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>
        <f>SUM(B91:M91)</f>
        <v>0.192</v>
      </c>
      <c r="Q91" s="4"/>
    </row>
    <row r="92" spans="1:2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24">
        <f>AVERAGE(O86:O90)</f>
        <v>0.29759999999999998</v>
      </c>
      <c r="P92" s="24">
        <f>AVERAGE(P86:P90)</f>
        <v>0.30080000000000001</v>
      </c>
      <c r="Q92" s="24">
        <f>AVERAGE(Q85:Q89)</f>
        <v>0.97888000000000019</v>
      </c>
      <c r="R92" s="24">
        <f>AVERAGE(R85:R89)</f>
        <v>1.0012800000000002</v>
      </c>
      <c r="S92" s="24">
        <f>AVERAGE(S85:S89)</f>
        <v>2.5564800000000005</v>
      </c>
    </row>
    <row r="93" spans="1:23" x14ac:dyDescent="0.15">
      <c r="A93" s="1" t="s">
        <v>90</v>
      </c>
      <c r="F93" s="156" t="s">
        <v>52</v>
      </c>
      <c r="M93" s="1" t="s">
        <v>3</v>
      </c>
    </row>
    <row r="94" spans="1:23" x14ac:dyDescent="0.15">
      <c r="A94" s="2"/>
      <c r="B94" s="2" t="s">
        <v>4</v>
      </c>
      <c r="C94" s="2" t="s">
        <v>5</v>
      </c>
      <c r="D94" s="2" t="s">
        <v>6</v>
      </c>
      <c r="E94" s="2" t="s">
        <v>7</v>
      </c>
      <c r="F94" s="2" t="s">
        <v>8</v>
      </c>
      <c r="G94" s="2" t="s">
        <v>9</v>
      </c>
      <c r="H94" s="2" t="s">
        <v>10</v>
      </c>
      <c r="I94" s="2" t="s">
        <v>11</v>
      </c>
      <c r="J94" s="2" t="s">
        <v>12</v>
      </c>
      <c r="K94" s="2" t="s">
        <v>13</v>
      </c>
      <c r="L94" s="2" t="s">
        <v>14</v>
      </c>
      <c r="M94" s="2" t="s">
        <v>15</v>
      </c>
      <c r="N94" s="2" t="s">
        <v>16</v>
      </c>
    </row>
    <row r="95" spans="1:23" x14ac:dyDescent="0.15">
      <c r="A95" s="2" t="s">
        <v>17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>
        <f>SUM(B95:M95)</f>
        <v>0</v>
      </c>
    </row>
    <row r="96" spans="1:23" x14ac:dyDescent="0.15">
      <c r="A96" s="2" t="s">
        <v>18</v>
      </c>
      <c r="B96" s="2"/>
      <c r="C96" s="2">
        <v>4673.2</v>
      </c>
      <c r="D96" s="2">
        <v>11885.3</v>
      </c>
      <c r="E96" s="2">
        <v>6857.5</v>
      </c>
      <c r="F96" s="2">
        <v>4010.1</v>
      </c>
      <c r="G96" s="2">
        <v>2584.1999999999998</v>
      </c>
      <c r="H96" s="2">
        <v>3026.1</v>
      </c>
      <c r="I96" s="2">
        <v>4198.8</v>
      </c>
      <c r="J96" s="2">
        <v>3710.3</v>
      </c>
      <c r="K96" s="2">
        <v>982.7</v>
      </c>
      <c r="L96" s="2">
        <v>40.799999999999997</v>
      </c>
      <c r="M96" s="2">
        <v>973.5</v>
      </c>
      <c r="N96" s="2">
        <f t="shared" ref="N96:N107" si="45">SUM(B96:M96)</f>
        <v>42942.500000000007</v>
      </c>
    </row>
    <row r="97" spans="1:23" ht="15" x14ac:dyDescent="0.15">
      <c r="A97" s="2" t="s">
        <v>19</v>
      </c>
      <c r="B97" s="2">
        <v>501.2</v>
      </c>
      <c r="C97" s="2">
        <v>5598.8</v>
      </c>
      <c r="D97" s="2">
        <v>9326.5</v>
      </c>
      <c r="E97" s="2">
        <v>4573.1000000000004</v>
      </c>
      <c r="F97" s="2">
        <v>2115.3000000000002</v>
      </c>
      <c r="G97" s="2">
        <v>7057.2</v>
      </c>
      <c r="H97" s="2">
        <v>8930.2000000000007</v>
      </c>
      <c r="I97" s="2">
        <v>4871.6000000000004</v>
      </c>
      <c r="J97" s="2">
        <v>1735.8</v>
      </c>
      <c r="K97" s="2">
        <v>1540.9</v>
      </c>
      <c r="L97" s="2">
        <v>962.3</v>
      </c>
      <c r="M97" s="2">
        <v>1655.3</v>
      </c>
      <c r="N97" s="2">
        <f t="shared" si="45"/>
        <v>48868.200000000012</v>
      </c>
      <c r="W97" s="79"/>
    </row>
    <row r="98" spans="1:23" ht="15" x14ac:dyDescent="0.15">
      <c r="A98" s="2" t="s">
        <v>20</v>
      </c>
      <c r="B98" s="2">
        <v>753.8</v>
      </c>
      <c r="C98" s="2">
        <v>626.9</v>
      </c>
      <c r="D98" s="2">
        <v>1214.0999999999999</v>
      </c>
      <c r="E98" s="2">
        <v>1391.3</v>
      </c>
      <c r="F98" s="2">
        <v>628.1</v>
      </c>
      <c r="G98" s="2">
        <v>84</v>
      </c>
      <c r="H98" s="2">
        <v>779.4</v>
      </c>
      <c r="I98" s="2">
        <v>3446.8</v>
      </c>
      <c r="J98" s="2">
        <v>390.3</v>
      </c>
      <c r="K98" s="2">
        <v>274.3</v>
      </c>
      <c r="L98" s="2">
        <v>268.60000000000002</v>
      </c>
      <c r="M98" s="2">
        <v>678.4</v>
      </c>
      <c r="N98" s="2">
        <f t="shared" si="45"/>
        <v>10535.999999999998</v>
      </c>
      <c r="W98" s="79"/>
    </row>
    <row r="99" spans="1:23" ht="15" x14ac:dyDescent="0.15">
      <c r="A99" s="2" t="s">
        <v>21</v>
      </c>
      <c r="B99" s="2">
        <v>230</v>
      </c>
      <c r="C99" s="2">
        <v>37.299999999999997</v>
      </c>
      <c r="D99" s="2">
        <v>956.4</v>
      </c>
      <c r="E99" s="2">
        <v>1208.0999999999999</v>
      </c>
      <c r="F99" s="2">
        <v>182.5</v>
      </c>
      <c r="G99" s="2">
        <v>9.5</v>
      </c>
      <c r="H99" s="2">
        <v>471.8</v>
      </c>
      <c r="I99" s="2">
        <v>227.7</v>
      </c>
      <c r="J99" s="2">
        <v>129.30000000000001</v>
      </c>
      <c r="K99" s="2">
        <v>62.6</v>
      </c>
      <c r="L99" s="2">
        <v>19.399999999999999</v>
      </c>
      <c r="M99" s="2">
        <v>226.1</v>
      </c>
      <c r="N99" s="2">
        <f t="shared" si="45"/>
        <v>3760.7000000000003</v>
      </c>
      <c r="W99" s="79"/>
    </row>
    <row r="100" spans="1:23" ht="15" x14ac:dyDescent="0.15">
      <c r="A100" s="2" t="s">
        <v>22</v>
      </c>
      <c r="B100" s="2">
        <v>138.5</v>
      </c>
      <c r="C100" s="2">
        <v>100.3</v>
      </c>
      <c r="D100" s="2">
        <v>81</v>
      </c>
      <c r="E100" s="2">
        <v>5</v>
      </c>
      <c r="F100" s="2">
        <v>0.1</v>
      </c>
      <c r="G100" s="2">
        <v>0</v>
      </c>
      <c r="H100" s="2">
        <v>0</v>
      </c>
      <c r="I100" s="2">
        <v>0.1</v>
      </c>
      <c r="J100" s="2">
        <v>1</v>
      </c>
      <c r="K100" s="2">
        <v>0</v>
      </c>
      <c r="L100" s="2">
        <v>0</v>
      </c>
      <c r="M100" s="2">
        <v>0.1</v>
      </c>
      <c r="N100" s="2">
        <f t="shared" si="45"/>
        <v>326.10000000000008</v>
      </c>
      <c r="O100" s="4" t="s">
        <v>81</v>
      </c>
      <c r="P100" s="4" t="s">
        <v>82</v>
      </c>
      <c r="Q100" s="4" t="s">
        <v>83</v>
      </c>
      <c r="R100" s="4" t="s">
        <v>84</v>
      </c>
      <c r="S100" s="1" t="s">
        <v>85</v>
      </c>
      <c r="W100" s="79"/>
    </row>
    <row r="101" spans="1:23" ht="15" x14ac:dyDescent="0.15">
      <c r="A101" s="2" t="s">
        <v>23</v>
      </c>
      <c r="B101" s="2">
        <v>18.89</v>
      </c>
      <c r="C101" s="2">
        <v>0</v>
      </c>
      <c r="D101" s="2">
        <v>330.6</v>
      </c>
      <c r="E101" s="2">
        <v>312.39999999999998</v>
      </c>
      <c r="F101" s="2">
        <v>8.5</v>
      </c>
      <c r="G101" s="2">
        <v>29.5</v>
      </c>
      <c r="H101" s="2">
        <v>109.2</v>
      </c>
      <c r="I101" s="2">
        <v>11</v>
      </c>
      <c r="J101" s="2">
        <v>0.1</v>
      </c>
      <c r="K101" s="2">
        <v>0</v>
      </c>
      <c r="L101" s="2">
        <v>60.1</v>
      </c>
      <c r="M101" s="2">
        <v>76.400000000000006</v>
      </c>
      <c r="N101" s="2">
        <f t="shared" si="45"/>
        <v>956.69</v>
      </c>
      <c r="O101" s="72">
        <f t="shared" ref="O101:O111" si="46">E101+F101+G101+H101+I101</f>
        <v>470.59999999999997</v>
      </c>
      <c r="P101" s="72">
        <f>E101+F101+G101+H101+I101+J101</f>
        <v>470.7</v>
      </c>
      <c r="Q101" s="3">
        <f>L101+M101+B102</f>
        <v>141.30000000000001</v>
      </c>
      <c r="R101" s="1">
        <f>K101+L101+M101+B102</f>
        <v>141.30000000000001</v>
      </c>
      <c r="S101" s="1">
        <f t="shared" ref="S101:S109" si="47">L101+M101+B102+C102+D102</f>
        <v>172.45</v>
      </c>
      <c r="W101" s="79"/>
    </row>
    <row r="102" spans="1:23" ht="15" x14ac:dyDescent="0.15">
      <c r="A102" s="2" t="s">
        <v>32</v>
      </c>
      <c r="B102" s="2">
        <v>4.8</v>
      </c>
      <c r="C102" s="2">
        <v>3.32</v>
      </c>
      <c r="D102" s="2">
        <v>27.83</v>
      </c>
      <c r="E102" s="2">
        <v>76.23</v>
      </c>
      <c r="F102" s="2">
        <v>38.5</v>
      </c>
      <c r="G102" s="2">
        <v>204.25</v>
      </c>
      <c r="H102" s="2">
        <v>7.18</v>
      </c>
      <c r="I102" s="2">
        <v>4.8600000000000003</v>
      </c>
      <c r="J102" s="2">
        <v>0.13</v>
      </c>
      <c r="K102" s="2">
        <v>0</v>
      </c>
      <c r="L102" s="2">
        <v>0</v>
      </c>
      <c r="M102" s="2">
        <v>0.44</v>
      </c>
      <c r="N102" s="2">
        <f t="shared" si="45"/>
        <v>367.54</v>
      </c>
      <c r="O102" s="72">
        <f t="shared" si="46"/>
        <v>331.02000000000004</v>
      </c>
      <c r="P102" s="72">
        <f t="shared" ref="P102:P108" si="48">E102+F102+G102+H102+I102+J102</f>
        <v>331.15000000000003</v>
      </c>
      <c r="Q102" s="3">
        <f t="shared" ref="Q102:Q107" si="49">L102+M102+B103</f>
        <v>1.49</v>
      </c>
      <c r="R102" s="1">
        <f t="shared" ref="R102:R109" si="50">K102+L102+M102+B103</f>
        <v>1.49</v>
      </c>
      <c r="S102" s="1">
        <f t="shared" si="47"/>
        <v>3.39</v>
      </c>
      <c r="W102" s="79"/>
    </row>
    <row r="103" spans="1:23" ht="15" x14ac:dyDescent="0.15">
      <c r="A103" s="2" t="s">
        <v>33</v>
      </c>
      <c r="B103" s="2">
        <v>1.05</v>
      </c>
      <c r="C103" s="2">
        <v>0.8</v>
      </c>
      <c r="D103" s="2">
        <v>1.1000000000000001</v>
      </c>
      <c r="E103" s="2">
        <v>18.8</v>
      </c>
      <c r="F103" s="2">
        <v>0.6</v>
      </c>
      <c r="G103" s="2">
        <v>0</v>
      </c>
      <c r="H103" s="2">
        <v>1.5</v>
      </c>
      <c r="I103" s="2">
        <v>1.4</v>
      </c>
      <c r="J103" s="2">
        <v>0</v>
      </c>
      <c r="K103" s="2">
        <v>0</v>
      </c>
      <c r="L103" s="2">
        <v>2.1</v>
      </c>
      <c r="M103" s="2">
        <v>1.2</v>
      </c>
      <c r="N103" s="2">
        <f t="shared" si="45"/>
        <v>28.55</v>
      </c>
      <c r="O103" s="72">
        <f t="shared" si="46"/>
        <v>22.3</v>
      </c>
      <c r="P103" s="72">
        <f t="shared" si="48"/>
        <v>22.3</v>
      </c>
      <c r="Q103" s="3">
        <f t="shared" si="49"/>
        <v>5.67</v>
      </c>
      <c r="R103" s="1">
        <f t="shared" si="50"/>
        <v>5.67</v>
      </c>
      <c r="S103" s="1">
        <f t="shared" si="47"/>
        <v>18.16</v>
      </c>
      <c r="W103" s="79"/>
    </row>
    <row r="104" spans="1:23" ht="15" x14ac:dyDescent="0.15">
      <c r="A104" s="2" t="s">
        <v>34</v>
      </c>
      <c r="B104" s="2">
        <v>2.37</v>
      </c>
      <c r="C104" s="2">
        <v>6.63</v>
      </c>
      <c r="D104" s="2">
        <v>5.86</v>
      </c>
      <c r="E104" s="2">
        <v>8.3000000000000007</v>
      </c>
      <c r="F104" s="2">
        <v>2.4500000000000002</v>
      </c>
      <c r="G104" s="2">
        <v>0.02</v>
      </c>
      <c r="H104" s="2">
        <v>0.02</v>
      </c>
      <c r="I104" s="2">
        <v>0.09</v>
      </c>
      <c r="J104" s="2">
        <v>1.3</v>
      </c>
      <c r="K104" s="2">
        <v>0</v>
      </c>
      <c r="L104" s="2">
        <v>0</v>
      </c>
      <c r="M104" s="2">
        <v>0</v>
      </c>
      <c r="N104" s="2">
        <f t="shared" si="45"/>
        <v>27.04</v>
      </c>
      <c r="O104" s="72">
        <f t="shared" si="46"/>
        <v>10.879999999999999</v>
      </c>
      <c r="P104" s="72">
        <f t="shared" si="48"/>
        <v>12.18</v>
      </c>
      <c r="Q104" s="3">
        <f t="shared" si="49"/>
        <v>0.6</v>
      </c>
      <c r="R104" s="1">
        <f t="shared" si="50"/>
        <v>0.6</v>
      </c>
      <c r="S104" s="1">
        <f t="shared" si="47"/>
        <v>0.65400000000000003</v>
      </c>
      <c r="W104" s="79"/>
    </row>
    <row r="105" spans="1:23" ht="15" x14ac:dyDescent="0.15">
      <c r="A105" s="2" t="s">
        <v>35</v>
      </c>
      <c r="B105" s="2">
        <v>0.6</v>
      </c>
      <c r="C105" s="2">
        <v>5.3999999999999999E-2</v>
      </c>
      <c r="D105" s="2">
        <v>0</v>
      </c>
      <c r="E105" s="2">
        <v>0.09</v>
      </c>
      <c r="F105" s="2">
        <v>0.27200000000000002</v>
      </c>
      <c r="G105" s="2">
        <v>0</v>
      </c>
      <c r="H105" s="2">
        <v>0</v>
      </c>
      <c r="I105" s="2">
        <v>1.7999999999999999E-2</v>
      </c>
      <c r="J105" s="2">
        <v>7.4</v>
      </c>
      <c r="K105" s="2">
        <v>0</v>
      </c>
      <c r="L105" s="2">
        <v>0</v>
      </c>
      <c r="M105" s="2">
        <v>0</v>
      </c>
      <c r="N105" s="2">
        <f t="shared" si="45"/>
        <v>8.4340000000000011</v>
      </c>
      <c r="O105" s="72">
        <f t="shared" si="46"/>
        <v>0.38</v>
      </c>
      <c r="P105" s="72">
        <f t="shared" si="48"/>
        <v>7.78</v>
      </c>
      <c r="Q105" s="3">
        <f t="shared" si="49"/>
        <v>0</v>
      </c>
      <c r="R105" s="1">
        <f t="shared" si="50"/>
        <v>0</v>
      </c>
      <c r="S105" s="1">
        <f t="shared" si="47"/>
        <v>1.224</v>
      </c>
      <c r="W105" s="123"/>
    </row>
    <row r="106" spans="1:23" ht="15" x14ac:dyDescent="0.15">
      <c r="A106" s="2" t="s">
        <v>37</v>
      </c>
      <c r="B106" s="2">
        <v>0</v>
      </c>
      <c r="C106" s="2">
        <v>5.3999999999999999E-2</v>
      </c>
      <c r="D106" s="2">
        <v>1.17</v>
      </c>
      <c r="E106" s="2">
        <v>2.99</v>
      </c>
      <c r="F106" s="2">
        <v>1.17</v>
      </c>
      <c r="G106" s="2">
        <v>1.7999999999999999E-2</v>
      </c>
      <c r="H106" s="2">
        <v>0.216</v>
      </c>
      <c r="I106" s="2">
        <v>3.5999999999999997E-2</v>
      </c>
      <c r="J106" s="2">
        <v>18</v>
      </c>
      <c r="K106" s="2">
        <v>0</v>
      </c>
      <c r="L106" s="2">
        <v>0</v>
      </c>
      <c r="M106" s="2">
        <v>0</v>
      </c>
      <c r="N106" s="2">
        <f t="shared" si="45"/>
        <v>23.654</v>
      </c>
      <c r="O106" s="72">
        <f t="shared" si="46"/>
        <v>4.43</v>
      </c>
      <c r="P106" s="72">
        <f>E106+F106+G106+H106+I106+J106</f>
        <v>22.43</v>
      </c>
      <c r="Q106" s="3">
        <f t="shared" si="49"/>
        <v>0</v>
      </c>
      <c r="R106" s="1">
        <f t="shared" si="50"/>
        <v>0</v>
      </c>
      <c r="S106" s="1">
        <f t="shared" si="47"/>
        <v>0.14599999999999999</v>
      </c>
      <c r="W106" s="123"/>
    </row>
    <row r="107" spans="1:23" s="156" customFormat="1" ht="15" x14ac:dyDescent="0.15">
      <c r="A107" s="157" t="s">
        <v>39</v>
      </c>
      <c r="B107" s="157">
        <v>0</v>
      </c>
      <c r="C107" s="157">
        <v>0</v>
      </c>
      <c r="D107" s="157">
        <v>0.14599999999999999</v>
      </c>
      <c r="E107" s="157">
        <v>164.47800000000001</v>
      </c>
      <c r="F107" s="157">
        <v>0.09</v>
      </c>
      <c r="G107" s="157">
        <v>0.63</v>
      </c>
      <c r="H107" s="157">
        <v>44.384999999999998</v>
      </c>
      <c r="I107" s="157">
        <v>59.174999999999997</v>
      </c>
      <c r="J107" s="157">
        <v>9.6209999999999987</v>
      </c>
      <c r="K107" s="157">
        <v>0.70799999999999996</v>
      </c>
      <c r="L107" s="157">
        <v>3.5999999999999997E-2</v>
      </c>
      <c r="M107" s="157">
        <v>0</v>
      </c>
      <c r="N107" s="157">
        <f t="shared" si="45"/>
        <v>279.26900000000001</v>
      </c>
      <c r="O107" s="158">
        <f t="shared" si="46"/>
        <v>268.75799999999998</v>
      </c>
      <c r="P107" s="158">
        <f>E107+F107+G107+H107+I107+J107</f>
        <v>278.37899999999996</v>
      </c>
      <c r="Q107" s="155">
        <f t="shared" si="49"/>
        <v>3.5999999999999997E-2</v>
      </c>
      <c r="R107" s="156">
        <f t="shared" si="50"/>
        <v>0.74399999999999999</v>
      </c>
      <c r="S107" s="156">
        <f t="shared" si="47"/>
        <v>5.5999999999999994E-2</v>
      </c>
      <c r="W107" s="159"/>
    </row>
    <row r="108" spans="1:23" ht="15" x14ac:dyDescent="0.15">
      <c r="A108" s="2" t="s">
        <v>40</v>
      </c>
      <c r="B108" s="2">
        <v>0</v>
      </c>
      <c r="C108" s="2">
        <v>0</v>
      </c>
      <c r="D108" s="2">
        <v>0.02</v>
      </c>
      <c r="E108" s="2">
        <v>0.8</v>
      </c>
      <c r="F108" s="2">
        <v>0.25</v>
      </c>
      <c r="G108" s="2">
        <v>0.04</v>
      </c>
      <c r="H108" s="2">
        <v>0</v>
      </c>
      <c r="I108" s="2">
        <v>0.02</v>
      </c>
      <c r="J108" s="2">
        <v>5.3999999999999999E-2</v>
      </c>
      <c r="K108" s="2">
        <v>1.7999999999999999E-2</v>
      </c>
      <c r="L108" s="2">
        <v>0</v>
      </c>
      <c r="M108" s="2">
        <v>0</v>
      </c>
      <c r="N108" s="2">
        <f t="shared" ref="N108:N113" si="51">SUM(B108:M108)</f>
        <v>1.2020000000000002</v>
      </c>
      <c r="O108" s="72">
        <f t="shared" si="46"/>
        <v>1.1100000000000001</v>
      </c>
      <c r="P108" s="72">
        <f t="shared" si="48"/>
        <v>1.1640000000000001</v>
      </c>
      <c r="Q108" s="3">
        <f t="shared" ref="Q108:Q113" si="52">L108+M108+B109</f>
        <v>5.3999999999999999E-2</v>
      </c>
      <c r="R108" s="1">
        <f t="shared" si="50"/>
        <v>7.1999999999999995E-2</v>
      </c>
      <c r="S108" s="1">
        <f>L108+M108+B109+C109+D109</f>
        <v>58.926000000000002</v>
      </c>
      <c r="W108" s="123"/>
    </row>
    <row r="109" spans="1:23" ht="15" x14ac:dyDescent="0.15">
      <c r="A109" s="2" t="s">
        <v>41</v>
      </c>
      <c r="B109" s="2">
        <v>5.3999999999999999E-2</v>
      </c>
      <c r="C109" s="2">
        <v>1.7999999999999999E-2</v>
      </c>
      <c r="D109" s="2">
        <v>58.853999999999999</v>
      </c>
      <c r="E109" s="2">
        <v>0</v>
      </c>
      <c r="F109" s="2">
        <v>0</v>
      </c>
      <c r="G109" s="2">
        <v>0</v>
      </c>
      <c r="H109" s="2">
        <v>0.68400000000000005</v>
      </c>
      <c r="I109" s="2">
        <v>1.1160000000000001</v>
      </c>
      <c r="J109" s="2">
        <v>0.46800000000000003</v>
      </c>
      <c r="K109" s="2">
        <v>0</v>
      </c>
      <c r="L109" s="2">
        <v>0.108</v>
      </c>
      <c r="M109" s="2">
        <v>7.3999999999999996E-2</v>
      </c>
      <c r="N109" s="2">
        <f t="shared" si="51"/>
        <v>61.375999999999998</v>
      </c>
      <c r="O109" s="72">
        <f t="shared" si="46"/>
        <v>1.8000000000000003</v>
      </c>
      <c r="P109" s="72">
        <f t="shared" ref="P109:P114" si="53">E109+F109+G109+H109+I109+J109</f>
        <v>2.2680000000000002</v>
      </c>
      <c r="Q109" s="3">
        <f t="shared" si="52"/>
        <v>0.26600000000000001</v>
      </c>
      <c r="R109" s="1">
        <f t="shared" si="50"/>
        <v>0.26600000000000001</v>
      </c>
      <c r="S109" s="1">
        <f t="shared" si="47"/>
        <v>143.37199999999999</v>
      </c>
      <c r="W109" s="123"/>
    </row>
    <row r="110" spans="1:23" ht="15" x14ac:dyDescent="0.15">
      <c r="A110" s="2" t="s">
        <v>45</v>
      </c>
      <c r="B110" s="2">
        <v>8.3999999999999991E-2</v>
      </c>
      <c r="C110" s="2">
        <v>0</v>
      </c>
      <c r="D110" s="2">
        <v>143.10599999999999</v>
      </c>
      <c r="E110" s="2">
        <v>13.788</v>
      </c>
      <c r="F110" s="2">
        <v>47.286000000000001</v>
      </c>
      <c r="G110" s="2">
        <v>6.8760000000000003</v>
      </c>
      <c r="H110" s="2">
        <v>14.778</v>
      </c>
      <c r="I110" s="2">
        <v>70.245000000000005</v>
      </c>
      <c r="J110" s="2">
        <v>1.3680000000000001</v>
      </c>
      <c r="K110" s="2">
        <v>1.0980000000000001</v>
      </c>
      <c r="L110" s="2">
        <v>0.126</v>
      </c>
      <c r="M110" s="2">
        <v>20.7</v>
      </c>
      <c r="N110" s="2">
        <f t="shared" si="51"/>
        <v>319.45499999999998</v>
      </c>
      <c r="O110" s="72">
        <f t="shared" si="46"/>
        <v>152.97300000000001</v>
      </c>
      <c r="P110" s="72">
        <f t="shared" si="53"/>
        <v>154.34100000000001</v>
      </c>
      <c r="Q110" s="3">
        <f t="shared" si="52"/>
        <v>122.52600000000001</v>
      </c>
      <c r="R110" s="1">
        <f t="shared" ref="R110:R115" si="54">K110+L110+M110+B111</f>
        <v>123.624</v>
      </c>
      <c r="S110" s="1">
        <f t="shared" ref="S110:S119" si="55">L110+M110+B111+C111+D111</f>
        <v>186.35400000000001</v>
      </c>
      <c r="W110" s="123"/>
    </row>
    <row r="111" spans="1:23" ht="15" x14ac:dyDescent="0.15">
      <c r="A111" s="2" t="s">
        <v>46</v>
      </c>
      <c r="B111" s="2">
        <v>101.7</v>
      </c>
      <c r="C111" s="2">
        <v>0.16200000000000001</v>
      </c>
      <c r="D111" s="2">
        <v>63.665999999999997</v>
      </c>
      <c r="E111" s="2">
        <v>45.725999999999999</v>
      </c>
      <c r="F111" s="2">
        <v>8.4089999999999989</v>
      </c>
      <c r="G111" s="2">
        <v>7.4399999999999995</v>
      </c>
      <c r="H111" s="2">
        <v>328.95299999999997</v>
      </c>
      <c r="I111" s="2">
        <v>356.86799999999999</v>
      </c>
      <c r="J111" s="2">
        <v>20.904</v>
      </c>
      <c r="K111" s="2">
        <v>1.02</v>
      </c>
      <c r="L111" s="2">
        <v>0.54</v>
      </c>
      <c r="M111" s="2">
        <v>3.5999999999999997E-2</v>
      </c>
      <c r="N111" s="2">
        <f t="shared" si="51"/>
        <v>935.42399999999986</v>
      </c>
      <c r="O111" s="72">
        <f t="shared" si="46"/>
        <v>747.39599999999996</v>
      </c>
      <c r="P111" s="72">
        <f t="shared" si="53"/>
        <v>768.3</v>
      </c>
      <c r="Q111" s="3">
        <f t="shared" si="52"/>
        <v>0.57600000000000007</v>
      </c>
      <c r="R111" s="1">
        <f t="shared" si="54"/>
        <v>1.5960000000000001</v>
      </c>
      <c r="S111" s="1">
        <f t="shared" si="55"/>
        <v>0.7380000000000001</v>
      </c>
      <c r="W111" s="123"/>
    </row>
    <row r="112" spans="1:23" ht="15" x14ac:dyDescent="0.15">
      <c r="A112" s="2" t="s">
        <v>56</v>
      </c>
      <c r="B112" s="2">
        <v>0</v>
      </c>
      <c r="C112" s="2">
        <v>0.16200000000000001</v>
      </c>
      <c r="D112" s="2">
        <v>0</v>
      </c>
      <c r="E112" s="2">
        <v>0</v>
      </c>
      <c r="F112" s="2">
        <v>0</v>
      </c>
      <c r="G112" s="2">
        <v>3.5999999999999997E-2</v>
      </c>
      <c r="H112" s="2">
        <v>0</v>
      </c>
      <c r="I112" s="2">
        <v>0</v>
      </c>
      <c r="J112" s="2">
        <v>108.91800000000001</v>
      </c>
      <c r="K112" s="2">
        <v>16.605</v>
      </c>
      <c r="L112" s="2">
        <v>0.23400000000000001</v>
      </c>
      <c r="M112" s="2">
        <v>0.14399999999999999</v>
      </c>
      <c r="N112" s="2">
        <f t="shared" si="51"/>
        <v>126.099</v>
      </c>
      <c r="O112" s="72">
        <f t="shared" ref="O112:O119" si="56">E112+F112+G112+H112+I112</f>
        <v>3.5999999999999997E-2</v>
      </c>
      <c r="P112" s="72">
        <f t="shared" si="53"/>
        <v>108.95400000000001</v>
      </c>
      <c r="Q112" s="3">
        <f t="shared" si="52"/>
        <v>0.39600000000000002</v>
      </c>
      <c r="R112" s="1">
        <f t="shared" si="54"/>
        <v>17.001000000000001</v>
      </c>
      <c r="S112" s="1">
        <f t="shared" si="55"/>
        <v>85.524000000000001</v>
      </c>
      <c r="W112" s="123"/>
    </row>
    <row r="113" spans="1:23" ht="15" x14ac:dyDescent="0.15">
      <c r="A113" s="2" t="s">
        <v>92</v>
      </c>
      <c r="B113" s="2">
        <v>1.7999999999999999E-2</v>
      </c>
      <c r="C113" s="2">
        <v>0.375</v>
      </c>
      <c r="D113" s="2">
        <v>84.753</v>
      </c>
      <c r="E113" s="2">
        <v>16.122</v>
      </c>
      <c r="F113" s="2">
        <v>17.459</v>
      </c>
      <c r="G113" s="2">
        <v>67.817999999999998</v>
      </c>
      <c r="H113" s="2">
        <v>3.1079999999999997</v>
      </c>
      <c r="I113" s="2">
        <v>39.137999999999998</v>
      </c>
      <c r="J113" s="2">
        <v>61.65</v>
      </c>
      <c r="K113" s="2">
        <v>3.5999999999999997E-2</v>
      </c>
      <c r="L113" s="2">
        <v>3.5999999999999997E-2</v>
      </c>
      <c r="M113" s="2">
        <v>0.27</v>
      </c>
      <c r="N113" s="2">
        <f t="shared" si="51"/>
        <v>290.78300000000002</v>
      </c>
      <c r="O113" s="72">
        <f t="shared" si="56"/>
        <v>143.64500000000001</v>
      </c>
      <c r="P113" s="72">
        <f t="shared" si="53"/>
        <v>205.29500000000002</v>
      </c>
      <c r="Q113" s="3">
        <f t="shared" si="52"/>
        <v>112.29599999999999</v>
      </c>
      <c r="R113" s="1">
        <f t="shared" si="54"/>
        <v>112.33199999999999</v>
      </c>
      <c r="S113" s="1">
        <f t="shared" si="55"/>
        <v>155.43899999999999</v>
      </c>
      <c r="W113" s="123"/>
    </row>
    <row r="114" spans="1:23" ht="15" x14ac:dyDescent="0.15">
      <c r="A114" s="2" t="s">
        <v>103</v>
      </c>
      <c r="B114" s="2">
        <v>111.99</v>
      </c>
      <c r="C114" s="2">
        <v>13.122</v>
      </c>
      <c r="D114" s="2">
        <v>30.020999999999997</v>
      </c>
      <c r="E114" s="2">
        <v>188.601</v>
      </c>
      <c r="F114" s="2">
        <f>1883.394+176.55+0.6</f>
        <v>2060.5439999999999</v>
      </c>
      <c r="G114" s="2">
        <f>333.938+39.75+1.47</f>
        <v>375.15800000000002</v>
      </c>
      <c r="H114" s="2">
        <v>1.44</v>
      </c>
      <c r="I114" s="2">
        <v>3.762</v>
      </c>
      <c r="J114" s="2">
        <v>31.463999999999999</v>
      </c>
      <c r="K114" s="2">
        <v>4.32</v>
      </c>
      <c r="L114" s="2">
        <v>1.242</v>
      </c>
      <c r="M114" s="2">
        <v>21.573</v>
      </c>
      <c r="N114" s="2">
        <f t="shared" ref="N114:N121" si="57">SUM(B114:M114)</f>
        <v>2843.2370000000001</v>
      </c>
      <c r="O114" s="72">
        <f t="shared" si="56"/>
        <v>2629.5050000000001</v>
      </c>
      <c r="P114" s="72">
        <f t="shared" si="53"/>
        <v>2660.9690000000001</v>
      </c>
      <c r="Q114" s="3">
        <f t="shared" ref="Q114:Q119" si="58">L114+M114+B115</f>
        <v>52.605000000000004</v>
      </c>
      <c r="R114" s="1">
        <f t="shared" si="54"/>
        <v>56.924999999999997</v>
      </c>
      <c r="S114" s="1">
        <f t="shared" si="55"/>
        <v>173.80200000000002</v>
      </c>
      <c r="W114" s="123"/>
    </row>
    <row r="115" spans="1:23" ht="15" x14ac:dyDescent="0.15">
      <c r="A115" s="2" t="s">
        <v>121</v>
      </c>
      <c r="B115" s="2">
        <v>29.79</v>
      </c>
      <c r="C115" s="2">
        <f>24.93</f>
        <v>24.93</v>
      </c>
      <c r="D115" s="2">
        <f>19.242+77.025</f>
        <v>96.26700000000001</v>
      </c>
      <c r="E115" s="2">
        <f>0.27+184.05</f>
        <v>184.32000000000002</v>
      </c>
      <c r="F115" s="2">
        <f>0.126+0.75</f>
        <v>0.876</v>
      </c>
      <c r="G115" s="2">
        <f>21.762+71.28</f>
        <v>93.042000000000002</v>
      </c>
      <c r="H115" s="2">
        <f>20.178+359.31+1.65</f>
        <v>381.13799999999998</v>
      </c>
      <c r="I115" s="2">
        <f>4.374+210.225+0.105+12.105</f>
        <v>226.80899999999997</v>
      </c>
      <c r="J115" s="2">
        <v>2.016</v>
      </c>
      <c r="K115" s="2">
        <v>7.6079999999999997</v>
      </c>
      <c r="L115" s="2">
        <v>32.538000000000004</v>
      </c>
      <c r="M115" s="2">
        <v>0.81</v>
      </c>
      <c r="N115" s="2">
        <f t="shared" si="57"/>
        <v>1080.144</v>
      </c>
      <c r="O115" s="72">
        <f t="shared" si="56"/>
        <v>886.18499999999995</v>
      </c>
      <c r="P115" s="72">
        <f t="shared" ref="P115:P120" si="59">E115+F115+G115+H115+I115+J115</f>
        <v>888.20099999999991</v>
      </c>
      <c r="Q115" s="3">
        <f t="shared" si="58"/>
        <v>72.647999999999996</v>
      </c>
      <c r="R115" s="1">
        <f t="shared" si="54"/>
        <v>80.256</v>
      </c>
      <c r="S115" s="1">
        <f t="shared" si="55"/>
        <v>143.76900000000001</v>
      </c>
      <c r="W115" s="123"/>
    </row>
    <row r="116" spans="1:23" ht="15" x14ac:dyDescent="0.15">
      <c r="A116" s="2" t="s">
        <v>129</v>
      </c>
      <c r="B116" s="2">
        <v>39.299999999999997</v>
      </c>
      <c r="C116" s="2">
        <v>18.344999999999999</v>
      </c>
      <c r="D116" s="2">
        <v>52.775999999999996</v>
      </c>
      <c r="E116" s="2">
        <v>26.112000000000002</v>
      </c>
      <c r="F116" s="2">
        <v>3.2699999999999996</v>
      </c>
      <c r="G116" s="2">
        <v>30.492000000000001</v>
      </c>
      <c r="H116" s="2">
        <v>77.795999999999992</v>
      </c>
      <c r="I116" s="2">
        <v>36.893999999999998</v>
      </c>
      <c r="J116" s="2">
        <v>630.50400000000002</v>
      </c>
      <c r="K116" s="2">
        <v>104.07</v>
      </c>
      <c r="L116" s="2">
        <v>1.4100000000000001</v>
      </c>
      <c r="M116" s="2">
        <v>47.357999999999997</v>
      </c>
      <c r="N116" s="2">
        <f t="shared" si="57"/>
        <v>1068.327</v>
      </c>
      <c r="O116" s="72">
        <f t="shared" si="56"/>
        <v>174.56399999999999</v>
      </c>
      <c r="P116" s="72">
        <f t="shared" si="59"/>
        <v>805.06799999999998</v>
      </c>
      <c r="Q116" s="3">
        <f t="shared" si="58"/>
        <v>855.654</v>
      </c>
      <c r="R116" s="1">
        <f>K116+L116+M116+B117</f>
        <v>959.72399999999993</v>
      </c>
      <c r="S116" s="1">
        <f t="shared" si="55"/>
        <v>1180.68</v>
      </c>
      <c r="W116" s="125"/>
    </row>
    <row r="117" spans="1:23" ht="15" x14ac:dyDescent="0.15">
      <c r="A117" s="2" t="s">
        <v>136</v>
      </c>
      <c r="B117" s="2">
        <v>806.88599999999997</v>
      </c>
      <c r="C117" s="2">
        <v>185.73</v>
      </c>
      <c r="D117" s="2">
        <v>139.29599999999999</v>
      </c>
      <c r="E117" s="2">
        <v>37.44</v>
      </c>
      <c r="F117" s="2">
        <v>3.3519999999999999</v>
      </c>
      <c r="G117" s="2">
        <v>3.4020000000000001</v>
      </c>
      <c r="H117" s="2">
        <v>1.569</v>
      </c>
      <c r="I117" s="2">
        <v>7.6380000000000008</v>
      </c>
      <c r="J117" s="2">
        <v>41.417999999999999</v>
      </c>
      <c r="K117" s="2">
        <v>205.14599999999999</v>
      </c>
      <c r="L117" s="2">
        <v>126.21599999999999</v>
      </c>
      <c r="M117" s="2">
        <v>0.16200000000000001</v>
      </c>
      <c r="N117" s="2">
        <f t="shared" si="57"/>
        <v>1558.2549999999999</v>
      </c>
      <c r="O117" s="72">
        <f t="shared" si="56"/>
        <v>53.400999999999996</v>
      </c>
      <c r="P117" s="72">
        <f t="shared" si="59"/>
        <v>94.818999999999988</v>
      </c>
      <c r="Q117" s="3">
        <f t="shared" si="58"/>
        <v>224.298</v>
      </c>
      <c r="R117" s="1">
        <f>K117+L117+M117+B118</f>
        <v>429.44399999999996</v>
      </c>
      <c r="S117" s="1">
        <f t="shared" si="55"/>
        <v>390.81599999999997</v>
      </c>
      <c r="W117" s="125"/>
    </row>
    <row r="118" spans="1:23" ht="15" x14ac:dyDescent="0.15">
      <c r="A118" s="2" t="s">
        <v>140</v>
      </c>
      <c r="B118" s="2">
        <v>97.92</v>
      </c>
      <c r="C118" s="2">
        <v>60.21</v>
      </c>
      <c r="D118" s="2">
        <v>106.30799999999999</v>
      </c>
      <c r="E118" s="2">
        <v>34.896000000000001</v>
      </c>
      <c r="F118" s="2">
        <v>71.718000000000004</v>
      </c>
      <c r="G118" s="2">
        <v>0.126</v>
      </c>
      <c r="H118" s="2">
        <v>0.108</v>
      </c>
      <c r="I118" s="2">
        <v>2.694</v>
      </c>
      <c r="J118" s="2">
        <v>0.216</v>
      </c>
      <c r="K118" s="2">
        <v>163.428</v>
      </c>
      <c r="L118" s="2">
        <v>75.438000000000002</v>
      </c>
      <c r="M118" s="2">
        <v>111.33</v>
      </c>
      <c r="N118" s="2">
        <f t="shared" si="57"/>
        <v>724.39200000000005</v>
      </c>
      <c r="O118" s="72">
        <f t="shared" si="56"/>
        <v>109.54200000000002</v>
      </c>
      <c r="P118" s="72">
        <f t="shared" si="59"/>
        <v>109.75800000000001</v>
      </c>
      <c r="Q118" s="3">
        <f t="shared" si="58"/>
        <v>256.89</v>
      </c>
      <c r="R118" s="1">
        <f>K118+L118+M118+B119</f>
        <v>420.31799999999998</v>
      </c>
      <c r="S118" s="1">
        <f t="shared" si="55"/>
        <v>312.63900000000001</v>
      </c>
      <c r="W118" s="125"/>
    </row>
    <row r="119" spans="1:23" ht="15" x14ac:dyDescent="0.15">
      <c r="A119" s="2" t="s">
        <v>143</v>
      </c>
      <c r="B119" s="2">
        <v>70.122</v>
      </c>
      <c r="C119" s="2">
        <v>1.0469999999999999</v>
      </c>
      <c r="D119" s="2">
        <v>54.701999999999998</v>
      </c>
      <c r="E119" s="2">
        <v>0.88200000000000001</v>
      </c>
      <c r="F119" s="2">
        <v>88.373999999999995</v>
      </c>
      <c r="G119" s="2">
        <v>265.69299999999998</v>
      </c>
      <c r="H119" s="2">
        <v>379.11</v>
      </c>
      <c r="I119" s="2">
        <v>1706.6280000000002</v>
      </c>
      <c r="J119" s="2">
        <v>54.786000000000001</v>
      </c>
      <c r="K119" s="2">
        <v>3329.0800000000004</v>
      </c>
      <c r="L119" s="2">
        <v>1317.5940000000001</v>
      </c>
      <c r="M119" s="2">
        <v>12.263999999999999</v>
      </c>
      <c r="N119" s="2">
        <f t="shared" si="57"/>
        <v>7280.2820000000011</v>
      </c>
      <c r="O119" s="72">
        <f t="shared" si="56"/>
        <v>2440.6869999999999</v>
      </c>
      <c r="P119" s="72">
        <f t="shared" si="59"/>
        <v>2495.473</v>
      </c>
      <c r="Q119" s="3">
        <f t="shared" si="58"/>
        <v>1332.432</v>
      </c>
      <c r="R119" s="1">
        <f>K119+L119+M119+B120</f>
        <v>4661.5120000000006</v>
      </c>
      <c r="S119" s="1">
        <f t="shared" si="55"/>
        <v>2635.3620000000001</v>
      </c>
      <c r="W119" s="125"/>
    </row>
    <row r="120" spans="1:23" ht="15" x14ac:dyDescent="0.15">
      <c r="A120" s="2" t="s">
        <v>149</v>
      </c>
      <c r="B120" s="2">
        <v>2.5739999999999998</v>
      </c>
      <c r="C120" s="2">
        <v>9.1620000000000008</v>
      </c>
      <c r="D120" s="2">
        <v>1293.768</v>
      </c>
      <c r="E120" s="2">
        <v>1144.308</v>
      </c>
      <c r="F120" s="2">
        <v>2.25</v>
      </c>
      <c r="G120" s="2">
        <v>0.52200000000000002</v>
      </c>
      <c r="H120" s="2">
        <v>25.907999999999998</v>
      </c>
      <c r="I120" s="2">
        <v>456.46800000000002</v>
      </c>
      <c r="J120" s="19">
        <v>191.38</v>
      </c>
      <c r="K120" s="19">
        <v>53.055</v>
      </c>
      <c r="L120" s="19">
        <v>0.23400000000000001</v>
      </c>
      <c r="M120" s="19">
        <v>3.3479999999999999</v>
      </c>
      <c r="N120" s="2">
        <f>SUM(B120:M120)</f>
        <v>3182.9769999999994</v>
      </c>
      <c r="O120" s="72">
        <f>E120+F120+G120+H120+I120</f>
        <v>1629.4559999999999</v>
      </c>
      <c r="P120" s="72">
        <f t="shared" si="59"/>
        <v>1820.8359999999998</v>
      </c>
      <c r="Q120" s="154">
        <f>L120+M120+B121</f>
        <v>5.0039999999999996</v>
      </c>
      <c r="R120" s="20">
        <f>K120+L120+M120+B121</f>
        <v>58.058999999999997</v>
      </c>
      <c r="S120" s="20">
        <f>L120+M120+B121+C121+D121</f>
        <v>5.0039999999999996</v>
      </c>
      <c r="W120" s="125"/>
    </row>
    <row r="121" spans="1:23" ht="15" x14ac:dyDescent="0.15">
      <c r="A121" s="2" t="s">
        <v>158</v>
      </c>
      <c r="B121" s="19">
        <v>1.4219999999999999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>
        <f t="shared" si="57"/>
        <v>1.4219999999999999</v>
      </c>
      <c r="O121" s="160"/>
      <c r="P121" s="160"/>
      <c r="Q121" s="3"/>
      <c r="W121" s="125"/>
    </row>
    <row r="122" spans="1:23" ht="15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24">
        <f>AVERAGE(O116:O120)</f>
        <v>881.53</v>
      </c>
      <c r="P122" s="24">
        <f>AVERAGE(P116:P120)</f>
        <v>1065.1907999999999</v>
      </c>
      <c r="Q122" s="24">
        <f>AVERAGE(Q115:Q119)</f>
        <v>548.38439999999991</v>
      </c>
      <c r="R122" s="24">
        <f>AVERAGE(R115:R119)</f>
        <v>1310.2508000000003</v>
      </c>
      <c r="S122" s="24">
        <f>AVERAGE(S115:S119)</f>
        <v>932.65319999999997</v>
      </c>
      <c r="W122" s="123"/>
    </row>
    <row r="123" spans="1:23" ht="15" x14ac:dyDescent="0.15">
      <c r="A123" s="1" t="s">
        <v>27</v>
      </c>
      <c r="C123" s="1" t="s">
        <v>47</v>
      </c>
      <c r="E123" s="1" t="s">
        <v>100</v>
      </c>
      <c r="M123" s="1" t="s">
        <v>3</v>
      </c>
      <c r="W123" s="123"/>
    </row>
    <row r="124" spans="1:23" x14ac:dyDescent="0.15">
      <c r="A124" s="6"/>
      <c r="B124" s="6" t="s">
        <v>4</v>
      </c>
      <c r="C124" s="6" t="s">
        <v>5</v>
      </c>
      <c r="D124" s="6" t="s">
        <v>6</v>
      </c>
      <c r="E124" s="6" t="s">
        <v>7</v>
      </c>
      <c r="F124" s="6" t="s">
        <v>8</v>
      </c>
      <c r="G124" s="6" t="s">
        <v>9</v>
      </c>
      <c r="H124" s="6" t="s">
        <v>10</v>
      </c>
      <c r="I124" s="6" t="s">
        <v>11</v>
      </c>
      <c r="J124" s="6" t="s">
        <v>12</v>
      </c>
      <c r="K124" s="6" t="s">
        <v>13</v>
      </c>
      <c r="L124" s="6" t="s">
        <v>14</v>
      </c>
      <c r="M124" s="6" t="s">
        <v>15</v>
      </c>
      <c r="N124" s="6" t="s">
        <v>16</v>
      </c>
    </row>
    <row r="125" spans="1:23" x14ac:dyDescent="0.15">
      <c r="A125" s="6" t="s">
        <v>17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>
        <f t="shared" ref="N125:N136" si="60">SUM(B125:M125)</f>
        <v>0</v>
      </c>
    </row>
    <row r="126" spans="1:23" x14ac:dyDescent="0.15">
      <c r="A126" s="6" t="s">
        <v>18</v>
      </c>
      <c r="B126" s="6">
        <v>1576</v>
      </c>
      <c r="C126" s="6">
        <v>3771.6</v>
      </c>
      <c r="D126" s="6">
        <v>5671.8</v>
      </c>
      <c r="E126" s="6">
        <v>1591.4</v>
      </c>
      <c r="F126" s="6">
        <v>1740.7</v>
      </c>
      <c r="G126" s="6">
        <v>101</v>
      </c>
      <c r="H126" s="6">
        <v>0.1</v>
      </c>
      <c r="I126" s="6">
        <v>5</v>
      </c>
      <c r="J126" s="6">
        <v>308.7</v>
      </c>
      <c r="K126" s="6">
        <v>0.5</v>
      </c>
      <c r="L126" s="6">
        <v>254.6</v>
      </c>
      <c r="M126" s="6">
        <v>36.1</v>
      </c>
      <c r="N126" s="6">
        <f t="shared" si="60"/>
        <v>15057.500000000004</v>
      </c>
    </row>
    <row r="127" spans="1:23" x14ac:dyDescent="0.15">
      <c r="A127" s="6" t="s">
        <v>19</v>
      </c>
      <c r="B127" s="6">
        <v>790.1</v>
      </c>
      <c r="C127" s="6">
        <v>1293.7</v>
      </c>
      <c r="D127" s="6">
        <v>1996.5</v>
      </c>
      <c r="E127" s="6">
        <v>1024.4000000000001</v>
      </c>
      <c r="F127" s="6">
        <v>1281.7</v>
      </c>
      <c r="G127" s="6">
        <v>371.4</v>
      </c>
      <c r="H127" s="6">
        <v>204.5</v>
      </c>
      <c r="I127" s="6">
        <v>46.3</v>
      </c>
      <c r="J127" s="6">
        <v>0</v>
      </c>
      <c r="K127" s="6">
        <v>0</v>
      </c>
      <c r="L127" s="6">
        <v>32.700000000000003</v>
      </c>
      <c r="M127" s="6">
        <v>1.3</v>
      </c>
      <c r="N127" s="6">
        <f t="shared" si="60"/>
        <v>7042.6</v>
      </c>
    </row>
    <row r="128" spans="1:23" x14ac:dyDescent="0.15">
      <c r="A128" s="6" t="s">
        <v>20</v>
      </c>
      <c r="B128" s="6">
        <v>6.1</v>
      </c>
      <c r="C128" s="6">
        <v>1423.4</v>
      </c>
      <c r="D128" s="6">
        <v>2208.3000000000002</v>
      </c>
      <c r="E128" s="6">
        <v>314.39999999999998</v>
      </c>
      <c r="F128" s="6">
        <v>101.7</v>
      </c>
      <c r="G128" s="6">
        <v>291.2</v>
      </c>
      <c r="H128" s="6">
        <v>895.4</v>
      </c>
      <c r="I128" s="6">
        <v>448.9</v>
      </c>
      <c r="J128" s="6">
        <v>8.4</v>
      </c>
      <c r="K128" s="6">
        <v>0</v>
      </c>
      <c r="L128" s="6">
        <v>0</v>
      </c>
      <c r="M128" s="6">
        <v>220.8</v>
      </c>
      <c r="N128" s="6">
        <f t="shared" si="60"/>
        <v>5918.5999999999995</v>
      </c>
    </row>
    <row r="129" spans="1:23" x14ac:dyDescent="0.15">
      <c r="A129" s="6" t="s">
        <v>21</v>
      </c>
      <c r="B129" s="6">
        <v>929.5</v>
      </c>
      <c r="C129" s="6">
        <v>73</v>
      </c>
      <c r="D129" s="6">
        <v>108.6</v>
      </c>
      <c r="E129" s="6">
        <v>1921.8</v>
      </c>
      <c r="F129" s="6">
        <v>243.3</v>
      </c>
      <c r="G129" s="6">
        <v>40.799999999999997</v>
      </c>
      <c r="H129" s="6">
        <v>179.9</v>
      </c>
      <c r="I129" s="6">
        <v>31.3</v>
      </c>
      <c r="J129" s="6">
        <v>3.5</v>
      </c>
      <c r="K129" s="6">
        <v>0</v>
      </c>
      <c r="L129" s="6">
        <v>7.2</v>
      </c>
      <c r="M129" s="6">
        <v>11.6</v>
      </c>
      <c r="N129" s="6">
        <f t="shared" si="60"/>
        <v>3550.5</v>
      </c>
    </row>
    <row r="130" spans="1:23" x14ac:dyDescent="0.15">
      <c r="A130" s="6" t="s">
        <v>22</v>
      </c>
      <c r="B130" s="6">
        <v>89.4</v>
      </c>
      <c r="C130" s="6">
        <v>118.7</v>
      </c>
      <c r="D130" s="6">
        <v>20.399999999999999</v>
      </c>
      <c r="E130" s="6">
        <v>1.1000000000000001</v>
      </c>
      <c r="F130" s="6">
        <v>3</v>
      </c>
      <c r="G130" s="6">
        <v>346</v>
      </c>
      <c r="H130" s="6">
        <v>354.8</v>
      </c>
      <c r="I130" s="6">
        <v>120.1</v>
      </c>
      <c r="J130" s="6">
        <v>15.3</v>
      </c>
      <c r="K130" s="6">
        <v>3</v>
      </c>
      <c r="L130" s="6">
        <v>0.3</v>
      </c>
      <c r="M130" s="6">
        <v>0</v>
      </c>
      <c r="N130" s="6">
        <f t="shared" si="60"/>
        <v>1072.0999999999999</v>
      </c>
      <c r="O130" s="4" t="s">
        <v>81</v>
      </c>
      <c r="P130" s="4" t="s">
        <v>82</v>
      </c>
      <c r="Q130" s="4" t="s">
        <v>83</v>
      </c>
      <c r="R130" s="4" t="s">
        <v>84</v>
      </c>
      <c r="S130" s="1" t="s">
        <v>85</v>
      </c>
    </row>
    <row r="131" spans="1:23" x14ac:dyDescent="0.15">
      <c r="A131" s="6" t="s">
        <v>23</v>
      </c>
      <c r="B131" s="6">
        <v>3.1</v>
      </c>
      <c r="C131" s="6">
        <v>8.9</v>
      </c>
      <c r="D131" s="6">
        <v>0.4</v>
      </c>
      <c r="E131" s="6">
        <v>3.3</v>
      </c>
      <c r="F131" s="6">
        <v>5.8</v>
      </c>
      <c r="G131" s="6">
        <v>25.3</v>
      </c>
      <c r="H131" s="6">
        <v>2.9</v>
      </c>
      <c r="I131" s="6">
        <v>0</v>
      </c>
      <c r="J131" s="6">
        <v>0</v>
      </c>
      <c r="K131" s="6">
        <v>0</v>
      </c>
      <c r="L131" s="6">
        <v>0.1</v>
      </c>
      <c r="M131" s="6">
        <v>0.4</v>
      </c>
      <c r="N131" s="6">
        <f t="shared" si="60"/>
        <v>50.199999999999996</v>
      </c>
      <c r="O131" s="3">
        <f t="shared" ref="O131:O139" si="61">E131+F131+G131+H131+I131</f>
        <v>37.299999999999997</v>
      </c>
      <c r="P131" s="3">
        <f>E131+F131+G131+H131+I131+J131</f>
        <v>37.299999999999997</v>
      </c>
      <c r="Q131" s="3">
        <f>L131+M131+B132</f>
        <v>5.6</v>
      </c>
      <c r="R131" s="3">
        <f>K131+L131+M131+B132</f>
        <v>5.6</v>
      </c>
      <c r="S131" s="1">
        <f t="shared" ref="S131:S139" si="62">L131+M131+B132+C132+D132</f>
        <v>11.299999999999999</v>
      </c>
    </row>
    <row r="132" spans="1:23" x14ac:dyDescent="0.15">
      <c r="A132" s="6" t="s">
        <v>32</v>
      </c>
      <c r="B132" s="6">
        <v>5.0999999999999996</v>
      </c>
      <c r="C132" s="6">
        <v>1.8</v>
      </c>
      <c r="D132" s="6">
        <v>3.9</v>
      </c>
      <c r="E132" s="6">
        <v>6.3</v>
      </c>
      <c r="F132" s="6">
        <v>0</v>
      </c>
      <c r="G132" s="6">
        <v>0.5</v>
      </c>
      <c r="H132" s="6">
        <v>0</v>
      </c>
      <c r="I132" s="6">
        <v>0</v>
      </c>
      <c r="J132" s="6">
        <v>3.3</v>
      </c>
      <c r="K132" s="6">
        <v>0</v>
      </c>
      <c r="L132" s="6">
        <v>0</v>
      </c>
      <c r="M132" s="6">
        <v>0</v>
      </c>
      <c r="N132" s="6">
        <f t="shared" si="60"/>
        <v>20.9</v>
      </c>
      <c r="O132" s="3">
        <f t="shared" si="61"/>
        <v>6.8</v>
      </c>
      <c r="P132" s="3">
        <f t="shared" ref="P132:P138" si="63">E132+F132+G132+H132+I132+J132</f>
        <v>10.1</v>
      </c>
      <c r="Q132" s="3">
        <f t="shared" ref="Q132:Q138" si="64">L132+M132+B133</f>
        <v>0.4</v>
      </c>
      <c r="R132" s="3">
        <f t="shared" ref="R132:R138" si="65">K132+L132+M132+B133</f>
        <v>0.4</v>
      </c>
      <c r="S132" s="1">
        <f t="shared" si="62"/>
        <v>11.5</v>
      </c>
    </row>
    <row r="133" spans="1:23" x14ac:dyDescent="0.15">
      <c r="A133" s="6" t="s">
        <v>33</v>
      </c>
      <c r="B133" s="6">
        <v>0.4</v>
      </c>
      <c r="C133" s="6">
        <v>11</v>
      </c>
      <c r="D133" s="6">
        <v>0.1</v>
      </c>
      <c r="E133" s="6">
        <v>0.4</v>
      </c>
      <c r="F133" s="6">
        <v>2.2999999999999998</v>
      </c>
      <c r="G133" s="6">
        <v>1</v>
      </c>
      <c r="H133" s="6"/>
      <c r="I133" s="6">
        <v>4.7</v>
      </c>
      <c r="J133" s="6">
        <v>1</v>
      </c>
      <c r="K133" s="6">
        <v>0.6</v>
      </c>
      <c r="L133" s="6">
        <v>0.4</v>
      </c>
      <c r="M133" s="6">
        <v>5.9</v>
      </c>
      <c r="N133" s="6">
        <f t="shared" si="60"/>
        <v>27.799999999999997</v>
      </c>
      <c r="O133" s="3">
        <f t="shared" si="61"/>
        <v>8.4</v>
      </c>
      <c r="P133" s="3">
        <f t="shared" si="63"/>
        <v>9.4</v>
      </c>
      <c r="Q133" s="3">
        <f t="shared" si="64"/>
        <v>6.5000000000000009</v>
      </c>
      <c r="R133" s="3">
        <f t="shared" si="65"/>
        <v>7.1000000000000005</v>
      </c>
      <c r="S133" s="1">
        <f t="shared" si="62"/>
        <v>8.4</v>
      </c>
    </row>
    <row r="134" spans="1:23" x14ac:dyDescent="0.15">
      <c r="A134" s="6" t="s">
        <v>34</v>
      </c>
      <c r="B134" s="6">
        <v>0.2</v>
      </c>
      <c r="C134" s="6">
        <v>1.7</v>
      </c>
      <c r="D134" s="6">
        <v>0.2</v>
      </c>
      <c r="E134" s="6">
        <v>0.8</v>
      </c>
      <c r="F134" s="6">
        <v>4.3</v>
      </c>
      <c r="G134" s="6">
        <v>0</v>
      </c>
      <c r="H134" s="6">
        <v>0</v>
      </c>
      <c r="I134" s="6">
        <v>0.43</v>
      </c>
      <c r="J134" s="6">
        <v>0</v>
      </c>
      <c r="K134" s="6">
        <v>0</v>
      </c>
      <c r="L134" s="6">
        <f>18/1000</f>
        <v>1.7999999999999999E-2</v>
      </c>
      <c r="M134" s="6"/>
      <c r="N134" s="6">
        <f t="shared" si="60"/>
        <v>7.6479999999999997</v>
      </c>
      <c r="O134" s="3">
        <f t="shared" si="61"/>
        <v>5.5299999999999994</v>
      </c>
      <c r="P134" s="3">
        <f t="shared" si="63"/>
        <v>5.5299999999999994</v>
      </c>
      <c r="Q134" s="3">
        <f t="shared" si="64"/>
        <v>1.7999999999999999E-2</v>
      </c>
      <c r="R134" s="3">
        <f t="shared" si="65"/>
        <v>1.7999999999999999E-2</v>
      </c>
      <c r="S134" s="1">
        <f t="shared" si="62"/>
        <v>0.51800000000000002</v>
      </c>
    </row>
    <row r="135" spans="1:23" x14ac:dyDescent="0.15">
      <c r="A135" s="6" t="s">
        <v>35</v>
      </c>
      <c r="B135" s="7">
        <v>0</v>
      </c>
      <c r="C135" s="6">
        <v>0.4</v>
      </c>
      <c r="D135" s="6">
        <v>0.1</v>
      </c>
      <c r="E135" s="7">
        <v>0.1</v>
      </c>
      <c r="F135" s="7">
        <v>0.8</v>
      </c>
      <c r="G135" s="6">
        <v>1.7999999999999999E-2</v>
      </c>
      <c r="H135" s="6">
        <v>1.7999999999999999E-2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f t="shared" si="60"/>
        <v>1.4359999999999999</v>
      </c>
      <c r="O135" s="3">
        <f t="shared" si="61"/>
        <v>0.93600000000000005</v>
      </c>
      <c r="P135" s="3">
        <f t="shared" si="63"/>
        <v>0.93600000000000005</v>
      </c>
      <c r="Q135" s="3">
        <f t="shared" si="64"/>
        <v>5.3999999999999999E-2</v>
      </c>
      <c r="R135" s="3">
        <f t="shared" si="65"/>
        <v>5.3999999999999999E-2</v>
      </c>
      <c r="S135" s="1">
        <f t="shared" si="62"/>
        <v>2.95</v>
      </c>
    </row>
    <row r="136" spans="1:23" x14ac:dyDescent="0.15">
      <c r="A136" s="8" t="s">
        <v>37</v>
      </c>
      <c r="B136" s="133">
        <v>5.3999999999999999E-2</v>
      </c>
      <c r="C136" s="133">
        <v>0.39600000000000002</v>
      </c>
      <c r="D136" s="133">
        <v>2.5</v>
      </c>
      <c r="E136" s="161">
        <v>3.1</v>
      </c>
      <c r="F136" s="161">
        <v>1.1000000000000001</v>
      </c>
      <c r="G136" s="161">
        <v>7.4</v>
      </c>
      <c r="H136" s="161">
        <v>7.3</v>
      </c>
      <c r="I136" s="161">
        <v>0.88200000000000001</v>
      </c>
      <c r="J136" s="133">
        <v>3.5999999999999997E-2</v>
      </c>
      <c r="K136" s="133">
        <v>0.108</v>
      </c>
      <c r="L136" s="133">
        <v>5.3999999999999999E-2</v>
      </c>
      <c r="M136" s="133">
        <v>0</v>
      </c>
      <c r="N136" s="6">
        <f t="shared" si="60"/>
        <v>22.930000000000003</v>
      </c>
      <c r="O136" s="3">
        <f t="shared" si="61"/>
        <v>19.782000000000004</v>
      </c>
      <c r="P136" s="3">
        <f t="shared" si="63"/>
        <v>19.818000000000005</v>
      </c>
      <c r="Q136" s="3">
        <f t="shared" si="64"/>
        <v>5.3999999999999999E-2</v>
      </c>
      <c r="R136" s="3">
        <f t="shared" si="65"/>
        <v>0.16200000000000001</v>
      </c>
      <c r="S136" s="1">
        <f t="shared" si="62"/>
        <v>7.1999999999999995E-2</v>
      </c>
    </row>
    <row r="137" spans="1:23" x14ac:dyDescent="0.15">
      <c r="A137" s="6" t="s">
        <v>39</v>
      </c>
      <c r="B137" s="133">
        <v>0</v>
      </c>
      <c r="C137" s="133">
        <v>0</v>
      </c>
      <c r="D137" s="133">
        <v>1.7999999999999999E-2</v>
      </c>
      <c r="E137" s="161">
        <v>0.108</v>
      </c>
      <c r="F137" s="161">
        <v>3.5999999999999997E-2</v>
      </c>
      <c r="G137" s="161">
        <v>0.108</v>
      </c>
      <c r="H137" s="161">
        <v>1.1160000000000001</v>
      </c>
      <c r="I137" s="161">
        <v>6.1740000000000004</v>
      </c>
      <c r="J137" s="133">
        <v>6.8579999999999997</v>
      </c>
      <c r="K137" s="133">
        <v>0.19800000000000001</v>
      </c>
      <c r="L137" s="133">
        <v>0</v>
      </c>
      <c r="M137" s="133">
        <v>0</v>
      </c>
      <c r="N137" s="6">
        <f t="shared" ref="N137:N146" si="66">SUM(B137:M137)</f>
        <v>14.616</v>
      </c>
      <c r="O137" s="3">
        <f t="shared" si="61"/>
        <v>7.5420000000000007</v>
      </c>
      <c r="P137" s="3">
        <f t="shared" si="63"/>
        <v>14.4</v>
      </c>
      <c r="Q137" s="3">
        <f t="shared" si="64"/>
        <v>1.7999999999999999E-2</v>
      </c>
      <c r="R137" s="3">
        <f t="shared" si="65"/>
        <v>0.216</v>
      </c>
      <c r="S137" s="1">
        <f t="shared" si="62"/>
        <v>2.2320000000000002</v>
      </c>
      <c r="U137" s="9"/>
    </row>
    <row r="138" spans="1:23" x14ac:dyDescent="0.15">
      <c r="A138" s="6" t="s">
        <v>40</v>
      </c>
      <c r="B138" s="133">
        <v>1.7999999999999999E-2</v>
      </c>
      <c r="C138" s="133">
        <v>5.3999999999999999E-2</v>
      </c>
      <c r="D138" s="133">
        <v>2.16</v>
      </c>
      <c r="E138" s="161">
        <v>3.7080000000000002</v>
      </c>
      <c r="F138" s="161">
        <v>3.5640000000000001</v>
      </c>
      <c r="G138" s="161">
        <v>1.0980000000000001</v>
      </c>
      <c r="H138" s="161">
        <v>0.252</v>
      </c>
      <c r="I138" s="161">
        <v>1.7999999999999999E-2</v>
      </c>
      <c r="J138" s="133">
        <v>0.16200000000000001</v>
      </c>
      <c r="K138" s="133">
        <v>0.09</v>
      </c>
      <c r="L138" s="133">
        <v>5.3999999999999999E-2</v>
      </c>
      <c r="M138" s="133">
        <v>0</v>
      </c>
      <c r="N138" s="6">
        <f t="shared" si="66"/>
        <v>11.178000000000004</v>
      </c>
      <c r="O138" s="3">
        <f t="shared" si="61"/>
        <v>8.6400000000000023</v>
      </c>
      <c r="P138" s="3">
        <f t="shared" si="63"/>
        <v>8.8020000000000032</v>
      </c>
      <c r="Q138" s="3">
        <f t="shared" si="64"/>
        <v>1.224</v>
      </c>
      <c r="R138" s="3">
        <f t="shared" si="65"/>
        <v>1.3139999999999998</v>
      </c>
      <c r="S138" s="1">
        <f t="shared" si="62"/>
        <v>1.9439999999999997</v>
      </c>
      <c r="U138" s="9"/>
    </row>
    <row r="139" spans="1:23" x14ac:dyDescent="0.15">
      <c r="A139" s="6" t="s">
        <v>41</v>
      </c>
      <c r="B139" s="133">
        <v>1.17</v>
      </c>
      <c r="C139" s="133">
        <v>0.57599999999999996</v>
      </c>
      <c r="D139" s="133">
        <v>0.14399999999999999</v>
      </c>
      <c r="E139" s="161">
        <v>0.97199999999999998</v>
      </c>
      <c r="F139" s="161">
        <v>1.026</v>
      </c>
      <c r="G139" s="161">
        <v>0.18</v>
      </c>
      <c r="H139" s="161">
        <v>0.68400000000000005</v>
      </c>
      <c r="I139" s="161">
        <v>0.77400000000000002</v>
      </c>
      <c r="J139" s="133">
        <v>0.14399999999999999</v>
      </c>
      <c r="K139" s="133">
        <v>0</v>
      </c>
      <c r="L139" s="133">
        <v>3.5999999999999997E-2</v>
      </c>
      <c r="M139" s="133">
        <v>1.7999999999999999E-2</v>
      </c>
      <c r="N139" s="6">
        <f t="shared" si="66"/>
        <v>5.7239999999999993</v>
      </c>
      <c r="O139" s="3">
        <f t="shared" si="61"/>
        <v>3.6360000000000001</v>
      </c>
      <c r="P139" s="3">
        <f t="shared" ref="P139:P145" si="67">E139+F139+G139+H139+I139+J139</f>
        <v>3.7800000000000002</v>
      </c>
      <c r="Q139" s="3">
        <f t="shared" ref="Q139:Q145" si="68">L139+M139+B140</f>
        <v>0.10799999999999998</v>
      </c>
      <c r="R139" s="3">
        <f t="shared" ref="R139:R144" si="69">K139+L139+M139+B140</f>
        <v>0.10799999999999998</v>
      </c>
      <c r="S139" s="1">
        <f t="shared" si="62"/>
        <v>231.00299999999999</v>
      </c>
      <c r="U139" s="9"/>
    </row>
    <row r="140" spans="1:23" x14ac:dyDescent="0.15">
      <c r="A140" s="6" t="s">
        <v>45</v>
      </c>
      <c r="B140" s="133">
        <v>5.3999999999999999E-2</v>
      </c>
      <c r="C140" s="133">
        <v>0.34200000000000003</v>
      </c>
      <c r="D140" s="133">
        <v>230.553</v>
      </c>
      <c r="E140" s="161">
        <v>144.19649999999999</v>
      </c>
      <c r="F140" s="161">
        <v>77.772000000000006</v>
      </c>
      <c r="G140" s="161">
        <v>38.709000000000003</v>
      </c>
      <c r="H140" s="161">
        <v>8.4060000000000006</v>
      </c>
      <c r="I140" s="161">
        <v>29.103000000000002</v>
      </c>
      <c r="J140" s="133">
        <v>0.66600000000000004</v>
      </c>
      <c r="K140" s="133">
        <v>20.6325</v>
      </c>
      <c r="L140" s="133">
        <v>5.3999999999999999E-2</v>
      </c>
      <c r="M140" s="133">
        <v>13.4175</v>
      </c>
      <c r="N140" s="6">
        <f t="shared" si="66"/>
        <v>563.90550000000007</v>
      </c>
      <c r="O140" s="3">
        <f t="shared" ref="O140:O149" si="70">E140+F140+G140+H140+I140</f>
        <v>298.18650000000002</v>
      </c>
      <c r="P140" s="3">
        <f t="shared" si="67"/>
        <v>298.85250000000002</v>
      </c>
      <c r="Q140" s="3">
        <f t="shared" si="68"/>
        <v>37.990499999999997</v>
      </c>
      <c r="R140" s="3">
        <f t="shared" si="69"/>
        <v>58.622999999999998</v>
      </c>
      <c r="S140" s="1">
        <f t="shared" ref="S140:S147" si="71">L140+M140+B141+C141+D141</f>
        <v>38.2425</v>
      </c>
      <c r="U140" s="9"/>
    </row>
    <row r="141" spans="1:23" x14ac:dyDescent="0.15">
      <c r="A141" s="2" t="s">
        <v>46</v>
      </c>
      <c r="B141" s="157">
        <v>24.518999999999998</v>
      </c>
      <c r="C141" s="157">
        <v>5.3999999999999999E-2</v>
      </c>
      <c r="D141" s="157">
        <v>0.19800000000000001</v>
      </c>
      <c r="E141" s="157">
        <v>0.36</v>
      </c>
      <c r="F141" s="157">
        <v>2.1240000000000001</v>
      </c>
      <c r="G141" s="157">
        <v>1.3140000000000001</v>
      </c>
      <c r="H141" s="157">
        <v>0.108</v>
      </c>
      <c r="I141" s="157">
        <v>1.3634999999999999</v>
      </c>
      <c r="J141" s="157">
        <v>0.252</v>
      </c>
      <c r="K141" s="157">
        <v>0.14399999999999999</v>
      </c>
      <c r="L141" s="157">
        <v>0</v>
      </c>
      <c r="M141" s="157">
        <v>1.7999999999999999E-2</v>
      </c>
      <c r="N141" s="6">
        <f t="shared" si="66"/>
        <v>30.454499999999992</v>
      </c>
      <c r="O141" s="3">
        <f t="shared" si="70"/>
        <v>5.2694999999999999</v>
      </c>
      <c r="P141" s="3">
        <f t="shared" si="67"/>
        <v>5.5214999999999996</v>
      </c>
      <c r="Q141" s="3">
        <f t="shared" si="68"/>
        <v>0.108</v>
      </c>
      <c r="R141" s="3">
        <f t="shared" si="69"/>
        <v>0.252</v>
      </c>
      <c r="S141" s="1">
        <f t="shared" si="71"/>
        <v>0.63</v>
      </c>
      <c r="U141" s="9"/>
    </row>
    <row r="142" spans="1:23" x14ac:dyDescent="0.15">
      <c r="A142" s="6" t="s">
        <v>56</v>
      </c>
      <c r="B142" s="133">
        <v>0.09</v>
      </c>
      <c r="C142" s="133">
        <v>3.5999999999999997E-2</v>
      </c>
      <c r="D142" s="133">
        <v>0.48599999999999999</v>
      </c>
      <c r="E142" s="161">
        <v>0</v>
      </c>
      <c r="F142" s="161">
        <v>0</v>
      </c>
      <c r="G142" s="161">
        <v>1.7999999999999999E-2</v>
      </c>
      <c r="H142" s="161">
        <v>1.1879999999999999</v>
      </c>
      <c r="I142" s="161">
        <v>3.6</v>
      </c>
      <c r="J142" s="133">
        <v>0</v>
      </c>
      <c r="K142" s="133">
        <v>4.0140000000000002</v>
      </c>
      <c r="L142" s="133">
        <v>18.018000000000001</v>
      </c>
      <c r="M142" s="133">
        <v>6.4080000000000004</v>
      </c>
      <c r="N142" s="6">
        <f t="shared" si="66"/>
        <v>33.858000000000004</v>
      </c>
      <c r="O142" s="3">
        <f t="shared" si="70"/>
        <v>4.806</v>
      </c>
      <c r="P142" s="3">
        <f t="shared" si="67"/>
        <v>4.806</v>
      </c>
      <c r="Q142" s="3">
        <f t="shared" si="68"/>
        <v>30.294000000000004</v>
      </c>
      <c r="R142" s="3">
        <f t="shared" si="69"/>
        <v>34.308</v>
      </c>
      <c r="S142" s="1">
        <f t="shared" si="71"/>
        <v>53.766000000000005</v>
      </c>
      <c r="U142" s="9"/>
    </row>
    <row r="143" spans="1:23" x14ac:dyDescent="0.15">
      <c r="A143" s="2" t="s">
        <v>92</v>
      </c>
      <c r="B143" s="157">
        <v>5.8680000000000003</v>
      </c>
      <c r="C143" s="157">
        <v>5.5259999999999998</v>
      </c>
      <c r="D143" s="157">
        <v>17.946000000000002</v>
      </c>
      <c r="E143" s="162">
        <v>9.5220000000000002</v>
      </c>
      <c r="F143" s="162">
        <v>0.18</v>
      </c>
      <c r="G143" s="162">
        <v>0.09</v>
      </c>
      <c r="H143" s="162">
        <v>7.1999999999999995E-2</v>
      </c>
      <c r="I143" s="162">
        <v>2.7164999999999999</v>
      </c>
      <c r="J143" s="162">
        <v>2.8439999999999999</v>
      </c>
      <c r="K143" s="162">
        <v>21.681000000000001</v>
      </c>
      <c r="L143" s="162">
        <v>0.36</v>
      </c>
      <c r="M143" s="162">
        <v>2.88</v>
      </c>
      <c r="N143" s="6">
        <f t="shared" si="66"/>
        <v>69.685500000000005</v>
      </c>
      <c r="O143" s="3">
        <f t="shared" si="70"/>
        <v>12.580499999999999</v>
      </c>
      <c r="P143" s="3">
        <f t="shared" si="67"/>
        <v>15.424499999999998</v>
      </c>
      <c r="Q143" s="3">
        <f t="shared" si="68"/>
        <v>4.5179999999999998</v>
      </c>
      <c r="R143" s="3">
        <f t="shared" si="69"/>
        <v>26.198999999999998</v>
      </c>
      <c r="S143" s="1">
        <f t="shared" si="71"/>
        <v>35.765999999999998</v>
      </c>
      <c r="U143" s="9"/>
    </row>
    <row r="144" spans="1:23" x14ac:dyDescent="0.15">
      <c r="A144" s="2" t="s">
        <v>103</v>
      </c>
      <c r="B144" s="163">
        <v>1.278</v>
      </c>
      <c r="C144" s="163">
        <v>29.34</v>
      </c>
      <c r="D144" s="163">
        <v>1.9079999999999999</v>
      </c>
      <c r="E144" s="163">
        <v>174.88650000000001</v>
      </c>
      <c r="F144" s="163">
        <v>767.29549999999995</v>
      </c>
      <c r="G144" s="163">
        <v>140.81700000000001</v>
      </c>
      <c r="H144" s="163">
        <v>180.68549999999999</v>
      </c>
      <c r="I144" s="163">
        <v>402.16199999999998</v>
      </c>
      <c r="J144" s="162">
        <v>320.92200000000003</v>
      </c>
      <c r="K144" s="162">
        <v>290.97300000000001</v>
      </c>
      <c r="L144" s="162">
        <v>179.39699999999999</v>
      </c>
      <c r="M144" s="162">
        <v>12.852</v>
      </c>
      <c r="N144" s="6">
        <f t="shared" si="66"/>
        <v>2502.5165000000002</v>
      </c>
      <c r="O144" s="3">
        <f t="shared" si="70"/>
        <v>1665.8465000000001</v>
      </c>
      <c r="P144" s="3">
        <f t="shared" si="67"/>
        <v>1986.7685000000001</v>
      </c>
      <c r="Q144" s="3">
        <f t="shared" si="68"/>
        <v>297.2835</v>
      </c>
      <c r="R144" s="3">
        <f t="shared" si="69"/>
        <v>588.25649999999996</v>
      </c>
      <c r="S144" s="1">
        <f t="shared" si="71"/>
        <v>316.54499999999996</v>
      </c>
      <c r="U144" s="9"/>
      <c r="W144" s="108"/>
    </row>
    <row r="145" spans="1:23" x14ac:dyDescent="0.15">
      <c r="A145" s="2" t="s">
        <v>121</v>
      </c>
      <c r="B145" s="163">
        <v>105.03449999999999</v>
      </c>
      <c r="C145" s="163">
        <v>8.0054999999999996</v>
      </c>
      <c r="D145" s="163">
        <v>11.256</v>
      </c>
      <c r="E145" s="163">
        <v>3.0960000000000001</v>
      </c>
      <c r="F145" s="163">
        <v>2.988</v>
      </c>
      <c r="G145" s="163">
        <v>3.8340000000000001</v>
      </c>
      <c r="H145" s="163">
        <v>40.014000000000003</v>
      </c>
      <c r="I145" s="163">
        <v>0.34200000000000003</v>
      </c>
      <c r="J145" s="162">
        <v>29.015999999999998</v>
      </c>
      <c r="K145" s="162">
        <v>1.44</v>
      </c>
      <c r="L145" s="162">
        <v>6.9119999999999999</v>
      </c>
      <c r="M145" s="162">
        <v>1.1160000000000001</v>
      </c>
      <c r="N145" s="6">
        <f t="shared" si="66"/>
        <v>213.05400000000003</v>
      </c>
      <c r="O145" s="3">
        <f t="shared" si="70"/>
        <v>50.274000000000001</v>
      </c>
      <c r="P145" s="3">
        <f t="shared" si="67"/>
        <v>79.289999999999992</v>
      </c>
      <c r="Q145" s="3">
        <f t="shared" si="68"/>
        <v>15.678000000000001</v>
      </c>
      <c r="R145" s="3">
        <f t="shared" ref="R145:R150" si="72">K145+L145+M145+B146</f>
        <v>17.118000000000002</v>
      </c>
      <c r="S145" s="1">
        <f t="shared" si="71"/>
        <v>147.114</v>
      </c>
      <c r="U145" s="9"/>
      <c r="W145" s="108"/>
    </row>
    <row r="146" spans="1:23" x14ac:dyDescent="0.15">
      <c r="A146" s="2" t="s">
        <v>129</v>
      </c>
      <c r="B146" s="89">
        <v>7.65</v>
      </c>
      <c r="C146" s="89">
        <v>17.010000000000002</v>
      </c>
      <c r="D146" s="89">
        <v>114.426</v>
      </c>
      <c r="E146" s="89">
        <v>3.024</v>
      </c>
      <c r="F146" s="89">
        <v>481.82400000000001</v>
      </c>
      <c r="G146" s="89">
        <v>1068.8040000000001</v>
      </c>
      <c r="H146" s="89">
        <v>9.81</v>
      </c>
      <c r="I146" s="89">
        <v>16.829999999999998</v>
      </c>
      <c r="J146" s="74">
        <v>93.456000000000003</v>
      </c>
      <c r="K146" s="74">
        <v>13.805999999999999</v>
      </c>
      <c r="L146" s="74">
        <v>1.1339999999999999</v>
      </c>
      <c r="M146" s="74">
        <v>0.72</v>
      </c>
      <c r="N146" s="6">
        <f t="shared" si="66"/>
        <v>1828.4939999999999</v>
      </c>
      <c r="O146" s="3">
        <f t="shared" si="70"/>
        <v>1580.2919999999999</v>
      </c>
      <c r="P146" s="3">
        <f>E146+F146+G146+H146+I146+J146</f>
        <v>1673.7479999999998</v>
      </c>
      <c r="Q146" s="3">
        <f>L146+M146+B147</f>
        <v>302.81399999999996</v>
      </c>
      <c r="R146" s="3">
        <f t="shared" si="72"/>
        <v>316.62</v>
      </c>
      <c r="S146" s="1">
        <f t="shared" si="71"/>
        <v>412.37999999999994</v>
      </c>
      <c r="U146" s="9"/>
      <c r="W146" s="108"/>
    </row>
    <row r="147" spans="1:23" x14ac:dyDescent="0.15">
      <c r="A147" s="2" t="s">
        <v>136</v>
      </c>
      <c r="B147" s="89">
        <v>300.95999999999998</v>
      </c>
      <c r="C147" s="89">
        <v>108.666</v>
      </c>
      <c r="D147" s="89">
        <v>0.9</v>
      </c>
      <c r="E147" s="89">
        <v>1.8180000000000001</v>
      </c>
      <c r="F147" s="89">
        <v>1.476</v>
      </c>
      <c r="G147" s="89">
        <v>43.74</v>
      </c>
      <c r="H147" s="89">
        <v>69.066000000000003</v>
      </c>
      <c r="I147" s="89">
        <v>0.108</v>
      </c>
      <c r="J147" s="74">
        <v>0.77400000000000002</v>
      </c>
      <c r="K147" s="74">
        <v>0.48599999999999999</v>
      </c>
      <c r="L147" s="74">
        <v>23.526</v>
      </c>
      <c r="M147" s="74">
        <v>1.4219999999999999</v>
      </c>
      <c r="N147" s="6">
        <f>SUM(B147:M147)</f>
        <v>552.94199999999989</v>
      </c>
      <c r="O147" s="3">
        <f t="shared" si="70"/>
        <v>116.208</v>
      </c>
      <c r="P147" s="3">
        <f>E147+F147+G147+H147+I147+J147</f>
        <v>116.982</v>
      </c>
      <c r="Q147" s="3">
        <f>L147+M147+B148</f>
        <v>187.56</v>
      </c>
      <c r="R147" s="3">
        <f t="shared" si="72"/>
        <v>188.04599999999999</v>
      </c>
      <c r="S147" s="1">
        <f t="shared" si="71"/>
        <v>276.89400000000001</v>
      </c>
      <c r="U147" s="9"/>
      <c r="W147" s="108"/>
    </row>
    <row r="148" spans="1:23" x14ac:dyDescent="0.15">
      <c r="A148" s="2" t="s">
        <v>140</v>
      </c>
      <c r="B148" s="89">
        <v>162.61199999999999</v>
      </c>
      <c r="C148" s="89">
        <v>76.932000000000002</v>
      </c>
      <c r="D148" s="89">
        <v>12.401999999999999</v>
      </c>
      <c r="E148" s="89">
        <v>10.548</v>
      </c>
      <c r="F148" s="89">
        <v>24.696000000000002</v>
      </c>
      <c r="G148" s="89">
        <v>0.252</v>
      </c>
      <c r="H148" s="89">
        <v>7.1999999999999995E-2</v>
      </c>
      <c r="I148" s="89">
        <v>71.117999999999995</v>
      </c>
      <c r="J148" s="74">
        <v>40.698</v>
      </c>
      <c r="K148" s="74">
        <v>24.803999999999998</v>
      </c>
      <c r="L148" s="74">
        <v>212.50800000000001</v>
      </c>
      <c r="M148" s="74">
        <v>116.334</v>
      </c>
      <c r="N148" s="6">
        <f>SUM(B148:M148)</f>
        <v>752.97599999999989</v>
      </c>
      <c r="O148" s="3">
        <f t="shared" si="70"/>
        <v>106.68600000000001</v>
      </c>
      <c r="P148" s="3">
        <f>E148+F148+G148+H148+I148+J148</f>
        <v>147.38400000000001</v>
      </c>
      <c r="Q148" s="3">
        <f>L148+M148+B149</f>
        <v>489.11399999999998</v>
      </c>
      <c r="R148" s="3">
        <f t="shared" si="72"/>
        <v>513.91800000000001</v>
      </c>
      <c r="S148" s="1">
        <f>L148+M148+B149+C149+D149</f>
        <v>610.65</v>
      </c>
      <c r="U148" s="9"/>
      <c r="W148" s="108"/>
    </row>
    <row r="149" spans="1:23" x14ac:dyDescent="0.15">
      <c r="A149" s="2" t="s">
        <v>143</v>
      </c>
      <c r="B149" s="89">
        <v>160.27199999999999</v>
      </c>
      <c r="C149" s="89">
        <v>119.08799999999999</v>
      </c>
      <c r="D149" s="89">
        <v>2.448</v>
      </c>
      <c r="E149" s="89">
        <v>0.61199999999999999</v>
      </c>
      <c r="F149" s="89">
        <v>0.99</v>
      </c>
      <c r="G149" s="89">
        <v>70.938000000000002</v>
      </c>
      <c r="H149" s="89">
        <v>15.606</v>
      </c>
      <c r="I149" s="89">
        <v>0.75600000000000001</v>
      </c>
      <c r="J149" s="74">
        <v>3.5999999999999997E-2</v>
      </c>
      <c r="K149" s="74">
        <v>96.156000000000006</v>
      </c>
      <c r="L149" s="74">
        <v>215.244</v>
      </c>
      <c r="M149" s="74">
        <v>46.421999999999997</v>
      </c>
      <c r="N149" s="6">
        <f>SUM(B149:M149)</f>
        <v>728.56799999999998</v>
      </c>
      <c r="O149" s="3">
        <f t="shared" si="70"/>
        <v>88.902000000000001</v>
      </c>
      <c r="P149" s="3">
        <f>E149+F149+G149+H149+I149+J149</f>
        <v>88.938000000000002</v>
      </c>
      <c r="Q149" s="3">
        <f>L149+M149+B150</f>
        <v>266.65199999999999</v>
      </c>
      <c r="R149" s="3">
        <f t="shared" si="72"/>
        <v>362.80799999999999</v>
      </c>
      <c r="S149" s="1">
        <f>L149+M149+B150+C150+D150</f>
        <v>272.73599999999993</v>
      </c>
      <c r="U149" s="9"/>
      <c r="W149" s="108"/>
    </row>
    <row r="150" spans="1:23" x14ac:dyDescent="0.15">
      <c r="A150" s="2" t="s">
        <v>149</v>
      </c>
      <c r="B150" s="89">
        <v>4.9859999999999998</v>
      </c>
      <c r="C150" s="89">
        <v>4.5179999999999998</v>
      </c>
      <c r="D150" s="89">
        <v>1.5660000000000001</v>
      </c>
      <c r="E150" s="89">
        <v>0.19800000000000001</v>
      </c>
      <c r="F150" s="89">
        <v>3.5999999999999997E-2</v>
      </c>
      <c r="G150" s="89">
        <v>111.24</v>
      </c>
      <c r="H150" s="89">
        <v>2.016</v>
      </c>
      <c r="I150" s="89">
        <v>58.518000000000001</v>
      </c>
      <c r="J150" s="182">
        <v>0</v>
      </c>
      <c r="K150" s="182">
        <v>16.164000000000001</v>
      </c>
      <c r="L150" s="182">
        <v>0.504</v>
      </c>
      <c r="M150" s="182">
        <v>0</v>
      </c>
      <c r="N150" s="6">
        <f t="shared" ref="N150:N151" si="73">SUM(B150:M150)</f>
        <v>199.74600000000001</v>
      </c>
      <c r="O150" s="3">
        <f>E150+F150+G150+H150+I150</f>
        <v>172.00799999999998</v>
      </c>
      <c r="P150" s="3">
        <f>E150+F150+G150+H150+I150+J150</f>
        <v>172.00799999999998</v>
      </c>
      <c r="Q150" s="154">
        <f>L150+M150+B151</f>
        <v>0.95399999999999996</v>
      </c>
      <c r="R150" s="154">
        <f t="shared" si="72"/>
        <v>17.118000000000002</v>
      </c>
      <c r="S150" s="20">
        <f>L150+M150+B151+C151+D151</f>
        <v>0.95399999999999996</v>
      </c>
      <c r="U150" s="9"/>
      <c r="W150" s="108"/>
    </row>
    <row r="151" spans="1:23" x14ac:dyDescent="0.15">
      <c r="A151" s="2" t="s">
        <v>158</v>
      </c>
      <c r="B151" s="19">
        <v>0.45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>
        <f t="shared" si="73"/>
        <v>0.45</v>
      </c>
      <c r="O151" s="154"/>
      <c r="P151" s="154"/>
      <c r="Q151" s="4"/>
      <c r="U151" s="9"/>
      <c r="W151" s="108"/>
    </row>
    <row r="152" spans="1:23" x14ac:dyDescent="0.15">
      <c r="A152" s="10"/>
      <c r="B152" s="11"/>
      <c r="C152" s="11"/>
      <c r="D152" s="11"/>
      <c r="E152" s="12"/>
      <c r="F152" s="12"/>
      <c r="G152" s="12"/>
      <c r="H152" s="12"/>
      <c r="I152" s="12"/>
      <c r="J152" s="11"/>
      <c r="K152" s="11"/>
      <c r="L152" s="11"/>
      <c r="M152" s="11"/>
      <c r="N152" s="10"/>
      <c r="O152" s="24">
        <f>AVERAGE(O146:O150)</f>
        <v>412.81920000000002</v>
      </c>
      <c r="P152" s="24">
        <f>AVERAGE(P146:P150)</f>
        <v>439.81200000000001</v>
      </c>
      <c r="Q152" s="24">
        <f>AVERAGE(Q145:Q149)</f>
        <v>252.36359999999999</v>
      </c>
      <c r="R152" s="24">
        <f>AVERAGE(R145:R149)</f>
        <v>279.702</v>
      </c>
      <c r="S152" s="24">
        <f>AVERAGE(S145:S149)</f>
        <v>343.95479999999998</v>
      </c>
      <c r="U152" s="9"/>
    </row>
    <row r="153" spans="1:23" x14ac:dyDescent="0.15">
      <c r="A153" s="13" t="s">
        <v>28</v>
      </c>
      <c r="B153" s="13"/>
      <c r="C153" s="13"/>
      <c r="D153" s="13"/>
      <c r="E153" s="13"/>
      <c r="F153" s="166" t="s">
        <v>59</v>
      </c>
      <c r="G153" s="13"/>
      <c r="H153" s="13"/>
      <c r="I153" s="13"/>
      <c r="J153" s="13"/>
      <c r="K153" s="13"/>
      <c r="L153" s="13"/>
      <c r="M153" s="13" t="s">
        <v>3</v>
      </c>
      <c r="N153" s="13"/>
      <c r="U153" s="9"/>
    </row>
    <row r="154" spans="1:23" ht="15" x14ac:dyDescent="0.2">
      <c r="A154" s="2"/>
      <c r="B154" s="2" t="s">
        <v>4</v>
      </c>
      <c r="C154" s="2" t="s">
        <v>5</v>
      </c>
      <c r="D154" s="2" t="s">
        <v>6</v>
      </c>
      <c r="E154" s="2" t="s">
        <v>7</v>
      </c>
      <c r="F154" s="2" t="s">
        <v>8</v>
      </c>
      <c r="G154" s="2" t="s">
        <v>9</v>
      </c>
      <c r="H154" s="2" t="s">
        <v>10</v>
      </c>
      <c r="I154" s="2" t="s">
        <v>11</v>
      </c>
      <c r="J154" s="2" t="s">
        <v>12</v>
      </c>
      <c r="K154" s="2" t="s">
        <v>13</v>
      </c>
      <c r="L154" s="2" t="s">
        <v>14</v>
      </c>
      <c r="M154" s="2" t="s">
        <v>15</v>
      </c>
      <c r="N154" s="2" t="s">
        <v>16</v>
      </c>
      <c r="U154" s="40"/>
    </row>
    <row r="155" spans="1:23" ht="15" x14ac:dyDescent="0.2">
      <c r="A155" s="2" t="s">
        <v>17</v>
      </c>
      <c r="B155" s="2">
        <v>5178.7</v>
      </c>
      <c r="C155" s="2">
        <v>5836.3</v>
      </c>
      <c r="D155" s="2"/>
      <c r="E155" s="2">
        <v>3128.9</v>
      </c>
      <c r="F155" s="2">
        <v>758.5</v>
      </c>
      <c r="G155" s="2">
        <v>906.9</v>
      </c>
      <c r="H155" s="2">
        <v>1956.5</v>
      </c>
      <c r="I155" s="2">
        <v>1053.8</v>
      </c>
      <c r="J155" s="2">
        <v>677.1</v>
      </c>
      <c r="K155" s="2">
        <v>1868.4</v>
      </c>
      <c r="L155" s="2">
        <v>2737.1</v>
      </c>
      <c r="M155" s="2">
        <v>1021.8</v>
      </c>
      <c r="N155" s="2">
        <f t="shared" ref="N155:N160" si="74">SUM(B155:M155)</f>
        <v>25123.999999999996</v>
      </c>
      <c r="U155" s="40"/>
    </row>
    <row r="156" spans="1:23" ht="15" x14ac:dyDescent="0.2">
      <c r="A156" s="2" t="s">
        <v>18</v>
      </c>
      <c r="B156" s="2">
        <v>3225.6</v>
      </c>
      <c r="C156" s="2">
        <v>4099.8</v>
      </c>
      <c r="D156" s="2">
        <v>5080.3</v>
      </c>
      <c r="E156" s="2">
        <v>1301.8</v>
      </c>
      <c r="F156" s="2">
        <v>910.3</v>
      </c>
      <c r="G156" s="2">
        <v>310.8</v>
      </c>
      <c r="H156" s="2">
        <v>937.4</v>
      </c>
      <c r="I156" s="2">
        <v>347.3</v>
      </c>
      <c r="J156" s="2">
        <v>490.9</v>
      </c>
      <c r="K156" s="2">
        <v>400.8</v>
      </c>
      <c r="L156" s="2">
        <v>51.4</v>
      </c>
      <c r="M156" s="2">
        <v>900.8</v>
      </c>
      <c r="N156" s="2">
        <f t="shared" si="74"/>
        <v>18057.199999999997</v>
      </c>
      <c r="U156" s="40"/>
    </row>
    <row r="157" spans="1:23" ht="15" x14ac:dyDescent="0.2">
      <c r="A157" s="2" t="s">
        <v>19</v>
      </c>
      <c r="B157" s="2">
        <v>1878.4</v>
      </c>
      <c r="C157" s="2">
        <v>4689.5</v>
      </c>
      <c r="D157" s="2">
        <v>4183</v>
      </c>
      <c r="E157" s="2">
        <v>2058.3000000000002</v>
      </c>
      <c r="F157" s="2">
        <v>409.7</v>
      </c>
      <c r="G157" s="2">
        <v>997.3</v>
      </c>
      <c r="H157" s="2">
        <v>3822.9</v>
      </c>
      <c r="I157" s="2">
        <v>1354.6</v>
      </c>
      <c r="J157" s="2">
        <v>1477.3</v>
      </c>
      <c r="K157" s="2">
        <v>5433.1</v>
      </c>
      <c r="L157" s="2">
        <v>1823.1</v>
      </c>
      <c r="M157" s="2">
        <v>2129.8000000000002</v>
      </c>
      <c r="N157" s="2">
        <f t="shared" si="74"/>
        <v>30256.999999999996</v>
      </c>
      <c r="U157" s="40"/>
    </row>
    <row r="158" spans="1:23" ht="15" x14ac:dyDescent="0.2">
      <c r="A158" s="2" t="s">
        <v>20</v>
      </c>
      <c r="B158" s="2">
        <v>2406</v>
      </c>
      <c r="C158" s="2">
        <v>3982.7</v>
      </c>
      <c r="D158" s="2">
        <v>2232.6</v>
      </c>
      <c r="E158" s="2">
        <v>353.1</v>
      </c>
      <c r="F158" s="2">
        <v>821.7</v>
      </c>
      <c r="G158" s="2">
        <v>2770.4</v>
      </c>
      <c r="H158" s="2">
        <v>1972.4</v>
      </c>
      <c r="I158" s="2">
        <v>1557.4</v>
      </c>
      <c r="J158" s="2">
        <v>411.2</v>
      </c>
      <c r="K158" s="2">
        <v>124.2</v>
      </c>
      <c r="L158" s="2">
        <v>2079.6</v>
      </c>
      <c r="M158" s="2">
        <v>349.3</v>
      </c>
      <c r="N158" s="2">
        <f t="shared" si="74"/>
        <v>19060.599999999999</v>
      </c>
      <c r="U158" s="40"/>
    </row>
    <row r="159" spans="1:23" x14ac:dyDescent="0.15">
      <c r="A159" s="2" t="s">
        <v>21</v>
      </c>
      <c r="B159" s="2">
        <v>406.5</v>
      </c>
      <c r="C159" s="2">
        <v>749.2</v>
      </c>
      <c r="D159" s="2">
        <v>105.3</v>
      </c>
      <c r="E159" s="2">
        <v>408.3</v>
      </c>
      <c r="F159" s="2">
        <v>0.4</v>
      </c>
      <c r="G159" s="2">
        <v>5.8</v>
      </c>
      <c r="H159" s="2">
        <v>444</v>
      </c>
      <c r="I159" s="2">
        <v>30.7</v>
      </c>
      <c r="J159" s="2">
        <v>58.5</v>
      </c>
      <c r="K159" s="2">
        <v>17.600000000000001</v>
      </c>
      <c r="L159" s="2">
        <v>11.4</v>
      </c>
      <c r="M159" s="2">
        <v>583.20000000000005</v>
      </c>
      <c r="N159" s="2">
        <f t="shared" si="74"/>
        <v>2820.8999999999996</v>
      </c>
    </row>
    <row r="160" spans="1:23" x14ac:dyDescent="0.15">
      <c r="A160" s="2" t="s">
        <v>22</v>
      </c>
      <c r="B160" s="2">
        <v>200.2</v>
      </c>
      <c r="C160" s="2">
        <v>339.8</v>
      </c>
      <c r="D160" s="2">
        <v>55.5</v>
      </c>
      <c r="E160" s="2">
        <v>3.5</v>
      </c>
      <c r="F160" s="2">
        <v>40.200000000000003</v>
      </c>
      <c r="G160" s="2">
        <v>170.2</v>
      </c>
      <c r="H160" s="2">
        <v>465.1</v>
      </c>
      <c r="I160" s="2">
        <v>501.5</v>
      </c>
      <c r="J160" s="2">
        <v>73.599999999999994</v>
      </c>
      <c r="K160" s="2">
        <v>173.9</v>
      </c>
      <c r="L160" s="2">
        <v>2.9</v>
      </c>
      <c r="M160" s="2">
        <v>10.199999999999999</v>
      </c>
      <c r="N160" s="2">
        <f t="shared" si="74"/>
        <v>2036.6000000000001</v>
      </c>
      <c r="O160" s="4" t="s">
        <v>81</v>
      </c>
      <c r="P160" s="4" t="s">
        <v>82</v>
      </c>
      <c r="Q160" s="4" t="s">
        <v>83</v>
      </c>
      <c r="R160" s="4" t="s">
        <v>84</v>
      </c>
      <c r="S160" s="1" t="s">
        <v>85</v>
      </c>
    </row>
    <row r="161" spans="1:19" x14ac:dyDescent="0.15">
      <c r="A161" s="2" t="s">
        <v>23</v>
      </c>
      <c r="B161" s="2">
        <v>6.4</v>
      </c>
      <c r="C161" s="2">
        <v>2</v>
      </c>
      <c r="D161" s="2">
        <v>34.299999999999997</v>
      </c>
      <c r="E161" s="2">
        <v>20.100000000000001</v>
      </c>
      <c r="F161" s="2">
        <v>6.1</v>
      </c>
      <c r="G161" s="2">
        <v>16.399999999999999</v>
      </c>
      <c r="H161" s="2">
        <v>40.5</v>
      </c>
      <c r="I161" s="2">
        <v>126.8</v>
      </c>
      <c r="J161" s="2">
        <v>112.7</v>
      </c>
      <c r="K161" s="2">
        <v>1.7</v>
      </c>
      <c r="L161" s="2">
        <v>1.8</v>
      </c>
      <c r="M161" s="2">
        <v>0.1</v>
      </c>
      <c r="N161" s="2">
        <f t="shared" ref="N161:N167" si="75">SUM(B161:M161)</f>
        <v>368.9</v>
      </c>
      <c r="O161" s="3">
        <f t="shared" ref="O161:O167" si="76">E161+F161+G161+H161+I161</f>
        <v>209.89999999999998</v>
      </c>
      <c r="P161" s="3">
        <f>E161+F161+G161+H161+I161+J161</f>
        <v>322.59999999999997</v>
      </c>
      <c r="Q161" s="3">
        <f>L161+M161+B162</f>
        <v>3.4000000000000004</v>
      </c>
      <c r="R161" s="1">
        <f>K161+L161+M161+B162</f>
        <v>5.0999999999999996</v>
      </c>
      <c r="S161" s="1">
        <f t="shared" ref="S161:S168" si="77">L161+M161+B162+C162+D162</f>
        <v>18</v>
      </c>
    </row>
    <row r="162" spans="1:19" x14ac:dyDescent="0.15">
      <c r="A162" s="2" t="s">
        <v>32</v>
      </c>
      <c r="B162" s="2">
        <v>1.5</v>
      </c>
      <c r="C162" s="2">
        <v>5.4</v>
      </c>
      <c r="D162" s="2">
        <v>9.1999999999999993</v>
      </c>
      <c r="E162" s="2">
        <v>46.4</v>
      </c>
      <c r="F162" s="2">
        <v>114.6</v>
      </c>
      <c r="G162" s="2">
        <v>0.6</v>
      </c>
      <c r="H162" s="2">
        <v>2.4</v>
      </c>
      <c r="I162" s="2">
        <v>15.2</v>
      </c>
      <c r="J162" s="2">
        <v>8.3000000000000007</v>
      </c>
      <c r="K162" s="2">
        <v>22.9</v>
      </c>
      <c r="L162" s="2">
        <v>54.5</v>
      </c>
      <c r="M162" s="2">
        <v>23.3</v>
      </c>
      <c r="N162" s="2">
        <f t="shared" si="75"/>
        <v>304.3</v>
      </c>
      <c r="O162" s="3">
        <f t="shared" si="76"/>
        <v>179.2</v>
      </c>
      <c r="P162" s="3">
        <f t="shared" ref="P162:P170" si="78">E162+F162+G162+H162+I162+J162</f>
        <v>187.5</v>
      </c>
      <c r="Q162" s="3">
        <f t="shared" ref="Q162:Q167" si="79">L162+M162+B163</f>
        <v>80.399999999999991</v>
      </c>
      <c r="R162" s="1">
        <f t="shared" ref="R162:R168" si="80">K162+L162+M162+B163</f>
        <v>103.3</v>
      </c>
      <c r="S162" s="1">
        <f t="shared" si="77"/>
        <v>124.1</v>
      </c>
    </row>
    <row r="163" spans="1:19" x14ac:dyDescent="0.15">
      <c r="A163" s="2" t="s">
        <v>33</v>
      </c>
      <c r="B163" s="2">
        <v>2.6</v>
      </c>
      <c r="C163" s="2">
        <v>12.5</v>
      </c>
      <c r="D163" s="2">
        <v>31.2</v>
      </c>
      <c r="E163" s="2">
        <v>4.0999999999999996</v>
      </c>
      <c r="F163" s="2">
        <v>0</v>
      </c>
      <c r="G163" s="2">
        <v>3.4</v>
      </c>
      <c r="H163" s="2">
        <v>27.6</v>
      </c>
      <c r="I163" s="2">
        <v>38.9</v>
      </c>
      <c r="J163" s="2">
        <v>1</v>
      </c>
      <c r="K163" s="2">
        <v>1.1000000000000001</v>
      </c>
      <c r="L163" s="2">
        <v>1.8</v>
      </c>
      <c r="M163" s="2">
        <v>1.9</v>
      </c>
      <c r="N163" s="2">
        <f t="shared" si="75"/>
        <v>126.10000000000001</v>
      </c>
      <c r="O163" s="3">
        <f t="shared" si="76"/>
        <v>74</v>
      </c>
      <c r="P163" s="3">
        <f t="shared" si="78"/>
        <v>75</v>
      </c>
      <c r="Q163" s="3">
        <f t="shared" si="79"/>
        <v>6.4</v>
      </c>
      <c r="R163" s="1">
        <f t="shared" si="80"/>
        <v>7.5000000000000009</v>
      </c>
      <c r="S163" s="1">
        <f t="shared" si="77"/>
        <v>8.1000000000000014</v>
      </c>
    </row>
    <row r="164" spans="1:19" x14ac:dyDescent="0.15">
      <c r="A164" s="2" t="s">
        <v>34</v>
      </c>
      <c r="B164" s="2">
        <v>2.7</v>
      </c>
      <c r="C164" s="2">
        <v>0.7</v>
      </c>
      <c r="D164" s="2">
        <v>1</v>
      </c>
      <c r="E164" s="2">
        <v>11</v>
      </c>
      <c r="F164" s="2">
        <v>0</v>
      </c>
      <c r="G164" s="2">
        <v>3.2</v>
      </c>
      <c r="H164" s="2">
        <v>79.5</v>
      </c>
      <c r="I164" s="2">
        <v>4.0999999999999996</v>
      </c>
      <c r="J164" s="2">
        <v>21.1</v>
      </c>
      <c r="K164" s="2">
        <v>0.4</v>
      </c>
      <c r="L164" s="2">
        <v>0</v>
      </c>
      <c r="M164" s="2">
        <v>0</v>
      </c>
      <c r="N164" s="2">
        <f t="shared" si="75"/>
        <v>123.69999999999999</v>
      </c>
      <c r="O164" s="3">
        <f t="shared" si="76"/>
        <v>97.8</v>
      </c>
      <c r="P164" s="3">
        <f t="shared" si="78"/>
        <v>118.9</v>
      </c>
      <c r="Q164" s="3">
        <f t="shared" si="79"/>
        <v>0.4</v>
      </c>
      <c r="R164" s="1">
        <f t="shared" si="80"/>
        <v>0.8</v>
      </c>
      <c r="S164" s="1">
        <f t="shared" si="77"/>
        <v>0.4</v>
      </c>
    </row>
    <row r="165" spans="1:19" x14ac:dyDescent="0.15">
      <c r="A165" s="2" t="s">
        <v>35</v>
      </c>
      <c r="B165" s="2">
        <v>0.4</v>
      </c>
      <c r="C165" s="2">
        <v>0</v>
      </c>
      <c r="D165" s="2">
        <v>0</v>
      </c>
      <c r="E165" s="2">
        <v>0.1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0.1</v>
      </c>
      <c r="L165" s="2">
        <v>0</v>
      </c>
      <c r="M165" s="2">
        <v>0</v>
      </c>
      <c r="N165" s="2">
        <f t="shared" si="75"/>
        <v>0.6</v>
      </c>
      <c r="O165" s="3">
        <f t="shared" si="76"/>
        <v>0.1</v>
      </c>
      <c r="P165" s="3">
        <f t="shared" si="78"/>
        <v>0.1</v>
      </c>
      <c r="Q165" s="3">
        <f t="shared" si="79"/>
        <v>0</v>
      </c>
      <c r="R165" s="1">
        <f t="shared" si="80"/>
        <v>0.1</v>
      </c>
      <c r="S165" s="1">
        <f t="shared" si="77"/>
        <v>0</v>
      </c>
    </row>
    <row r="166" spans="1:19" x14ac:dyDescent="0.15">
      <c r="A166" s="2" t="s">
        <v>37</v>
      </c>
      <c r="B166" s="2">
        <v>0</v>
      </c>
      <c r="C166" s="2">
        <v>0</v>
      </c>
      <c r="D166" s="2">
        <v>0</v>
      </c>
      <c r="E166" s="2">
        <v>0.6</v>
      </c>
      <c r="F166" s="2">
        <v>0.1</v>
      </c>
      <c r="G166" s="2">
        <v>2.2000000000000002</v>
      </c>
      <c r="H166" s="2">
        <v>4.0999999999999996</v>
      </c>
      <c r="I166" s="2">
        <v>1.3</v>
      </c>
      <c r="J166" s="2">
        <v>0.1</v>
      </c>
      <c r="K166" s="2">
        <v>0</v>
      </c>
      <c r="L166" s="2">
        <v>0</v>
      </c>
      <c r="M166" s="2">
        <v>0</v>
      </c>
      <c r="N166" s="2">
        <f t="shared" si="75"/>
        <v>8.4</v>
      </c>
      <c r="O166" s="3">
        <f t="shared" si="76"/>
        <v>8.3000000000000007</v>
      </c>
      <c r="P166" s="3">
        <f t="shared" si="78"/>
        <v>8.4</v>
      </c>
      <c r="Q166" s="3">
        <f t="shared" si="79"/>
        <v>0</v>
      </c>
      <c r="R166" s="1">
        <f t="shared" si="80"/>
        <v>0</v>
      </c>
      <c r="S166" s="1">
        <f t="shared" si="77"/>
        <v>0</v>
      </c>
    </row>
    <row r="167" spans="1:19" x14ac:dyDescent="0.15">
      <c r="A167" s="2" t="s">
        <v>39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0.2</v>
      </c>
      <c r="J167" s="2">
        <v>0</v>
      </c>
      <c r="K167" s="2">
        <v>0</v>
      </c>
      <c r="L167" s="2">
        <v>0</v>
      </c>
      <c r="M167" s="2">
        <v>0</v>
      </c>
      <c r="N167" s="2">
        <f t="shared" si="75"/>
        <v>0.2</v>
      </c>
      <c r="O167" s="3">
        <f t="shared" si="76"/>
        <v>0.2</v>
      </c>
      <c r="P167" s="3">
        <f t="shared" si="78"/>
        <v>0.2</v>
      </c>
      <c r="Q167" s="3">
        <f t="shared" si="79"/>
        <v>2.1000000000000001E-2</v>
      </c>
      <c r="R167" s="1">
        <f t="shared" si="80"/>
        <v>2.1000000000000001E-2</v>
      </c>
      <c r="S167" s="1">
        <f t="shared" si="77"/>
        <v>3.79</v>
      </c>
    </row>
    <row r="168" spans="1:19" x14ac:dyDescent="0.15">
      <c r="A168" s="2" t="s">
        <v>40</v>
      </c>
      <c r="B168" s="157">
        <v>2.1000000000000001E-2</v>
      </c>
      <c r="C168" s="157">
        <v>8.5999999999999993E-2</v>
      </c>
      <c r="D168" s="157">
        <v>3.6829999999999998</v>
      </c>
      <c r="E168" s="2">
        <v>2.8220000000000001</v>
      </c>
      <c r="F168" s="2">
        <v>0.51700000000000002</v>
      </c>
      <c r="G168" s="2">
        <v>0.05</v>
      </c>
      <c r="H168" s="2">
        <v>0</v>
      </c>
      <c r="I168" s="2">
        <v>0</v>
      </c>
      <c r="J168" s="2">
        <v>6.8000000000000005E-2</v>
      </c>
      <c r="K168" s="2">
        <v>0</v>
      </c>
      <c r="L168" s="2">
        <v>0</v>
      </c>
      <c r="M168" s="2">
        <v>0</v>
      </c>
      <c r="N168" s="2">
        <f t="shared" ref="N168:N180" si="81">SUM(B168:M168)</f>
        <v>7.2469999999999999</v>
      </c>
      <c r="O168" s="3">
        <f t="shared" ref="O168:O173" si="82">E168+F168+G168+H168+I168</f>
        <v>3.3889999999999998</v>
      </c>
      <c r="P168" s="3">
        <f t="shared" si="78"/>
        <v>3.4569999999999999</v>
      </c>
      <c r="Q168" s="3">
        <f t="shared" ref="Q168:Q174" si="83">L168+M168+B169</f>
        <v>2.8919999999999999</v>
      </c>
      <c r="R168" s="1">
        <f t="shared" si="80"/>
        <v>2.8919999999999999</v>
      </c>
      <c r="S168" s="1">
        <f t="shared" si="77"/>
        <v>4.5439999999999996</v>
      </c>
    </row>
    <row r="169" spans="1:19" x14ac:dyDescent="0.15">
      <c r="A169" s="2" t="s">
        <v>41</v>
      </c>
      <c r="B169" s="2">
        <v>2.8919999999999999</v>
      </c>
      <c r="C169" s="6">
        <v>0.189</v>
      </c>
      <c r="D169" s="2">
        <v>1.4629999999999999</v>
      </c>
      <c r="E169" s="2">
        <v>0.41599999999999998</v>
      </c>
      <c r="F169" s="2">
        <v>9.6000000000000002E-2</v>
      </c>
      <c r="G169" s="2">
        <v>9.9000000000000005E-2</v>
      </c>
      <c r="H169" s="2">
        <v>0.216</v>
      </c>
      <c r="I169" s="2">
        <v>0.216</v>
      </c>
      <c r="J169" s="2">
        <v>0</v>
      </c>
      <c r="K169" s="2">
        <v>26.974</v>
      </c>
      <c r="L169" s="2">
        <v>1.5680000000000001</v>
      </c>
      <c r="M169" s="2">
        <v>0</v>
      </c>
      <c r="N169" s="2">
        <f t="shared" si="81"/>
        <v>34.128999999999998</v>
      </c>
      <c r="O169" s="3">
        <f t="shared" si="82"/>
        <v>1.0429999999999999</v>
      </c>
      <c r="P169" s="3">
        <f t="shared" si="78"/>
        <v>1.0429999999999999</v>
      </c>
      <c r="Q169" s="3">
        <f t="shared" si="83"/>
        <v>1.5680000000000001</v>
      </c>
      <c r="R169" s="1">
        <f t="shared" ref="R169:R174" si="84">K169+L169+M169+B170</f>
        <v>28.542000000000002</v>
      </c>
      <c r="S169" s="1">
        <f t="shared" ref="S169:S174" si="85">L169+M169+B170+C170+D170</f>
        <v>343.08000000000004</v>
      </c>
    </row>
    <row r="170" spans="1:19" x14ac:dyDescent="0.15">
      <c r="A170" s="2" t="s">
        <v>45</v>
      </c>
      <c r="B170" s="2">
        <v>0</v>
      </c>
      <c r="C170" s="6">
        <v>0.91200000000000003</v>
      </c>
      <c r="D170" s="2">
        <v>340.6</v>
      </c>
      <c r="E170" s="2">
        <v>298.351</v>
      </c>
      <c r="F170" s="2">
        <v>417.89400000000001</v>
      </c>
      <c r="G170" s="2">
        <v>361.83199999999999</v>
      </c>
      <c r="H170" s="2">
        <v>179.23099999999999</v>
      </c>
      <c r="I170" s="2">
        <v>566.88060000000007</v>
      </c>
      <c r="J170" s="2">
        <v>57.9</v>
      </c>
      <c r="K170" s="2">
        <v>1452.8520000000001</v>
      </c>
      <c r="L170" s="2">
        <v>214.101</v>
      </c>
      <c r="M170" s="2">
        <v>0</v>
      </c>
      <c r="N170" s="2">
        <f t="shared" si="81"/>
        <v>3890.5536000000006</v>
      </c>
      <c r="O170" s="3">
        <f t="shared" si="82"/>
        <v>1824.1886</v>
      </c>
      <c r="P170" s="3">
        <f t="shared" si="78"/>
        <v>1882.0886</v>
      </c>
      <c r="Q170" s="3">
        <f t="shared" si="83"/>
        <v>217.077</v>
      </c>
      <c r="R170" s="1">
        <f t="shared" si="84"/>
        <v>1669.9290000000001</v>
      </c>
      <c r="S170" s="1">
        <f t="shared" si="85"/>
        <v>221.125</v>
      </c>
    </row>
    <row r="171" spans="1:19" x14ac:dyDescent="0.15">
      <c r="A171" s="2" t="s">
        <v>46</v>
      </c>
      <c r="B171" s="2">
        <v>2.976</v>
      </c>
      <c r="C171" s="2">
        <v>0.57599999999999996</v>
      </c>
      <c r="D171" s="2">
        <v>3.472</v>
      </c>
      <c r="E171" s="2">
        <v>3.0409999999999999</v>
      </c>
      <c r="F171" s="2">
        <v>0.33600000000000002</v>
      </c>
      <c r="G171" s="2">
        <v>14.177999999999999</v>
      </c>
      <c r="H171" s="2">
        <v>24.277000000000001</v>
      </c>
      <c r="I171" s="2">
        <v>0.624</v>
      </c>
      <c r="J171" s="2">
        <v>23.733000000000001</v>
      </c>
      <c r="K171" s="2">
        <v>16.551000000000002</v>
      </c>
      <c r="L171" s="2">
        <v>1.022</v>
      </c>
      <c r="M171" s="2">
        <v>4.9710000000000001</v>
      </c>
      <c r="N171" s="2">
        <f t="shared" si="81"/>
        <v>95.757000000000019</v>
      </c>
      <c r="O171" s="3">
        <f t="shared" si="82"/>
        <v>42.456000000000003</v>
      </c>
      <c r="P171" s="3">
        <f t="shared" ref="P171:P177" si="86">E171+F171+G171+H171+I171+J171</f>
        <v>66.189000000000007</v>
      </c>
      <c r="Q171" s="3">
        <f t="shared" si="83"/>
        <v>5.9930000000000003</v>
      </c>
      <c r="R171" s="1">
        <f t="shared" si="84"/>
        <v>22.544</v>
      </c>
      <c r="S171" s="1">
        <f t="shared" si="85"/>
        <v>6.9080000000000004</v>
      </c>
    </row>
    <row r="172" spans="1:19" x14ac:dyDescent="0.15">
      <c r="A172" s="2" t="s">
        <v>57</v>
      </c>
      <c r="B172" s="2">
        <v>0</v>
      </c>
      <c r="C172" s="2">
        <v>0.14399999999999999</v>
      </c>
      <c r="D172" s="2">
        <v>0.77100000000000002</v>
      </c>
      <c r="E172" s="2">
        <v>1.7999999999999999E-2</v>
      </c>
      <c r="F172" s="2">
        <v>0.33600000000000002</v>
      </c>
      <c r="G172" s="2">
        <v>0</v>
      </c>
      <c r="H172" s="2">
        <v>5.54</v>
      </c>
      <c r="I172" s="2">
        <v>20.803999999999998</v>
      </c>
      <c r="J172" s="2">
        <v>0.03</v>
      </c>
      <c r="K172" s="2">
        <v>154.465</v>
      </c>
      <c r="L172" s="2">
        <v>19.408999999999999</v>
      </c>
      <c r="M172" s="2">
        <v>16.748999999999999</v>
      </c>
      <c r="N172" s="2">
        <f t="shared" si="81"/>
        <v>218.26599999999999</v>
      </c>
      <c r="O172" s="3">
        <f t="shared" si="82"/>
        <v>26.698</v>
      </c>
      <c r="P172" s="3">
        <f t="shared" si="86"/>
        <v>26.728000000000002</v>
      </c>
      <c r="Q172" s="3">
        <f t="shared" si="83"/>
        <v>41.837000000000003</v>
      </c>
      <c r="R172" s="1">
        <f t="shared" si="84"/>
        <v>196.30199999999999</v>
      </c>
      <c r="S172" s="1">
        <f t="shared" si="85"/>
        <v>64.704000000000008</v>
      </c>
    </row>
    <row r="173" spans="1:19" x14ac:dyDescent="0.15">
      <c r="A173" s="2" t="s">
        <v>92</v>
      </c>
      <c r="B173" s="2">
        <v>5.6790000000000003</v>
      </c>
      <c r="C173" s="2">
        <v>11.408999999999999</v>
      </c>
      <c r="D173" s="2">
        <v>11.457999999999998</v>
      </c>
      <c r="E173" s="2">
        <v>4.8000000000000001E-2</v>
      </c>
      <c r="F173" s="2">
        <v>9.6000000000000002E-2</v>
      </c>
      <c r="G173" s="2">
        <v>0.38400000000000001</v>
      </c>
      <c r="H173" s="2">
        <v>0.126</v>
      </c>
      <c r="I173" s="2">
        <v>4.4820000000000002</v>
      </c>
      <c r="J173" s="2">
        <v>17.349</v>
      </c>
      <c r="K173" s="2">
        <v>158.07999999999998</v>
      </c>
      <c r="L173" s="2">
        <v>13.898</v>
      </c>
      <c r="M173" s="2">
        <v>2.8639999999999999</v>
      </c>
      <c r="N173" s="2">
        <f t="shared" si="81"/>
        <v>225.87299999999999</v>
      </c>
      <c r="O173" s="3">
        <f t="shared" si="82"/>
        <v>5.1360000000000001</v>
      </c>
      <c r="P173" s="3">
        <f t="shared" si="86"/>
        <v>22.484999999999999</v>
      </c>
      <c r="Q173" s="3">
        <f t="shared" si="83"/>
        <v>117.81400000000001</v>
      </c>
      <c r="R173" s="1">
        <f t="shared" si="84"/>
        <v>275.89400000000001</v>
      </c>
      <c r="S173" s="1">
        <f t="shared" si="85"/>
        <v>231.81900000000002</v>
      </c>
    </row>
    <row r="174" spans="1:19" x14ac:dyDescent="0.15">
      <c r="A174" s="2" t="s">
        <v>103</v>
      </c>
      <c r="B174" s="2">
        <v>101.05200000000001</v>
      </c>
      <c r="C174" s="2">
        <v>105.291</v>
      </c>
      <c r="D174" s="6">
        <v>8.7140000000000004</v>
      </c>
      <c r="E174" s="2">
        <v>278.48599999999999</v>
      </c>
      <c r="F174" s="2">
        <v>1212.6869999999999</v>
      </c>
      <c r="G174" s="2">
        <v>411.43799999999999</v>
      </c>
      <c r="H174" s="2">
        <v>218.685</v>
      </c>
      <c r="I174" s="2">
        <v>143.41499999999999</v>
      </c>
      <c r="J174" s="2">
        <v>106.845</v>
      </c>
      <c r="K174" s="2">
        <v>49.977000000000004</v>
      </c>
      <c r="L174" s="2">
        <v>64.430999999999997</v>
      </c>
      <c r="M174" s="2">
        <v>64.680999999999997</v>
      </c>
      <c r="N174" s="2">
        <f t="shared" si="81"/>
        <v>2765.7019999999998</v>
      </c>
      <c r="O174" s="3">
        <f t="shared" ref="O174:O180" si="87">E174+F174+G174+H174+I174</f>
        <v>2264.7109999999998</v>
      </c>
      <c r="P174" s="3">
        <f t="shared" si="86"/>
        <v>2371.5559999999996</v>
      </c>
      <c r="Q174" s="3">
        <f t="shared" si="83"/>
        <v>291.34900000000005</v>
      </c>
      <c r="R174" s="1">
        <f t="shared" si="84"/>
        <v>341.32600000000002</v>
      </c>
      <c r="S174" s="1">
        <f t="shared" si="85"/>
        <v>335.99400000000003</v>
      </c>
    </row>
    <row r="175" spans="1:19" x14ac:dyDescent="0.15">
      <c r="A175" s="2" t="s">
        <v>121</v>
      </c>
      <c r="B175" s="2">
        <v>162.23700000000002</v>
      </c>
      <c r="C175" s="2">
        <v>37.637999999999998</v>
      </c>
      <c r="D175" s="6">
        <v>7.0069999999999997</v>
      </c>
      <c r="E175" s="2">
        <v>1.5249999999999999</v>
      </c>
      <c r="F175" s="2">
        <v>5.3789999999999996</v>
      </c>
      <c r="G175" s="2">
        <v>0.23699999999999999</v>
      </c>
      <c r="H175" s="2">
        <v>68.057999999999993</v>
      </c>
      <c r="I175" s="2">
        <v>113.827</v>
      </c>
      <c r="J175" s="2">
        <v>112.467</v>
      </c>
      <c r="K175" s="2">
        <v>7.2089999999999996</v>
      </c>
      <c r="L175" s="2">
        <v>14.061999999999999</v>
      </c>
      <c r="M175" s="2">
        <v>13.478</v>
      </c>
      <c r="N175" s="2">
        <f t="shared" si="81"/>
        <v>543.12399999999991</v>
      </c>
      <c r="O175" s="3">
        <f t="shared" si="87"/>
        <v>189.02600000000001</v>
      </c>
      <c r="P175" s="3">
        <f t="shared" si="86"/>
        <v>301.49299999999999</v>
      </c>
      <c r="Q175" s="3">
        <f t="shared" ref="Q175:Q180" si="88">L175+M175+B176</f>
        <v>203.44899999999998</v>
      </c>
      <c r="R175" s="1">
        <f t="shared" ref="R175:R180" si="89">K175+L175+M175+B176</f>
        <v>210.65799999999999</v>
      </c>
      <c r="S175" s="1">
        <f t="shared" ref="S175:S180" si="90">L175+M175+B176+C176+D176</f>
        <v>376.99599999999998</v>
      </c>
    </row>
    <row r="176" spans="1:19" x14ac:dyDescent="0.15">
      <c r="A176" s="2" t="s">
        <v>129</v>
      </c>
      <c r="B176" s="2">
        <v>175.90899999999999</v>
      </c>
      <c r="C176" s="2">
        <v>64.094999999999999</v>
      </c>
      <c r="D176" s="6">
        <v>109.452</v>
      </c>
      <c r="E176" s="2">
        <v>4.5350000000000001</v>
      </c>
      <c r="F176" s="2">
        <v>1032.9470000000001</v>
      </c>
      <c r="G176" s="2">
        <v>1453.241</v>
      </c>
      <c r="H176" s="2">
        <v>471.673</v>
      </c>
      <c r="I176" s="2">
        <v>588.44499999999994</v>
      </c>
      <c r="J176" s="2">
        <v>1551.231</v>
      </c>
      <c r="K176" s="2">
        <v>496.69</v>
      </c>
      <c r="L176" s="2">
        <v>77.677000000000007</v>
      </c>
      <c r="M176" s="2">
        <v>207.49799999999999</v>
      </c>
      <c r="N176" s="2">
        <f t="shared" si="81"/>
        <v>6233.3929999999982</v>
      </c>
      <c r="O176" s="3">
        <f t="shared" si="87"/>
        <v>3550.8409999999994</v>
      </c>
      <c r="P176" s="3">
        <f t="shared" si="86"/>
        <v>5102.0719999999992</v>
      </c>
      <c r="Q176" s="3">
        <f t="shared" si="88"/>
        <v>664.94600000000003</v>
      </c>
      <c r="R176" s="1">
        <f t="shared" si="89"/>
        <v>1161.636</v>
      </c>
      <c r="S176" s="1">
        <f t="shared" si="90"/>
        <v>831.90499999999997</v>
      </c>
    </row>
    <row r="177" spans="1:21" x14ac:dyDescent="0.15">
      <c r="A177" s="2" t="s">
        <v>136</v>
      </c>
      <c r="B177" s="2">
        <v>379.77100000000002</v>
      </c>
      <c r="C177" s="2">
        <v>112.76000000000002</v>
      </c>
      <c r="D177" s="6">
        <v>54.198999999999998</v>
      </c>
      <c r="E177" s="2">
        <v>19.198999999999998</v>
      </c>
      <c r="F177" s="2">
        <v>22.559000000000001</v>
      </c>
      <c r="G177" s="2">
        <v>440.596</v>
      </c>
      <c r="H177" s="2">
        <v>863.86899999999991</v>
      </c>
      <c r="I177" s="2">
        <v>999.08400000000006</v>
      </c>
      <c r="J177" s="2">
        <v>98.085999999999999</v>
      </c>
      <c r="K177" s="2">
        <v>122.92699999999999</v>
      </c>
      <c r="L177" s="2">
        <v>100.908</v>
      </c>
      <c r="M177" s="2">
        <v>52.667999999999999</v>
      </c>
      <c r="N177" s="2">
        <f t="shared" si="81"/>
        <v>3266.6259999999997</v>
      </c>
      <c r="O177" s="3">
        <f t="shared" si="87"/>
        <v>2345.3069999999998</v>
      </c>
      <c r="P177" s="3">
        <f t="shared" si="86"/>
        <v>2443.3929999999996</v>
      </c>
      <c r="Q177" s="3">
        <f t="shared" si="88"/>
        <v>350.41899999999998</v>
      </c>
      <c r="R177" s="1">
        <f t="shared" si="89"/>
        <v>473.346</v>
      </c>
      <c r="S177" s="1">
        <f t="shared" si="90"/>
        <v>632.18499999999995</v>
      </c>
    </row>
    <row r="178" spans="1:21" x14ac:dyDescent="0.15">
      <c r="A178" s="2" t="s">
        <v>140</v>
      </c>
      <c r="B178" s="2">
        <v>196.84299999999999</v>
      </c>
      <c r="C178" s="2">
        <v>161.625</v>
      </c>
      <c r="D178" s="6">
        <v>120.14100000000001</v>
      </c>
      <c r="E178" s="2">
        <v>10.786</v>
      </c>
      <c r="F178" s="2">
        <v>41.713000000000001</v>
      </c>
      <c r="G178" s="2">
        <v>106.589</v>
      </c>
      <c r="H178" s="2">
        <v>320.86799999999999</v>
      </c>
      <c r="I178" s="2">
        <v>249.36499999999998</v>
      </c>
      <c r="J178" s="2">
        <v>188.12</v>
      </c>
      <c r="K178" s="2">
        <v>1632.8719999999998</v>
      </c>
      <c r="L178" s="2">
        <v>3061.2640000000001</v>
      </c>
      <c r="M178" s="2">
        <v>1362.0340000000001</v>
      </c>
      <c r="N178" s="2">
        <f t="shared" si="81"/>
        <v>7452.2199999999993</v>
      </c>
      <c r="O178" s="3">
        <f t="shared" si="87"/>
        <v>729.32100000000003</v>
      </c>
      <c r="P178" s="3">
        <f>E178+F178+G178+H178+I178+J178</f>
        <v>917.44100000000003</v>
      </c>
      <c r="Q178" s="3">
        <f t="shared" si="88"/>
        <v>4707.5280000000002</v>
      </c>
      <c r="R178" s="1">
        <f t="shared" si="89"/>
        <v>6340.4</v>
      </c>
      <c r="S178" s="1">
        <f t="shared" si="90"/>
        <v>4908.4610000000002</v>
      </c>
    </row>
    <row r="179" spans="1:21" x14ac:dyDescent="0.15">
      <c r="A179" s="2" t="s">
        <v>143</v>
      </c>
      <c r="B179" s="2">
        <v>284.23</v>
      </c>
      <c r="C179" s="2">
        <v>83.522000000000006</v>
      </c>
      <c r="D179" s="6">
        <v>117.411</v>
      </c>
      <c r="E179" s="2">
        <v>113.423</v>
      </c>
      <c r="F179" s="2">
        <v>166.929</v>
      </c>
      <c r="G179" s="2">
        <v>312.64000000000004</v>
      </c>
      <c r="H179" s="2">
        <v>413.95600000000002</v>
      </c>
      <c r="I179" s="2">
        <v>1159.829</v>
      </c>
      <c r="J179" s="2">
        <v>100.261</v>
      </c>
      <c r="K179" s="2">
        <v>449.53300000000002</v>
      </c>
      <c r="L179" s="2">
        <v>367.72999999999996</v>
      </c>
      <c r="M179" s="2">
        <v>232.81799999999998</v>
      </c>
      <c r="N179" s="2">
        <f t="shared" si="81"/>
        <v>3802.2819999999992</v>
      </c>
      <c r="O179" s="3">
        <f t="shared" si="87"/>
        <v>2166.777</v>
      </c>
      <c r="P179" s="3">
        <f>E179+F179+G179+H179+I179+J179</f>
        <v>2267.038</v>
      </c>
      <c r="Q179" s="3">
        <f t="shared" si="88"/>
        <v>657.322</v>
      </c>
      <c r="R179" s="1">
        <f t="shared" si="89"/>
        <v>1106.855</v>
      </c>
      <c r="S179" s="1">
        <f t="shared" si="90"/>
        <v>786.20900000000006</v>
      </c>
    </row>
    <row r="180" spans="1:21" x14ac:dyDescent="0.15">
      <c r="A180" s="2" t="s">
        <v>149</v>
      </c>
      <c r="B180" s="2">
        <v>56.774000000000001</v>
      </c>
      <c r="C180" s="2">
        <v>37.384</v>
      </c>
      <c r="D180" s="6">
        <v>91.503</v>
      </c>
      <c r="E180" s="2">
        <v>3.8460000000000001</v>
      </c>
      <c r="F180" s="2">
        <v>57.209000000000003</v>
      </c>
      <c r="G180" s="2">
        <v>404.161</v>
      </c>
      <c r="H180" s="2">
        <v>128.42099999999999</v>
      </c>
      <c r="I180" s="2">
        <v>100.17</v>
      </c>
      <c r="J180" s="19">
        <v>210.42000000000002</v>
      </c>
      <c r="K180" s="19">
        <v>60.234999999999999</v>
      </c>
      <c r="L180" s="19">
        <v>105.43899999999999</v>
      </c>
      <c r="M180" s="19">
        <v>3.4740000000000002</v>
      </c>
      <c r="N180" s="2">
        <f t="shared" si="81"/>
        <v>1259.0359999999998</v>
      </c>
      <c r="O180" s="3">
        <f t="shared" si="87"/>
        <v>693.8069999999999</v>
      </c>
      <c r="P180" s="3">
        <f>E180+F180+G180+H180+I180+J180</f>
        <v>904.22699999999986</v>
      </c>
      <c r="Q180" s="154">
        <f t="shared" si="88"/>
        <v>109.74199999999999</v>
      </c>
      <c r="R180" s="20">
        <f t="shared" si="89"/>
        <v>169.97699999999998</v>
      </c>
      <c r="S180" s="20">
        <f t="shared" si="90"/>
        <v>109.74199999999999</v>
      </c>
    </row>
    <row r="181" spans="1:21" x14ac:dyDescent="0.15">
      <c r="A181" s="2" t="s">
        <v>158</v>
      </c>
      <c r="B181" s="19">
        <v>0.82899999999999996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>
        <f>SUM(B181:M181)</f>
        <v>0.82899999999999996</v>
      </c>
      <c r="O181" s="154"/>
      <c r="P181" s="154"/>
      <c r="Q181" s="4"/>
    </row>
    <row r="182" spans="1:2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24">
        <f>AVERAGE(O176:O180)</f>
        <v>1897.2105999999999</v>
      </c>
      <c r="P182" s="24">
        <f>AVERAGE(P176:P180)</f>
        <v>2326.8341999999998</v>
      </c>
      <c r="Q182" s="24">
        <f>AVERAGE(Q175:Q179)</f>
        <v>1316.7328000000002</v>
      </c>
      <c r="R182" s="24">
        <f>AVERAGE(R175:R179)</f>
        <v>1858.5789999999997</v>
      </c>
      <c r="S182" s="24">
        <f>AVERAGE(S175:S179)</f>
        <v>1507.1512</v>
      </c>
    </row>
    <row r="183" spans="1:21" x14ac:dyDescent="0.15">
      <c r="A183" s="36" t="s">
        <v>29</v>
      </c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</row>
    <row r="184" spans="1:21" x14ac:dyDescent="0.15">
      <c r="A184" s="37"/>
      <c r="B184" s="37" t="s">
        <v>4</v>
      </c>
      <c r="C184" s="37" t="s">
        <v>5</v>
      </c>
      <c r="D184" s="37" t="s">
        <v>6</v>
      </c>
      <c r="E184" s="37" t="s">
        <v>7</v>
      </c>
      <c r="F184" s="37" t="s">
        <v>8</v>
      </c>
      <c r="G184" s="37" t="s">
        <v>9</v>
      </c>
      <c r="H184" s="37" t="s">
        <v>10</v>
      </c>
      <c r="I184" s="37" t="s">
        <v>11</v>
      </c>
      <c r="J184" s="37" t="s">
        <v>12</v>
      </c>
      <c r="K184" s="37" t="s">
        <v>13</v>
      </c>
      <c r="L184" s="37" t="s">
        <v>14</v>
      </c>
      <c r="M184" s="37" t="s">
        <v>15</v>
      </c>
      <c r="N184" s="37" t="s">
        <v>16</v>
      </c>
      <c r="O184" s="1" t="s">
        <v>43</v>
      </c>
      <c r="P184" s="4" t="s">
        <v>82</v>
      </c>
      <c r="Q184" s="4" t="s">
        <v>83</v>
      </c>
      <c r="R184" s="4" t="s">
        <v>42</v>
      </c>
    </row>
    <row r="185" spans="1:21" x14ac:dyDescent="0.15">
      <c r="A185" s="37" t="s">
        <v>17</v>
      </c>
      <c r="B185" s="73">
        <f t="shared" ref="B185:M185" si="91">B155+B125+B95+B65+B35+B5</f>
        <v>5227.8779999999997</v>
      </c>
      <c r="C185" s="73">
        <f t="shared" si="91"/>
        <v>6051.0749999999998</v>
      </c>
      <c r="D185" s="73">
        <f t="shared" si="91"/>
        <v>391.51499999999999</v>
      </c>
      <c r="E185" s="73">
        <f t="shared" si="91"/>
        <v>3437.86</v>
      </c>
      <c r="F185" s="73">
        <f t="shared" si="91"/>
        <v>871.58799999999997</v>
      </c>
      <c r="G185" s="73">
        <f t="shared" si="91"/>
        <v>967.63199999999995</v>
      </c>
      <c r="H185" s="73">
        <f t="shared" si="91"/>
        <v>2010.826</v>
      </c>
      <c r="I185" s="73">
        <f t="shared" si="91"/>
        <v>1099.2749999999999</v>
      </c>
      <c r="J185" s="73">
        <f t="shared" si="91"/>
        <v>698.37000000000012</v>
      </c>
      <c r="K185" s="73">
        <f t="shared" si="91"/>
        <v>1868.76</v>
      </c>
      <c r="L185" s="73">
        <f t="shared" si="91"/>
        <v>2738.7</v>
      </c>
      <c r="M185" s="73">
        <f t="shared" si="91"/>
        <v>1021.8</v>
      </c>
      <c r="N185" s="37">
        <f>SUM(B185:M185)</f>
        <v>26385.278999999999</v>
      </c>
      <c r="O185" s="3">
        <f t="shared" ref="O185:O190" si="92">E185+F185+G185+H185+I185</f>
        <v>8387.1810000000005</v>
      </c>
      <c r="P185" s="3">
        <f t="shared" ref="P185:P190" si="93">E185+F185+G185+H185+I185+J185</f>
        <v>9085.5510000000013</v>
      </c>
      <c r="Q185" s="3">
        <f t="shared" ref="Q185:Q191" si="94">L185+M185+B186</f>
        <v>8663.1850000000013</v>
      </c>
      <c r="R185" s="130">
        <f t="shared" ref="R185:R190" si="95">L185+M185+B186+C186+D186</f>
        <v>43935.340000000004</v>
      </c>
    </row>
    <row r="186" spans="1:21" x14ac:dyDescent="0.15">
      <c r="A186" s="37" t="s">
        <v>18</v>
      </c>
      <c r="B186" s="73">
        <f t="shared" ref="B186:M186" si="96">B156+B126+B96+B66+B36+B6</f>
        <v>4902.6850000000004</v>
      </c>
      <c r="C186" s="73">
        <f t="shared" si="96"/>
        <v>12616.068999999998</v>
      </c>
      <c r="D186" s="73">
        <f t="shared" si="96"/>
        <v>22656.086000000003</v>
      </c>
      <c r="E186" s="73">
        <f t="shared" si="96"/>
        <v>9762.98</v>
      </c>
      <c r="F186" s="73">
        <f t="shared" si="96"/>
        <v>6786.5250000000005</v>
      </c>
      <c r="G186" s="73">
        <f t="shared" si="96"/>
        <v>3268.5149999999999</v>
      </c>
      <c r="H186" s="73">
        <f t="shared" si="96"/>
        <v>4444.58</v>
      </c>
      <c r="I186" s="73">
        <f t="shared" si="96"/>
        <v>4981.2449999999999</v>
      </c>
      <c r="J186" s="73">
        <f t="shared" si="96"/>
        <v>4654.5149999999994</v>
      </c>
      <c r="K186" s="73">
        <f t="shared" si="96"/>
        <v>1498.8500000000001</v>
      </c>
      <c r="L186" s="73">
        <f t="shared" si="96"/>
        <v>397.78999999999996</v>
      </c>
      <c r="M186" s="73">
        <f t="shared" si="96"/>
        <v>2001.7750000000001</v>
      </c>
      <c r="N186" s="37">
        <f t="shared" ref="N186:N193" si="97">SUM(B186:M186)</f>
        <v>77971.614999999991</v>
      </c>
      <c r="O186" s="3">
        <f t="shared" si="92"/>
        <v>29243.844999999998</v>
      </c>
      <c r="P186" s="3">
        <f t="shared" si="93"/>
        <v>33898.36</v>
      </c>
      <c r="Q186" s="3">
        <f t="shared" si="94"/>
        <v>5666.6929999999993</v>
      </c>
      <c r="R186" s="130">
        <f t="shared" si="95"/>
        <v>32756.668000000001</v>
      </c>
    </row>
    <row r="187" spans="1:21" x14ac:dyDescent="0.15">
      <c r="A187" s="37" t="s">
        <v>19</v>
      </c>
      <c r="B187" s="73">
        <f t="shared" ref="B187:M187" si="98">B157+B127+B97+B67+B37+B7</f>
        <v>3267.1279999999997</v>
      </c>
      <c r="C187" s="73">
        <f t="shared" si="98"/>
        <v>11582.69</v>
      </c>
      <c r="D187" s="73">
        <f t="shared" si="98"/>
        <v>15507.285</v>
      </c>
      <c r="E187" s="73">
        <f t="shared" si="98"/>
        <v>7732.2450000000008</v>
      </c>
      <c r="F187" s="73">
        <f t="shared" si="98"/>
        <v>4137.6850000000004</v>
      </c>
      <c r="G187" s="73">
        <f t="shared" si="98"/>
        <v>9020.9449999999997</v>
      </c>
      <c r="H187" s="73">
        <f t="shared" si="98"/>
        <v>13568.000000000002</v>
      </c>
      <c r="I187" s="73">
        <f t="shared" si="98"/>
        <v>6844.64</v>
      </c>
      <c r="J187" s="73">
        <f t="shared" si="98"/>
        <v>3788.4929999999999</v>
      </c>
      <c r="K187" s="73">
        <f t="shared" si="98"/>
        <v>7308.7860000000001</v>
      </c>
      <c r="L187" s="73">
        <f t="shared" si="98"/>
        <v>3006.915</v>
      </c>
      <c r="M187" s="73">
        <f t="shared" si="98"/>
        <v>3946.3780000000006</v>
      </c>
      <c r="N187" s="37">
        <f t="shared" si="97"/>
        <v>89711.189999999988</v>
      </c>
      <c r="O187" s="3">
        <f t="shared" si="92"/>
        <v>41303.514999999999</v>
      </c>
      <c r="P187" s="3">
        <f t="shared" si="93"/>
        <v>45092.008000000002</v>
      </c>
      <c r="Q187" s="3">
        <f t="shared" si="94"/>
        <v>10198.870999999999</v>
      </c>
      <c r="R187" s="130">
        <f t="shared" si="95"/>
        <v>21905.495999999999</v>
      </c>
    </row>
    <row r="188" spans="1:21" x14ac:dyDescent="0.15">
      <c r="A188" s="37" t="s">
        <v>20</v>
      </c>
      <c r="B188" s="73">
        <f t="shared" ref="B188:M188" si="99">B158+B128+B98+B68+B38+B8</f>
        <v>3245.5779999999995</v>
      </c>
      <c r="C188" s="73">
        <f t="shared" si="99"/>
        <v>6051.41</v>
      </c>
      <c r="D188" s="73">
        <f t="shared" si="99"/>
        <v>5655.2150000000001</v>
      </c>
      <c r="E188" s="73">
        <f t="shared" si="99"/>
        <v>2108.9</v>
      </c>
      <c r="F188" s="73">
        <f t="shared" si="99"/>
        <v>1651.7549999999999</v>
      </c>
      <c r="G188" s="73">
        <f t="shared" si="99"/>
        <v>3419.06</v>
      </c>
      <c r="H188" s="73">
        <f t="shared" si="99"/>
        <v>3837.4730000000004</v>
      </c>
      <c r="I188" s="73">
        <f t="shared" si="99"/>
        <v>5509.4340000000002</v>
      </c>
      <c r="J188" s="73">
        <f t="shared" si="99"/>
        <v>882.92700000000002</v>
      </c>
      <c r="K188" s="73">
        <f t="shared" si="99"/>
        <v>471.738</v>
      </c>
      <c r="L188" s="73">
        <f t="shared" si="99"/>
        <v>2348.2449999999999</v>
      </c>
      <c r="M188" s="73">
        <f t="shared" si="99"/>
        <v>1248.9059999999999</v>
      </c>
      <c r="N188" s="37">
        <f t="shared" si="97"/>
        <v>36430.641000000011</v>
      </c>
      <c r="O188" s="3">
        <f t="shared" si="92"/>
        <v>16526.621999999999</v>
      </c>
      <c r="P188" s="3">
        <f t="shared" si="93"/>
        <v>17409.548999999999</v>
      </c>
      <c r="Q188" s="3">
        <f t="shared" si="94"/>
        <v>5163.1509999999998</v>
      </c>
      <c r="R188" s="130">
        <f t="shared" si="95"/>
        <v>8682.9039999999986</v>
      </c>
    </row>
    <row r="189" spans="1:21" x14ac:dyDescent="0.15">
      <c r="A189" s="37" t="s">
        <v>21</v>
      </c>
      <c r="B189" s="73">
        <f t="shared" ref="B189:M189" si="100">B159+B129+B99+B69+B39+B9</f>
        <v>1566</v>
      </c>
      <c r="C189" s="73">
        <f t="shared" si="100"/>
        <v>859.60500000000002</v>
      </c>
      <c r="D189" s="73">
        <f t="shared" si="100"/>
        <v>2660.1480000000001</v>
      </c>
      <c r="E189" s="73">
        <f t="shared" si="100"/>
        <v>3672.1729999999998</v>
      </c>
      <c r="F189" s="73">
        <f t="shared" si="100"/>
        <v>589.13000000000011</v>
      </c>
      <c r="G189" s="73">
        <f t="shared" si="100"/>
        <v>171.23499999999999</v>
      </c>
      <c r="H189" s="73">
        <f t="shared" si="100"/>
        <v>1111.5</v>
      </c>
      <c r="I189" s="73">
        <f t="shared" si="100"/>
        <v>308.64800000000002</v>
      </c>
      <c r="J189" s="73">
        <f t="shared" si="100"/>
        <v>388.245</v>
      </c>
      <c r="K189" s="73">
        <f t="shared" si="100"/>
        <v>81.108000000000004</v>
      </c>
      <c r="L189" s="73">
        <f t="shared" si="100"/>
        <v>38</v>
      </c>
      <c r="M189" s="73">
        <f t="shared" si="100"/>
        <v>820.90000000000009</v>
      </c>
      <c r="N189" s="37">
        <f t="shared" si="97"/>
        <v>12266.692000000001</v>
      </c>
      <c r="O189" s="3">
        <f t="shared" si="92"/>
        <v>5852.6859999999997</v>
      </c>
      <c r="P189" s="3">
        <f t="shared" si="93"/>
        <v>6240.9309999999996</v>
      </c>
      <c r="Q189" s="3">
        <f t="shared" si="94"/>
        <v>1287.0300000000002</v>
      </c>
      <c r="R189" s="130">
        <f t="shared" si="95"/>
        <v>2002.9710000000002</v>
      </c>
    </row>
    <row r="190" spans="1:21" x14ac:dyDescent="0.15">
      <c r="A190" s="37" t="s">
        <v>22</v>
      </c>
      <c r="B190" s="73">
        <f t="shared" ref="B190:M190" si="101">B160+B130+B100+B70+B40+B10</f>
        <v>428.13</v>
      </c>
      <c r="C190" s="73">
        <f t="shared" si="101"/>
        <v>558.875</v>
      </c>
      <c r="D190" s="73">
        <f t="shared" si="101"/>
        <v>157.066</v>
      </c>
      <c r="E190" s="73">
        <f t="shared" si="101"/>
        <v>9.6</v>
      </c>
      <c r="F190" s="73">
        <f t="shared" si="101"/>
        <v>45.346000000000004</v>
      </c>
      <c r="G190" s="73">
        <f t="shared" si="101"/>
        <v>516.40000000000009</v>
      </c>
      <c r="H190" s="73">
        <f t="shared" si="101"/>
        <v>819.91500000000008</v>
      </c>
      <c r="I190" s="73">
        <f t="shared" si="101"/>
        <v>654.80000000000007</v>
      </c>
      <c r="J190" s="73">
        <f t="shared" si="101"/>
        <v>89.944999999999993</v>
      </c>
      <c r="K190" s="73">
        <f t="shared" si="101"/>
        <v>231.20499999999998</v>
      </c>
      <c r="L190" s="73">
        <f t="shared" si="101"/>
        <v>3.4549999999999996</v>
      </c>
      <c r="M190" s="73">
        <f t="shared" si="101"/>
        <v>10.999999999999998</v>
      </c>
      <c r="N190" s="37">
        <f t="shared" si="97"/>
        <v>3525.7370000000001</v>
      </c>
      <c r="O190" s="3">
        <f t="shared" si="92"/>
        <v>2046.0610000000001</v>
      </c>
      <c r="P190" s="3">
        <f t="shared" si="93"/>
        <v>2136.0060000000003</v>
      </c>
      <c r="Q190" s="3">
        <f t="shared" si="94"/>
        <v>42.844999999999999</v>
      </c>
      <c r="R190" s="130">
        <f t="shared" si="95"/>
        <v>419.22500000000002</v>
      </c>
    </row>
    <row r="191" spans="1:21" s="5" customFormat="1" x14ac:dyDescent="0.15">
      <c r="A191" s="37" t="s">
        <v>23</v>
      </c>
      <c r="B191" s="73">
        <f t="shared" ref="B191:M191" si="102">B161+B131+B101+B71+B41+B11</f>
        <v>28.39</v>
      </c>
      <c r="C191" s="73">
        <f t="shared" si="102"/>
        <v>11.065</v>
      </c>
      <c r="D191" s="73">
        <f t="shared" si="102"/>
        <v>365.315</v>
      </c>
      <c r="E191" s="73">
        <f t="shared" si="102"/>
        <v>358.45499999999993</v>
      </c>
      <c r="F191" s="73">
        <f t="shared" si="102"/>
        <v>100.788</v>
      </c>
      <c r="G191" s="73">
        <f t="shared" si="102"/>
        <v>83.9</v>
      </c>
      <c r="H191" s="73">
        <f t="shared" si="102"/>
        <v>153.40800000000002</v>
      </c>
      <c r="I191" s="73">
        <f t="shared" si="102"/>
        <v>137.80000000000001</v>
      </c>
      <c r="J191" s="73">
        <f t="shared" si="102"/>
        <v>119.8</v>
      </c>
      <c r="K191" s="73">
        <f t="shared" si="102"/>
        <v>9.1</v>
      </c>
      <c r="L191" s="73">
        <f t="shared" si="102"/>
        <v>62.6</v>
      </c>
      <c r="M191" s="73">
        <f t="shared" si="102"/>
        <v>77</v>
      </c>
      <c r="N191" s="37">
        <f t="shared" si="97"/>
        <v>1507.6209999999996</v>
      </c>
      <c r="O191" s="3">
        <f t="shared" ref="O191:O197" si="103">E191+F191+G191+H191+I191</f>
        <v>834.35099999999989</v>
      </c>
      <c r="P191" s="3">
        <f>E191+F191+G191+H191+I191+J191</f>
        <v>954.15099999999984</v>
      </c>
      <c r="Q191" s="3">
        <f t="shared" si="94"/>
        <v>151</v>
      </c>
      <c r="R191" s="130">
        <f t="shared" ref="R191:R198" si="104">L191+M191+B192+C192+D192</f>
        <v>202.57</v>
      </c>
      <c r="S191" s="1"/>
      <c r="T191" s="1"/>
      <c r="U191" s="1"/>
    </row>
    <row r="192" spans="1:21" s="5" customFormat="1" x14ac:dyDescent="0.15">
      <c r="A192" s="37" t="s">
        <v>32</v>
      </c>
      <c r="B192" s="73">
        <f t="shared" ref="B192:M192" si="105">B162+B132+B102+B72+B42+B12</f>
        <v>11.399999999999999</v>
      </c>
      <c r="C192" s="73">
        <f t="shared" si="105"/>
        <v>10.52</v>
      </c>
      <c r="D192" s="73">
        <f t="shared" si="105"/>
        <v>41.05</v>
      </c>
      <c r="E192" s="73">
        <f t="shared" si="105"/>
        <v>129.05000000000001</v>
      </c>
      <c r="F192" s="73">
        <f t="shared" si="105"/>
        <v>180.79999999999998</v>
      </c>
      <c r="G192" s="73">
        <f t="shared" si="105"/>
        <v>213.68799999999999</v>
      </c>
      <c r="H192" s="73">
        <f t="shared" si="105"/>
        <v>66.105000000000004</v>
      </c>
      <c r="I192" s="73">
        <f t="shared" si="105"/>
        <v>68.863</v>
      </c>
      <c r="J192" s="73">
        <f t="shared" si="105"/>
        <v>39.533000000000001</v>
      </c>
      <c r="K192" s="73">
        <f t="shared" si="105"/>
        <v>67.72</v>
      </c>
      <c r="L192" s="73">
        <f t="shared" si="105"/>
        <v>54.848999999999997</v>
      </c>
      <c r="M192" s="73">
        <f t="shared" si="105"/>
        <v>27.047000000000001</v>
      </c>
      <c r="N192" s="37">
        <f t="shared" si="97"/>
        <v>910.62500000000023</v>
      </c>
      <c r="O192" s="3">
        <f t="shared" si="103"/>
        <v>658.50600000000009</v>
      </c>
      <c r="P192" s="3">
        <f t="shared" ref="P192:P199" si="106">E192+F192+G192+H192+I192+J192</f>
        <v>698.0390000000001</v>
      </c>
      <c r="Q192" s="3">
        <f t="shared" ref="Q192:Q197" si="107">L192+M192+B193</f>
        <v>97.692000000000007</v>
      </c>
      <c r="R192" s="130">
        <f t="shared" si="104"/>
        <v>158.42200000000003</v>
      </c>
      <c r="S192" s="1"/>
      <c r="T192" s="1"/>
      <c r="U192" s="1"/>
    </row>
    <row r="193" spans="1:22" s="5" customFormat="1" x14ac:dyDescent="0.15">
      <c r="A193" s="37" t="s">
        <v>33</v>
      </c>
      <c r="B193" s="73">
        <f t="shared" ref="B193:M193" si="108">B163+B133+B103+B73+B43+B13</f>
        <v>15.795999999999999</v>
      </c>
      <c r="C193" s="73">
        <f t="shared" si="108"/>
        <v>28.15</v>
      </c>
      <c r="D193" s="73">
        <f t="shared" si="108"/>
        <v>32.58</v>
      </c>
      <c r="E193" s="73">
        <f t="shared" si="108"/>
        <v>26.023</v>
      </c>
      <c r="F193" s="73">
        <f t="shared" si="108"/>
        <v>103.035</v>
      </c>
      <c r="G193" s="73">
        <f t="shared" si="108"/>
        <v>6.971000000000001</v>
      </c>
      <c r="H193" s="73">
        <f t="shared" si="108"/>
        <v>30.631</v>
      </c>
      <c r="I193" s="73">
        <f t="shared" si="108"/>
        <v>48.783000000000008</v>
      </c>
      <c r="J193" s="73">
        <f t="shared" si="108"/>
        <v>2.0110000000000001</v>
      </c>
      <c r="K193" s="73">
        <f t="shared" si="108"/>
        <v>1.7000000000000002</v>
      </c>
      <c r="L193" s="73">
        <f t="shared" si="108"/>
        <v>4.3000000000000007</v>
      </c>
      <c r="M193" s="73">
        <f t="shared" si="108"/>
        <v>9</v>
      </c>
      <c r="N193" s="37">
        <f t="shared" si="97"/>
        <v>308.98</v>
      </c>
      <c r="O193" s="3">
        <f t="shared" si="103"/>
        <v>215.44300000000001</v>
      </c>
      <c r="P193" s="3">
        <f t="shared" si="106"/>
        <v>217.45400000000001</v>
      </c>
      <c r="Q193" s="3">
        <f t="shared" si="107"/>
        <v>18.57</v>
      </c>
      <c r="R193" s="130">
        <f t="shared" si="104"/>
        <v>34.660000000000004</v>
      </c>
      <c r="S193" s="1"/>
      <c r="T193" s="1"/>
      <c r="U193" s="1"/>
    </row>
    <row r="194" spans="1:22" x14ac:dyDescent="0.15">
      <c r="A194" s="37" t="s">
        <v>34</v>
      </c>
      <c r="B194" s="73">
        <f t="shared" ref="B194:M194" si="109">B164+B134+B104+B74+B44+B14</f>
        <v>5.2700000000000005</v>
      </c>
      <c r="C194" s="73">
        <f t="shared" si="109"/>
        <v>9.0299999999999994</v>
      </c>
      <c r="D194" s="73">
        <f t="shared" si="109"/>
        <v>7.0600000000000005</v>
      </c>
      <c r="E194" s="73">
        <f t="shared" si="109"/>
        <v>20.100000000000001</v>
      </c>
      <c r="F194" s="73">
        <f t="shared" si="109"/>
        <v>6.85</v>
      </c>
      <c r="G194" s="73">
        <f t="shared" si="109"/>
        <v>3.4200000000000004</v>
      </c>
      <c r="H194" s="73">
        <f t="shared" si="109"/>
        <v>81.320000000000007</v>
      </c>
      <c r="I194" s="73">
        <f t="shared" si="109"/>
        <v>4.7199999999999989</v>
      </c>
      <c r="J194" s="73">
        <f t="shared" si="109"/>
        <v>29.1</v>
      </c>
      <c r="K194" s="73">
        <f t="shared" si="109"/>
        <v>3.8</v>
      </c>
      <c r="L194" s="73">
        <f t="shared" si="109"/>
        <v>0.41800000000000004</v>
      </c>
      <c r="M194" s="73">
        <f t="shared" si="109"/>
        <v>0</v>
      </c>
      <c r="N194" s="37">
        <f t="shared" ref="N194:N199" si="110">SUM(B194:M194)</f>
        <v>171.08800000000002</v>
      </c>
      <c r="O194" s="3">
        <f t="shared" si="103"/>
        <v>116.41000000000001</v>
      </c>
      <c r="P194" s="3">
        <f t="shared" si="106"/>
        <v>145.51000000000002</v>
      </c>
      <c r="Q194" s="3">
        <f t="shared" si="107"/>
        <v>1.4180000000000001</v>
      </c>
      <c r="R194" s="130">
        <f t="shared" si="104"/>
        <v>1.9860000000000002</v>
      </c>
      <c r="V194" s="5"/>
    </row>
    <row r="195" spans="1:22" s="5" customFormat="1" x14ac:dyDescent="0.15">
      <c r="A195" s="37" t="s">
        <v>35</v>
      </c>
      <c r="B195" s="73">
        <f t="shared" ref="B195:M195" si="111">B165+B135+B105+B75+B45+B15</f>
        <v>1</v>
      </c>
      <c r="C195" s="73">
        <f t="shared" si="111"/>
        <v>0.45400000000000001</v>
      </c>
      <c r="D195" s="73">
        <f t="shared" si="111"/>
        <v>0.114</v>
      </c>
      <c r="E195" s="73">
        <f t="shared" si="111"/>
        <v>0.30900000000000005</v>
      </c>
      <c r="F195" s="73">
        <f t="shared" si="111"/>
        <v>1.8159999999999998</v>
      </c>
      <c r="G195" s="73">
        <f t="shared" si="111"/>
        <v>4.5620000000000003</v>
      </c>
      <c r="H195" s="73">
        <f t="shared" si="111"/>
        <v>2.4999999999999998E-2</v>
      </c>
      <c r="I195" s="73">
        <f t="shared" si="111"/>
        <v>2.4979999999999998</v>
      </c>
      <c r="J195" s="73">
        <f t="shared" si="111"/>
        <v>24.474</v>
      </c>
      <c r="K195" s="73">
        <f t="shared" si="111"/>
        <v>8.4749999999999996</v>
      </c>
      <c r="L195" s="73">
        <f t="shared" si="111"/>
        <v>0</v>
      </c>
      <c r="M195" s="73">
        <f t="shared" si="111"/>
        <v>0</v>
      </c>
      <c r="N195" s="37">
        <f t="shared" si="110"/>
        <v>43.727000000000004</v>
      </c>
      <c r="O195" s="3">
        <f t="shared" si="103"/>
        <v>9.2100000000000009</v>
      </c>
      <c r="P195" s="88">
        <f t="shared" si="106"/>
        <v>33.683999999999997</v>
      </c>
      <c r="Q195" s="3">
        <f t="shared" si="107"/>
        <v>5.3999999999999999E-2</v>
      </c>
      <c r="R195" s="130">
        <f t="shared" si="104"/>
        <v>5.3250000000000002</v>
      </c>
      <c r="S195" s="1"/>
      <c r="T195" s="1"/>
      <c r="U195" s="1"/>
    </row>
    <row r="196" spans="1:22" x14ac:dyDescent="0.15">
      <c r="A196" s="37" t="s">
        <v>37</v>
      </c>
      <c r="B196" s="73">
        <f t="shared" ref="B196:M196" si="112">B166+B136+B106+B76+B46+B16</f>
        <v>5.3999999999999999E-2</v>
      </c>
      <c r="C196" s="73">
        <f t="shared" si="112"/>
        <v>0.94700000000000006</v>
      </c>
      <c r="D196" s="73">
        <f t="shared" si="112"/>
        <v>4.3239999999999998</v>
      </c>
      <c r="E196" s="73">
        <f t="shared" si="112"/>
        <v>6.9820000000000002</v>
      </c>
      <c r="F196" s="73">
        <f t="shared" si="112"/>
        <v>4.79</v>
      </c>
      <c r="G196" s="73">
        <f t="shared" si="112"/>
        <v>14.781000000000002</v>
      </c>
      <c r="H196" s="73">
        <f t="shared" si="112"/>
        <v>11.890999999999996</v>
      </c>
      <c r="I196" s="73">
        <f t="shared" si="112"/>
        <v>2.7729999999999997</v>
      </c>
      <c r="J196" s="73">
        <f t="shared" si="112"/>
        <v>24.135999999999999</v>
      </c>
      <c r="K196" s="73">
        <f t="shared" si="112"/>
        <v>16.948</v>
      </c>
      <c r="L196" s="73">
        <f t="shared" si="112"/>
        <v>0.79400000000000004</v>
      </c>
      <c r="M196" s="73">
        <f t="shared" si="112"/>
        <v>0</v>
      </c>
      <c r="N196" s="37">
        <f t="shared" si="110"/>
        <v>88.42</v>
      </c>
      <c r="O196" s="3">
        <f t="shared" si="103"/>
        <v>41.216999999999999</v>
      </c>
      <c r="P196" s="88">
        <f t="shared" si="106"/>
        <v>65.352999999999994</v>
      </c>
      <c r="Q196" s="3">
        <f t="shared" si="107"/>
        <v>0.79400000000000004</v>
      </c>
      <c r="R196" s="130">
        <f t="shared" si="104"/>
        <v>1.2709999999999999</v>
      </c>
      <c r="V196" s="5"/>
    </row>
    <row r="197" spans="1:22" x14ac:dyDescent="0.15">
      <c r="A197" s="37" t="s">
        <v>39</v>
      </c>
      <c r="B197" s="73">
        <f t="shared" ref="B197:M197" si="113">B167+B137+B107+B77+B47+B17</f>
        <v>0</v>
      </c>
      <c r="C197" s="73">
        <f t="shared" si="113"/>
        <v>0</v>
      </c>
      <c r="D197" s="73">
        <f t="shared" si="113"/>
        <v>0.47699999999999998</v>
      </c>
      <c r="E197" s="73">
        <f t="shared" si="113"/>
        <v>164.738</v>
      </c>
      <c r="F197" s="73">
        <f t="shared" si="113"/>
        <v>65.527000000000001</v>
      </c>
      <c r="G197" s="73">
        <f t="shared" si="113"/>
        <v>24.326999999999998</v>
      </c>
      <c r="H197" s="73">
        <f t="shared" si="113"/>
        <v>52.899999999999991</v>
      </c>
      <c r="I197" s="73">
        <f t="shared" si="113"/>
        <v>67.688999999999993</v>
      </c>
      <c r="J197" s="73">
        <f t="shared" si="113"/>
        <v>32.180999999999997</v>
      </c>
      <c r="K197" s="73">
        <f t="shared" si="113"/>
        <v>34.696000000000005</v>
      </c>
      <c r="L197" s="73">
        <f t="shared" si="113"/>
        <v>0.39699999999999996</v>
      </c>
      <c r="M197" s="73">
        <f t="shared" si="113"/>
        <v>2.093</v>
      </c>
      <c r="N197" s="37">
        <f t="shared" si="110"/>
        <v>445.02500000000003</v>
      </c>
      <c r="O197" s="3">
        <f t="shared" si="103"/>
        <v>375.18099999999993</v>
      </c>
      <c r="P197" s="88">
        <f t="shared" si="106"/>
        <v>407.36199999999991</v>
      </c>
      <c r="Q197" s="3">
        <f t="shared" si="107"/>
        <v>5.4049999999999994</v>
      </c>
      <c r="R197" s="130">
        <f t="shared" si="104"/>
        <v>13.406399999999998</v>
      </c>
      <c r="V197" s="5"/>
    </row>
    <row r="198" spans="1:22" x14ac:dyDescent="0.15">
      <c r="A198" s="37" t="s">
        <v>40</v>
      </c>
      <c r="B198" s="73">
        <f t="shared" ref="B198:M198" si="114">B168+B138+B108+B78+B48+B18</f>
        <v>2.915</v>
      </c>
      <c r="C198" s="73">
        <f t="shared" si="114"/>
        <v>2.1320000000000001</v>
      </c>
      <c r="D198" s="73">
        <f t="shared" si="114"/>
        <v>5.8693999999999997</v>
      </c>
      <c r="E198" s="73">
        <f t="shared" si="114"/>
        <v>7.3810000000000002</v>
      </c>
      <c r="F198" s="73">
        <f t="shared" si="114"/>
        <v>7.859</v>
      </c>
      <c r="G198" s="73">
        <f t="shared" si="114"/>
        <v>1.4340000000000002</v>
      </c>
      <c r="H198" s="73">
        <f t="shared" si="114"/>
        <v>0.41000000000000003</v>
      </c>
      <c r="I198" s="73">
        <f t="shared" si="114"/>
        <v>9.9939999999999998</v>
      </c>
      <c r="J198" s="73">
        <f t="shared" si="114"/>
        <v>70.146000000000001</v>
      </c>
      <c r="K198" s="73">
        <f t="shared" si="114"/>
        <v>35.867999999999995</v>
      </c>
      <c r="L198" s="73">
        <f t="shared" si="114"/>
        <v>0.65400000000000003</v>
      </c>
      <c r="M198" s="73">
        <f t="shared" si="114"/>
        <v>0</v>
      </c>
      <c r="N198" s="37">
        <f t="shared" si="110"/>
        <v>144.66239999999999</v>
      </c>
      <c r="O198" s="3">
        <f t="shared" ref="O198:O203" si="115">E198+F198+G198+H198+I198</f>
        <v>27.077999999999999</v>
      </c>
      <c r="P198" s="88">
        <f t="shared" si="106"/>
        <v>97.224000000000004</v>
      </c>
      <c r="Q198" s="3">
        <f t="shared" ref="Q198:Q203" si="116">L198+M198+B199</f>
        <v>4.8309999999999995</v>
      </c>
      <c r="R198" s="130">
        <f t="shared" si="104"/>
        <v>66.144999999999996</v>
      </c>
      <c r="V198" s="5"/>
    </row>
    <row r="199" spans="1:22" x14ac:dyDescent="0.15">
      <c r="A199" s="37" t="s">
        <v>41</v>
      </c>
      <c r="B199" s="73">
        <f t="shared" ref="B199:M199" si="117">B169+B139+B109+B79+B49+B19</f>
        <v>4.1769999999999996</v>
      </c>
      <c r="C199" s="73">
        <f t="shared" si="117"/>
        <v>0.83699999999999997</v>
      </c>
      <c r="D199" s="73">
        <f t="shared" si="117"/>
        <v>60.476999999999997</v>
      </c>
      <c r="E199" s="73">
        <f t="shared" si="117"/>
        <v>2.4589999999999996</v>
      </c>
      <c r="F199" s="73">
        <f t="shared" si="117"/>
        <v>6.3069999999999995</v>
      </c>
      <c r="G199" s="73">
        <f t="shared" si="117"/>
        <v>10.717000000000001</v>
      </c>
      <c r="H199" s="73">
        <f t="shared" si="117"/>
        <v>25.731999999999999</v>
      </c>
      <c r="I199" s="73">
        <f t="shared" si="117"/>
        <v>71.885000000000005</v>
      </c>
      <c r="J199" s="73">
        <f t="shared" si="117"/>
        <v>20.486999999999998</v>
      </c>
      <c r="K199" s="73">
        <f t="shared" si="117"/>
        <v>92.813999999999993</v>
      </c>
      <c r="L199" s="73">
        <f t="shared" si="117"/>
        <v>1.9470000000000001</v>
      </c>
      <c r="M199" s="73">
        <f t="shared" si="117"/>
        <v>0.74399999999999999</v>
      </c>
      <c r="N199" s="37">
        <f t="shared" si="110"/>
        <v>298.58300000000003</v>
      </c>
      <c r="O199" s="3">
        <f t="shared" si="115"/>
        <v>117.1</v>
      </c>
      <c r="P199" s="88">
        <f t="shared" si="106"/>
        <v>137.58699999999999</v>
      </c>
      <c r="Q199" s="3">
        <f t="shared" si="116"/>
        <v>5.6229999999999993</v>
      </c>
      <c r="R199" s="130">
        <f t="shared" ref="R199:R204" si="118">L199+M199+B200+C200+D200</f>
        <v>724.36</v>
      </c>
      <c r="V199" s="5"/>
    </row>
    <row r="200" spans="1:22" x14ac:dyDescent="0.15">
      <c r="A200" s="37" t="s">
        <v>45</v>
      </c>
      <c r="B200" s="73">
        <f t="shared" ref="B200:M200" si="119">B170+B140+B110+B80+B50+B20</f>
        <v>2.9319999999999999</v>
      </c>
      <c r="C200" s="73">
        <f t="shared" si="119"/>
        <v>4.1070000000000002</v>
      </c>
      <c r="D200" s="73">
        <f t="shared" si="119"/>
        <v>714.63</v>
      </c>
      <c r="E200" s="73">
        <f t="shared" si="119"/>
        <v>457.37550000000005</v>
      </c>
      <c r="F200" s="73">
        <f t="shared" si="119"/>
        <v>587.38400000000001</v>
      </c>
      <c r="G200" s="73">
        <f t="shared" si="119"/>
        <v>425.11779999999999</v>
      </c>
      <c r="H200" s="73">
        <f t="shared" si="119"/>
        <v>249.727</v>
      </c>
      <c r="I200" s="73">
        <f t="shared" si="119"/>
        <v>723.2496000000001</v>
      </c>
      <c r="J200" s="73">
        <f t="shared" si="119"/>
        <v>83.325999999999993</v>
      </c>
      <c r="K200" s="73">
        <f t="shared" si="119"/>
        <v>1486.1264999999999</v>
      </c>
      <c r="L200" s="73">
        <f t="shared" si="119"/>
        <v>214.31100000000001</v>
      </c>
      <c r="M200" s="73">
        <f t="shared" si="119"/>
        <v>34.1175</v>
      </c>
      <c r="N200" s="37">
        <f t="shared" ref="N200:N208" si="120">SUM(B200:M200)</f>
        <v>4982.4038999999993</v>
      </c>
      <c r="O200" s="3">
        <f t="shared" si="115"/>
        <v>2442.8539000000001</v>
      </c>
      <c r="P200" s="88">
        <f t="shared" ref="P200:P205" si="121">E200+F200+G200+H200+I200+J200</f>
        <v>2526.1799000000001</v>
      </c>
      <c r="Q200" s="3">
        <f t="shared" si="116"/>
        <v>377.62350000000004</v>
      </c>
      <c r="R200" s="130">
        <f t="shared" si="118"/>
        <v>445.7525</v>
      </c>
      <c r="V200" s="5"/>
    </row>
    <row r="201" spans="1:22" x14ac:dyDescent="0.15">
      <c r="A201" s="37" t="s">
        <v>46</v>
      </c>
      <c r="B201" s="73">
        <f t="shared" ref="B201:M201" si="122">B171+B141+B111+B81+B51+B21</f>
        <v>129.19499999999999</v>
      </c>
      <c r="C201" s="73">
        <f t="shared" si="122"/>
        <v>0.79200000000000004</v>
      </c>
      <c r="D201" s="73">
        <f t="shared" si="122"/>
        <v>67.337000000000003</v>
      </c>
      <c r="E201" s="73">
        <f t="shared" si="122"/>
        <v>50.518999999999998</v>
      </c>
      <c r="F201" s="73">
        <f t="shared" si="122"/>
        <v>284.23399999999998</v>
      </c>
      <c r="G201" s="73">
        <f t="shared" si="122"/>
        <v>82.938000000000002</v>
      </c>
      <c r="H201" s="73">
        <f t="shared" si="122"/>
        <v>399.13499999999999</v>
      </c>
      <c r="I201" s="73">
        <f t="shared" si="122"/>
        <v>372.60649999999998</v>
      </c>
      <c r="J201" s="73">
        <f t="shared" si="122"/>
        <v>160.87599999999998</v>
      </c>
      <c r="K201" s="73">
        <f t="shared" si="122"/>
        <v>67.308000000000007</v>
      </c>
      <c r="L201" s="73">
        <f t="shared" si="122"/>
        <v>1.5820000000000001</v>
      </c>
      <c r="M201" s="73">
        <f t="shared" si="122"/>
        <v>5.0249999999999995</v>
      </c>
      <c r="N201" s="37">
        <f t="shared" si="120"/>
        <v>1621.5475000000001</v>
      </c>
      <c r="O201" s="3">
        <f t="shared" si="115"/>
        <v>1189.4324999999999</v>
      </c>
      <c r="P201" s="88">
        <f t="shared" si="121"/>
        <v>1350.3084999999999</v>
      </c>
      <c r="Q201" s="3">
        <f t="shared" si="116"/>
        <v>6.6969999999999992</v>
      </c>
      <c r="R201" s="130">
        <f t="shared" si="118"/>
        <v>8.352999999999998</v>
      </c>
      <c r="V201" s="5"/>
    </row>
    <row r="202" spans="1:22" x14ac:dyDescent="0.15">
      <c r="A202" s="37" t="s">
        <v>57</v>
      </c>
      <c r="B202" s="73">
        <f t="shared" ref="B202:M202" si="123">B172+B142+B112+B82+B52+B22</f>
        <v>0.09</v>
      </c>
      <c r="C202" s="73">
        <f t="shared" si="123"/>
        <v>0.34199999999999997</v>
      </c>
      <c r="D202" s="73">
        <f t="shared" si="123"/>
        <v>1.3140000000000001</v>
      </c>
      <c r="E202" s="73">
        <f t="shared" si="123"/>
        <v>4.8000000000000001E-2</v>
      </c>
      <c r="F202" s="73">
        <f t="shared" si="123"/>
        <v>44.317999999999998</v>
      </c>
      <c r="G202" s="73">
        <f t="shared" si="123"/>
        <v>101.194</v>
      </c>
      <c r="H202" s="73">
        <f t="shared" si="123"/>
        <v>22.381699999999999</v>
      </c>
      <c r="I202" s="73">
        <f t="shared" si="123"/>
        <v>56.384999999999998</v>
      </c>
      <c r="J202" s="73">
        <f t="shared" si="123"/>
        <v>160.334</v>
      </c>
      <c r="K202" s="73">
        <f t="shared" si="123"/>
        <v>293.702</v>
      </c>
      <c r="L202" s="73">
        <f t="shared" si="123"/>
        <v>37.678000000000004</v>
      </c>
      <c r="M202" s="73">
        <f t="shared" si="123"/>
        <v>23.316999999999997</v>
      </c>
      <c r="N202" s="37">
        <f t="shared" si="120"/>
        <v>741.1037</v>
      </c>
      <c r="O202" s="3">
        <f t="shared" si="115"/>
        <v>224.32669999999999</v>
      </c>
      <c r="P202" s="88">
        <f t="shared" si="121"/>
        <v>384.66070000000002</v>
      </c>
      <c r="Q202" s="3">
        <f t="shared" si="116"/>
        <v>72.56</v>
      </c>
      <c r="R202" s="130">
        <f t="shared" si="118"/>
        <v>207.274</v>
      </c>
      <c r="V202" s="5"/>
    </row>
    <row r="203" spans="1:22" x14ac:dyDescent="0.15">
      <c r="A203" s="2" t="s">
        <v>92</v>
      </c>
      <c r="B203" s="73">
        <f t="shared" ref="B203:M203" si="124">B173+B143+B113+B83+B53+B23</f>
        <v>11.565000000000001</v>
      </c>
      <c r="C203" s="73">
        <f t="shared" si="124"/>
        <v>20.151999999999997</v>
      </c>
      <c r="D203" s="73">
        <f t="shared" si="124"/>
        <v>114.562</v>
      </c>
      <c r="E203" s="73">
        <f t="shared" si="124"/>
        <v>25.849</v>
      </c>
      <c r="F203" s="73">
        <f t="shared" si="124"/>
        <v>28.407</v>
      </c>
      <c r="G203" s="73">
        <f t="shared" si="124"/>
        <v>80.515000000000001</v>
      </c>
      <c r="H203" s="73">
        <f t="shared" si="124"/>
        <v>8.1835000000000004</v>
      </c>
      <c r="I203" s="73">
        <f t="shared" si="124"/>
        <v>58.796500000000002</v>
      </c>
      <c r="J203" s="73">
        <f t="shared" si="124"/>
        <v>101.941</v>
      </c>
      <c r="K203" s="73">
        <f t="shared" si="124"/>
        <v>184.803</v>
      </c>
      <c r="L203" s="73">
        <f t="shared" si="124"/>
        <v>14.293999999999999</v>
      </c>
      <c r="M203" s="73">
        <f t="shared" si="124"/>
        <v>6.0139999999999993</v>
      </c>
      <c r="N203" s="37">
        <f t="shared" si="120"/>
        <v>655.08199999999999</v>
      </c>
      <c r="O203" s="3">
        <f t="shared" si="115"/>
        <v>201.75100000000003</v>
      </c>
      <c r="P203" s="88">
        <f t="shared" si="121"/>
        <v>303.69200000000001</v>
      </c>
      <c r="Q203" s="3">
        <f t="shared" si="116"/>
        <v>234.62799999999999</v>
      </c>
      <c r="R203" s="130">
        <f t="shared" si="118"/>
        <v>424.02449999999999</v>
      </c>
      <c r="V203" s="5"/>
    </row>
    <row r="204" spans="1:22" x14ac:dyDescent="0.15">
      <c r="A204" s="2" t="s">
        <v>103</v>
      </c>
      <c r="B204" s="73">
        <f t="shared" ref="B204:M204" si="125">B174+B144+B114+B84+B54+B24</f>
        <v>214.32</v>
      </c>
      <c r="C204" s="73">
        <f t="shared" si="125"/>
        <v>147.75299999999999</v>
      </c>
      <c r="D204" s="73">
        <f t="shared" si="125"/>
        <v>41.643500000000003</v>
      </c>
      <c r="E204" s="73">
        <f t="shared" si="125"/>
        <v>644.86460000000011</v>
      </c>
      <c r="F204" s="73">
        <f t="shared" si="125"/>
        <v>4041.1495</v>
      </c>
      <c r="G204" s="73">
        <f t="shared" si="125"/>
        <v>946.36500000000001</v>
      </c>
      <c r="H204" s="73">
        <f t="shared" si="125"/>
        <v>409.75899999999996</v>
      </c>
      <c r="I204" s="73">
        <f t="shared" si="125"/>
        <v>561.25359999999989</v>
      </c>
      <c r="J204" s="73">
        <f t="shared" si="125"/>
        <v>468.73450000000003</v>
      </c>
      <c r="K204" s="73">
        <f t="shared" si="125"/>
        <v>345.71000000000004</v>
      </c>
      <c r="L204" s="73">
        <f t="shared" si="125"/>
        <v>246.11399999999998</v>
      </c>
      <c r="M204" s="73">
        <f t="shared" si="125"/>
        <v>99.330999999999989</v>
      </c>
      <c r="N204" s="37">
        <f t="shared" si="120"/>
        <v>8166.997699999999</v>
      </c>
      <c r="O204" s="3">
        <f t="shared" ref="O204:O209" si="126">E204+F204+G204+H204+I204</f>
        <v>6603.3917000000001</v>
      </c>
      <c r="P204" s="88">
        <f t="shared" si="121"/>
        <v>7072.1262000000006</v>
      </c>
      <c r="Q204" s="3">
        <f t="shared" ref="Q204:Q208" si="127">L204+M204+B205</f>
        <v>642.50649999999996</v>
      </c>
      <c r="R204" s="130">
        <f t="shared" si="118"/>
        <v>827.6099999999999</v>
      </c>
      <c r="V204" s="5"/>
    </row>
    <row r="205" spans="1:22" x14ac:dyDescent="0.15">
      <c r="A205" s="2" t="s">
        <v>121</v>
      </c>
      <c r="B205" s="73">
        <f t="shared" ref="B205:M205" si="128">B175+B145+B115+B85+B55+B25</f>
        <v>297.06150000000002</v>
      </c>
      <c r="C205" s="73">
        <f t="shared" si="128"/>
        <v>70.573499999999996</v>
      </c>
      <c r="D205" s="73">
        <f t="shared" si="128"/>
        <v>114.53</v>
      </c>
      <c r="E205" s="73">
        <f t="shared" si="128"/>
        <v>188.94100000000003</v>
      </c>
      <c r="F205" s="73">
        <f t="shared" si="128"/>
        <v>48.859000000000002</v>
      </c>
      <c r="G205" s="73">
        <f t="shared" si="128"/>
        <v>97.113</v>
      </c>
      <c r="H205" s="73">
        <f t="shared" si="128"/>
        <v>507.07399999999996</v>
      </c>
      <c r="I205" s="73">
        <f t="shared" si="128"/>
        <v>342.18419999999992</v>
      </c>
      <c r="J205" s="73">
        <f t="shared" si="128"/>
        <v>144.29159999999999</v>
      </c>
      <c r="K205" s="73">
        <f t="shared" si="128"/>
        <v>16.459999999999997</v>
      </c>
      <c r="L205" s="73">
        <f t="shared" si="128"/>
        <v>53.526400000000002</v>
      </c>
      <c r="M205" s="73">
        <f t="shared" si="128"/>
        <v>15.404</v>
      </c>
      <c r="N205" s="37">
        <f t="shared" si="120"/>
        <v>1896.0182</v>
      </c>
      <c r="O205" s="3">
        <f t="shared" si="126"/>
        <v>1184.1711999999998</v>
      </c>
      <c r="P205" s="88">
        <f t="shared" si="121"/>
        <v>1328.4627999999998</v>
      </c>
      <c r="Q205" s="3">
        <f t="shared" si="127"/>
        <v>291.7894</v>
      </c>
      <c r="R205" s="130">
        <f t="shared" ref="R205:R210" si="129">L205+M205+B206+C206+D206</f>
        <v>667.89339999999993</v>
      </c>
    </row>
    <row r="206" spans="1:22" x14ac:dyDescent="0.15">
      <c r="A206" s="2" t="s">
        <v>129</v>
      </c>
      <c r="B206" s="73">
        <f t="shared" ref="B206:M206" si="130">B176+B146+B116+B86+B56+B26</f>
        <v>222.85899999999998</v>
      </c>
      <c r="C206" s="73">
        <f t="shared" si="130"/>
        <v>99.45</v>
      </c>
      <c r="D206" s="73">
        <f t="shared" si="130"/>
        <v>276.654</v>
      </c>
      <c r="E206" s="73">
        <f t="shared" si="130"/>
        <v>33.670999999999999</v>
      </c>
      <c r="F206" s="73">
        <f t="shared" si="130"/>
        <v>1523.7610000000002</v>
      </c>
      <c r="G206" s="73">
        <f t="shared" si="130"/>
        <v>2554.337</v>
      </c>
      <c r="H206" s="73">
        <f t="shared" si="130"/>
        <v>617.71599999999989</v>
      </c>
      <c r="I206" s="73">
        <f t="shared" si="130"/>
        <v>656.63199999999995</v>
      </c>
      <c r="J206" s="73">
        <f t="shared" si="130"/>
        <v>2295.9669999999996</v>
      </c>
      <c r="K206" s="73">
        <f t="shared" si="130"/>
        <v>631.76199999999994</v>
      </c>
      <c r="L206" s="73">
        <f t="shared" si="130"/>
        <v>86.001000000000005</v>
      </c>
      <c r="M206" s="73">
        <f t="shared" si="130"/>
        <v>257.19200000000001</v>
      </c>
      <c r="N206" s="37">
        <f t="shared" si="120"/>
        <v>9256.0020000000004</v>
      </c>
      <c r="O206" s="3">
        <f t="shared" si="126"/>
        <v>5386.1170000000002</v>
      </c>
      <c r="P206" s="88">
        <f>E206+F206+G206+H206+I206+J206</f>
        <v>7682.0839999999998</v>
      </c>
      <c r="Q206" s="3">
        <f t="shared" si="127"/>
        <v>1831.114</v>
      </c>
      <c r="R206" s="130">
        <f t="shared" si="129"/>
        <v>2432.8890000000001</v>
      </c>
    </row>
    <row r="207" spans="1:22" x14ac:dyDescent="0.15">
      <c r="A207" s="2" t="s">
        <v>136</v>
      </c>
      <c r="B207" s="73">
        <f t="shared" ref="B207:M207" si="131">B177+B147+B117+B87+B57+B27</f>
        <v>1487.921</v>
      </c>
      <c r="C207" s="73">
        <f t="shared" si="131"/>
        <v>407.25200000000001</v>
      </c>
      <c r="D207" s="73">
        <f t="shared" si="131"/>
        <v>194.52299999999997</v>
      </c>
      <c r="E207" s="73">
        <f t="shared" si="131"/>
        <v>58.524999999999999</v>
      </c>
      <c r="F207" s="73">
        <f t="shared" si="131"/>
        <v>27.567</v>
      </c>
      <c r="G207" s="73">
        <f t="shared" si="131"/>
        <v>489.20750000000004</v>
      </c>
      <c r="H207" s="73">
        <f t="shared" si="131"/>
        <v>982.93899999999996</v>
      </c>
      <c r="I207" s="73">
        <f t="shared" si="131"/>
        <v>1009.761</v>
      </c>
      <c r="J207" s="73">
        <f t="shared" si="131"/>
        <v>147.09799999999998</v>
      </c>
      <c r="K207" s="73">
        <f t="shared" si="131"/>
        <v>330.38099999999997</v>
      </c>
      <c r="L207" s="73">
        <f t="shared" si="131"/>
        <v>250.64999999999998</v>
      </c>
      <c r="M207" s="73">
        <f t="shared" si="131"/>
        <v>54.267999999999994</v>
      </c>
      <c r="N207" s="37">
        <f t="shared" si="120"/>
        <v>5440.0924999999997</v>
      </c>
      <c r="O207" s="3">
        <f t="shared" si="126"/>
        <v>2567.9994999999999</v>
      </c>
      <c r="P207" s="88">
        <f>E207+F207+G207+H207+I207+J207</f>
        <v>2715.0974999999999</v>
      </c>
      <c r="Q207" s="3">
        <f t="shared" si="127"/>
        <v>762.29299999999989</v>
      </c>
      <c r="R207" s="130">
        <f t="shared" si="129"/>
        <v>1311.0419999999999</v>
      </c>
    </row>
    <row r="208" spans="1:22" x14ac:dyDescent="0.15">
      <c r="A208" s="2" t="s">
        <v>140</v>
      </c>
      <c r="B208" s="73">
        <f t="shared" ref="B208:M208" si="132">B178+B148+B118+B88+B58+B28</f>
        <v>457.375</v>
      </c>
      <c r="C208" s="73">
        <f t="shared" si="132"/>
        <v>298.84699999999998</v>
      </c>
      <c r="D208" s="73">
        <f t="shared" si="132"/>
        <v>249.90199999999999</v>
      </c>
      <c r="E208" s="73">
        <f t="shared" si="132"/>
        <v>63.970000000000006</v>
      </c>
      <c r="F208" s="73">
        <f t="shared" si="132"/>
        <v>244.08799999999999</v>
      </c>
      <c r="G208" s="73">
        <f t="shared" si="132"/>
        <v>129.81199999999998</v>
      </c>
      <c r="H208" s="73">
        <f t="shared" si="132"/>
        <v>365.37500000000006</v>
      </c>
      <c r="I208" s="73">
        <f t="shared" si="132"/>
        <v>371.74799999999999</v>
      </c>
      <c r="J208" s="73">
        <f t="shared" si="132"/>
        <v>232.23400000000001</v>
      </c>
      <c r="K208" s="73">
        <f t="shared" si="132"/>
        <v>1825.0439999999999</v>
      </c>
      <c r="L208" s="73">
        <f t="shared" si="132"/>
        <v>3351.1</v>
      </c>
      <c r="M208" s="73">
        <f t="shared" si="132"/>
        <v>1592.69</v>
      </c>
      <c r="N208" s="37">
        <f t="shared" si="120"/>
        <v>9182.1849999999995</v>
      </c>
      <c r="O208" s="3">
        <f t="shared" si="126"/>
        <v>1174.9930000000002</v>
      </c>
      <c r="P208" s="88">
        <f>E208+F208+G208+H208+I208+J208</f>
        <v>1407.2270000000001</v>
      </c>
      <c r="Q208" s="3">
        <f t="shared" si="127"/>
        <v>5458.4459999999999</v>
      </c>
      <c r="R208" s="130">
        <f t="shared" si="129"/>
        <v>5836.7119999999995</v>
      </c>
    </row>
    <row r="209" spans="1:19" x14ac:dyDescent="0.15">
      <c r="A209" s="2" t="s">
        <v>143</v>
      </c>
      <c r="B209" s="73">
        <f t="shared" ref="B209:M209" si="133">B179+B149+B119+B89+B59+B29</f>
        <v>514.65600000000006</v>
      </c>
      <c r="C209" s="73">
        <f t="shared" si="133"/>
        <v>203.70500000000001</v>
      </c>
      <c r="D209" s="73">
        <f t="shared" si="133"/>
        <v>174.56099999999998</v>
      </c>
      <c r="E209" s="73">
        <f t="shared" si="133"/>
        <v>177.06700000000001</v>
      </c>
      <c r="F209" s="73">
        <f t="shared" si="133"/>
        <v>393.96799999999996</v>
      </c>
      <c r="G209" s="73">
        <f t="shared" si="133"/>
        <v>650.351</v>
      </c>
      <c r="H209" s="73">
        <f t="shared" si="133"/>
        <v>808.67200000000003</v>
      </c>
      <c r="I209" s="73">
        <f t="shared" si="133"/>
        <v>2869.5260000000003</v>
      </c>
      <c r="J209" s="73">
        <f t="shared" si="133"/>
        <v>157.44300000000001</v>
      </c>
      <c r="K209" s="73">
        <f t="shared" si="133"/>
        <v>3877.6810000000005</v>
      </c>
      <c r="L209" s="73">
        <f t="shared" si="133"/>
        <v>1901.08</v>
      </c>
      <c r="M209" s="73">
        <f t="shared" si="133"/>
        <v>291.50400000000002</v>
      </c>
      <c r="N209" s="37">
        <f>SUM(B209:M209)</f>
        <v>12020.214000000002</v>
      </c>
      <c r="O209" s="3">
        <f t="shared" si="126"/>
        <v>4899.5840000000007</v>
      </c>
      <c r="P209" s="88">
        <f>E209+F209+G209+H209+I209+J209</f>
        <v>5057.027000000001</v>
      </c>
      <c r="Q209" s="3">
        <f>L209+M209+B210</f>
        <v>2257.2145</v>
      </c>
      <c r="R209" s="130">
        <f t="shared" si="129"/>
        <v>3695.6754999999998</v>
      </c>
    </row>
    <row r="210" spans="1:19" x14ac:dyDescent="0.15">
      <c r="A210" s="2" t="s">
        <v>149</v>
      </c>
      <c r="B210" s="73">
        <f>B180+B150+B120+B90+B60+B30</f>
        <v>64.630499999999998</v>
      </c>
      <c r="C210" s="73">
        <f t="shared" ref="C210:M210" si="134">C180+C150+C120+C90+C60+C30</f>
        <v>51.064</v>
      </c>
      <c r="D210" s="73">
        <f t="shared" si="134"/>
        <v>1387.3969999999999</v>
      </c>
      <c r="E210" s="73">
        <f t="shared" si="134"/>
        <v>1149.7470000000001</v>
      </c>
      <c r="F210" s="73">
        <f t="shared" si="134"/>
        <v>62.335500000000003</v>
      </c>
      <c r="G210" s="73">
        <f t="shared" si="134"/>
        <v>525.79300000000001</v>
      </c>
      <c r="H210" s="73">
        <f t="shared" si="134"/>
        <v>158.23499999999996</v>
      </c>
      <c r="I210" s="73">
        <f t="shared" si="134"/>
        <v>622.93599999999992</v>
      </c>
      <c r="J210" s="170">
        <f t="shared" si="134"/>
        <v>408.89</v>
      </c>
      <c r="K210" s="170">
        <f t="shared" si="134"/>
        <v>133.774</v>
      </c>
      <c r="L210" s="170">
        <f t="shared" si="134"/>
        <v>106.17699999999999</v>
      </c>
      <c r="M210" s="170">
        <f t="shared" si="134"/>
        <v>7.0940000000000003</v>
      </c>
      <c r="N210" s="184">
        <f>SUM(B210:M210)</f>
        <v>4678.0730000000003</v>
      </c>
      <c r="O210" s="3">
        <f>E210+F210+G210+H210+I210</f>
        <v>2519.0464999999999</v>
      </c>
      <c r="P210" s="88">
        <f>E210+F210+G210+H210+I210+J210</f>
        <v>2927.9364999999998</v>
      </c>
      <c r="Q210" s="154">
        <f>L210+M210+B211</f>
        <v>116.16399999999999</v>
      </c>
      <c r="R210" s="172">
        <f t="shared" si="129"/>
        <v>116.16399999999999</v>
      </c>
    </row>
    <row r="211" spans="1:19" x14ac:dyDescent="0.15">
      <c r="A211" s="2" t="s">
        <v>158</v>
      </c>
      <c r="B211" s="73">
        <f>B181+B151+B121+B91+B61+B31</f>
        <v>2.8929999999999998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>
        <f>SUM(B211:M211)</f>
        <v>2.8929999999999998</v>
      </c>
      <c r="O211" s="154"/>
      <c r="P211" s="171"/>
    </row>
    <row r="212" spans="1:19" x14ac:dyDescent="0.15">
      <c r="A212" s="1" t="s">
        <v>128</v>
      </c>
      <c r="B212" s="1">
        <f t="shared" ref="B212:L212" si="135">AVERAGE(B205:B209)</f>
        <v>595.97450000000003</v>
      </c>
      <c r="C212" s="1">
        <f t="shared" si="135"/>
        <v>215.96549999999996</v>
      </c>
      <c r="D212" s="1">
        <f t="shared" si="135"/>
        <v>202.03399999999996</v>
      </c>
      <c r="E212" s="1">
        <f t="shared" si="135"/>
        <v>104.4348</v>
      </c>
      <c r="F212" s="1">
        <f t="shared" si="135"/>
        <v>447.64859999999999</v>
      </c>
      <c r="G212" s="1">
        <f t="shared" si="135"/>
        <v>784.16409999999996</v>
      </c>
      <c r="H212" s="1">
        <f t="shared" si="135"/>
        <v>656.35519999999997</v>
      </c>
      <c r="I212" s="1">
        <f t="shared" si="135"/>
        <v>1049.9702400000001</v>
      </c>
      <c r="J212" s="1">
        <f t="shared" si="135"/>
        <v>595.40671999999995</v>
      </c>
      <c r="K212" s="1">
        <f t="shared" si="135"/>
        <v>1336.2656000000002</v>
      </c>
      <c r="L212" s="1">
        <f t="shared" si="135"/>
        <v>1128.4714799999999</v>
      </c>
      <c r="M212" s="1">
        <f t="shared" ref="M212:N212" si="136">AVERAGE(M205:M209)</f>
        <v>442.21159999999998</v>
      </c>
      <c r="N212" s="1">
        <f t="shared" si="136"/>
        <v>7558.9023400000005</v>
      </c>
      <c r="O212" s="24">
        <f>AVERAGE(O206:O210)</f>
        <v>3309.5480000000002</v>
      </c>
      <c r="P212" s="24">
        <f>AVERAGE(P206:P210)</f>
        <v>3957.8743999999997</v>
      </c>
      <c r="Q212" s="24">
        <f>AVERAGE(Q205:Q209)</f>
        <v>2120.1713800000002</v>
      </c>
      <c r="R212" s="24">
        <f>AVERAGE(R205:R209)</f>
        <v>2788.8423799999996</v>
      </c>
      <c r="S212" s="1" t="s">
        <v>162</v>
      </c>
    </row>
  </sheetData>
  <phoneticPr fontId="2"/>
  <printOptions gridLines="1" gridLinesSet="0"/>
  <pageMargins left="0.78700000000000003" right="0.78700000000000003" top="0.98399999999999999" bottom="0.98399999999999999" header="0.5" footer="0.5"/>
  <pageSetup paperSize="9"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  <pageSetUpPr fitToPage="1"/>
  </sheetPr>
  <dimension ref="A1:AE212"/>
  <sheetViews>
    <sheetView topLeftCell="A182" workbookViewId="0">
      <selection activeCell="K192" sqref="K192"/>
    </sheetView>
  </sheetViews>
  <sheetFormatPr baseColWidth="10" defaultColWidth="7.125" defaultRowHeight="15" x14ac:dyDescent="0.2"/>
  <cols>
    <col min="1" max="13" width="7.125" style="40" customWidth="1"/>
    <col min="14" max="14" width="7.625" style="40" customWidth="1"/>
    <col min="15" max="15" width="9.25" style="1" customWidth="1"/>
    <col min="16" max="16" width="8.25" style="40" customWidth="1"/>
    <col min="17" max="17" width="7.625" style="40" customWidth="1"/>
    <col min="18" max="18" width="8.125" style="40" customWidth="1"/>
    <col min="19" max="19" width="7.25" style="40" bestFit="1" customWidth="1"/>
    <col min="20" max="20" width="7.125" style="40"/>
    <col min="21" max="21" width="8.5" style="40" bestFit="1" customWidth="1"/>
    <col min="22" max="16384" width="7.125" style="40"/>
  </cols>
  <sheetData>
    <row r="1" spans="1:20" x14ac:dyDescent="0.2">
      <c r="G1" s="68" t="s">
        <v>0</v>
      </c>
    </row>
    <row r="2" spans="1:20" x14ac:dyDescent="0.2">
      <c r="A2" s="40" t="s">
        <v>30</v>
      </c>
    </row>
    <row r="3" spans="1:20" x14ac:dyDescent="0.2">
      <c r="A3" s="40" t="s">
        <v>2</v>
      </c>
      <c r="E3" s="20" t="s">
        <v>91</v>
      </c>
      <c r="M3" s="40" t="s">
        <v>3</v>
      </c>
    </row>
    <row r="4" spans="1:20" x14ac:dyDescent="0.2">
      <c r="A4" s="18"/>
      <c r="B4" s="18" t="s">
        <v>4</v>
      </c>
      <c r="C4" s="18" t="s">
        <v>5</v>
      </c>
      <c r="D4" s="18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8" t="s">
        <v>12</v>
      </c>
      <c r="K4" s="18" t="s">
        <v>13</v>
      </c>
      <c r="L4" s="18" t="s">
        <v>14</v>
      </c>
      <c r="M4" s="18" t="s">
        <v>15</v>
      </c>
      <c r="N4" s="18" t="s">
        <v>16</v>
      </c>
    </row>
    <row r="5" spans="1:20" x14ac:dyDescent="0.2">
      <c r="A5" s="18" t="s">
        <v>17</v>
      </c>
      <c r="B5" s="18">
        <v>169.8</v>
      </c>
      <c r="C5" s="18">
        <v>52.1</v>
      </c>
      <c r="D5" s="18">
        <v>105.5</v>
      </c>
      <c r="E5" s="18">
        <v>375.5</v>
      </c>
      <c r="F5" s="18">
        <v>169.5</v>
      </c>
      <c r="G5" s="18">
        <v>147.80000000000001</v>
      </c>
      <c r="H5" s="18">
        <v>263.3</v>
      </c>
      <c r="I5" s="18">
        <v>228.7</v>
      </c>
      <c r="J5" s="18">
        <v>83</v>
      </c>
      <c r="K5" s="18">
        <v>43.8</v>
      </c>
      <c r="L5" s="18">
        <v>2.6</v>
      </c>
      <c r="M5" s="18">
        <v>0</v>
      </c>
      <c r="N5" s="18">
        <f>SUM(B5:M5)</f>
        <v>1641.6</v>
      </c>
    </row>
    <row r="6" spans="1:20" x14ac:dyDescent="0.2">
      <c r="A6" s="18" t="s">
        <v>18</v>
      </c>
      <c r="B6" s="18">
        <v>0</v>
      </c>
      <c r="C6" s="18">
        <v>0</v>
      </c>
      <c r="D6" s="18">
        <v>0</v>
      </c>
      <c r="E6" s="18">
        <v>189.6</v>
      </c>
      <c r="F6" s="18">
        <v>147.4</v>
      </c>
      <c r="G6" s="18">
        <v>624.4</v>
      </c>
      <c r="H6" s="18">
        <v>138.6</v>
      </c>
      <c r="I6" s="18">
        <v>324.5</v>
      </c>
      <c r="J6" s="18">
        <v>556.9</v>
      </c>
      <c r="K6" s="18">
        <v>143.5</v>
      </c>
      <c r="L6" s="18">
        <v>149.6</v>
      </c>
      <c r="M6" s="18">
        <v>0</v>
      </c>
      <c r="N6" s="18">
        <f t="shared" ref="N6:N17" si="0">SUM(B6:M6)</f>
        <v>2274.5</v>
      </c>
    </row>
    <row r="7" spans="1:20" x14ac:dyDescent="0.2">
      <c r="A7" s="18" t="s">
        <v>19</v>
      </c>
      <c r="B7" s="18">
        <v>0</v>
      </c>
      <c r="C7" s="18">
        <v>8.6999999999999993</v>
      </c>
      <c r="D7" s="18">
        <v>9.1</v>
      </c>
      <c r="E7" s="18">
        <v>56.7</v>
      </c>
      <c r="F7" s="18">
        <v>213.4</v>
      </c>
      <c r="G7" s="18">
        <v>242.3</v>
      </c>
      <c r="H7" s="18">
        <v>228.1</v>
      </c>
      <c r="I7" s="18">
        <v>66.599999999999994</v>
      </c>
      <c r="J7" s="18">
        <v>18.3</v>
      </c>
      <c r="K7" s="18">
        <v>12.9</v>
      </c>
      <c r="L7" s="18">
        <v>126.4</v>
      </c>
      <c r="M7" s="18">
        <v>78.599999999999994</v>
      </c>
      <c r="N7" s="18">
        <f t="shared" si="0"/>
        <v>1061.0999999999999</v>
      </c>
    </row>
    <row r="8" spans="1:20" x14ac:dyDescent="0.2">
      <c r="A8" s="18" t="s">
        <v>20</v>
      </c>
      <c r="B8" s="18">
        <v>45.6</v>
      </c>
      <c r="C8" s="18">
        <v>146.69999999999999</v>
      </c>
      <c r="D8" s="18">
        <v>10.5</v>
      </c>
      <c r="E8" s="18">
        <v>14.4</v>
      </c>
      <c r="F8" s="18">
        <v>13.6</v>
      </c>
      <c r="G8" s="18">
        <v>54.7</v>
      </c>
      <c r="H8" s="18">
        <v>338.1</v>
      </c>
      <c r="I8" s="18">
        <v>176.1</v>
      </c>
      <c r="J8" s="18">
        <v>117.8</v>
      </c>
      <c r="K8" s="18">
        <v>204.5</v>
      </c>
      <c r="L8" s="18">
        <v>214.3</v>
      </c>
      <c r="M8" s="18">
        <v>48.2</v>
      </c>
      <c r="N8" s="18">
        <f t="shared" si="0"/>
        <v>1384.5</v>
      </c>
    </row>
    <row r="9" spans="1:20" x14ac:dyDescent="0.2">
      <c r="A9" s="18" t="s">
        <v>21</v>
      </c>
      <c r="B9" s="18">
        <v>280</v>
      </c>
      <c r="C9" s="18">
        <v>92.9</v>
      </c>
      <c r="D9" s="18">
        <v>2</v>
      </c>
      <c r="E9" s="18">
        <v>27.9</v>
      </c>
      <c r="F9" s="18">
        <v>6.2</v>
      </c>
      <c r="G9" s="18">
        <v>189.5</v>
      </c>
      <c r="H9" s="18">
        <v>540.4</v>
      </c>
      <c r="I9" s="18">
        <v>445.3</v>
      </c>
      <c r="J9" s="18">
        <v>184.9</v>
      </c>
      <c r="K9" s="18">
        <v>256.60000000000002</v>
      </c>
      <c r="L9" s="18">
        <v>14.5</v>
      </c>
      <c r="M9" s="18">
        <v>6.4</v>
      </c>
      <c r="N9" s="18">
        <f t="shared" si="0"/>
        <v>2046.6000000000004</v>
      </c>
    </row>
    <row r="10" spans="1:20" x14ac:dyDescent="0.2">
      <c r="A10" s="18" t="s">
        <v>22</v>
      </c>
      <c r="B10" s="18">
        <v>0</v>
      </c>
      <c r="C10" s="18">
        <v>18.5</v>
      </c>
      <c r="D10" s="18">
        <v>0</v>
      </c>
      <c r="E10" s="18">
        <v>0</v>
      </c>
      <c r="F10" s="18">
        <v>0</v>
      </c>
      <c r="G10" s="18">
        <v>109.8</v>
      </c>
      <c r="H10" s="18">
        <v>594.5</v>
      </c>
      <c r="I10" s="18">
        <v>903.6</v>
      </c>
      <c r="J10" s="18"/>
      <c r="K10" s="18">
        <v>70.7</v>
      </c>
      <c r="L10" s="18">
        <v>187.6</v>
      </c>
      <c r="M10" s="18">
        <v>20.5</v>
      </c>
      <c r="N10" s="18">
        <f t="shared" si="0"/>
        <v>1905.2</v>
      </c>
      <c r="O10" s="1" t="s">
        <v>43</v>
      </c>
      <c r="P10" s="40" t="s">
        <v>82</v>
      </c>
      <c r="Q10" s="40" t="s">
        <v>83</v>
      </c>
      <c r="R10" s="40" t="s">
        <v>85</v>
      </c>
    </row>
    <row r="11" spans="1:20" x14ac:dyDescent="0.2">
      <c r="A11" s="18" t="s">
        <v>23</v>
      </c>
      <c r="B11" s="18">
        <v>7.3</v>
      </c>
      <c r="C11" s="18">
        <v>69.5</v>
      </c>
      <c r="D11" s="18">
        <v>116.5</v>
      </c>
      <c r="E11" s="18">
        <v>10.199999999999999</v>
      </c>
      <c r="F11" s="18">
        <v>3</v>
      </c>
      <c r="G11" s="18">
        <v>171.5</v>
      </c>
      <c r="H11" s="18">
        <v>528.20000000000005</v>
      </c>
      <c r="I11" s="18">
        <v>354.8</v>
      </c>
      <c r="J11" s="18">
        <v>39.9</v>
      </c>
      <c r="K11" s="18">
        <v>81.400000000000006</v>
      </c>
      <c r="L11" s="18">
        <v>188.3</v>
      </c>
      <c r="M11" s="18">
        <v>70.8</v>
      </c>
      <c r="N11" s="18">
        <f t="shared" si="0"/>
        <v>1641.4</v>
      </c>
      <c r="O11" s="3">
        <f t="shared" ref="O11:O23" si="1">E11+F11+G11+H11+I11</f>
        <v>1067.7</v>
      </c>
      <c r="P11" s="38">
        <f>E11+F11+G11+H11+I11+J11</f>
        <v>1107.6000000000001</v>
      </c>
      <c r="Q11" s="40">
        <f>L11+M11+B12</f>
        <v>259.10000000000002</v>
      </c>
      <c r="R11" s="38">
        <f>L11+M11+B12+C12+D12</f>
        <v>259.10000000000002</v>
      </c>
    </row>
    <row r="12" spans="1:20" x14ac:dyDescent="0.2">
      <c r="A12" s="18" t="s">
        <v>32</v>
      </c>
      <c r="B12" s="18">
        <v>0</v>
      </c>
      <c r="C12" s="18">
        <v>0</v>
      </c>
      <c r="D12" s="18">
        <v>0</v>
      </c>
      <c r="E12" s="18">
        <v>0</v>
      </c>
      <c r="F12" s="18">
        <v>175.5</v>
      </c>
      <c r="G12" s="18">
        <v>167.6</v>
      </c>
      <c r="H12" s="18">
        <v>188.9</v>
      </c>
      <c r="I12" s="18">
        <v>267.5</v>
      </c>
      <c r="J12" s="18">
        <v>169.8</v>
      </c>
      <c r="K12" s="18"/>
      <c r="L12" s="18"/>
      <c r="M12" s="18"/>
      <c r="N12" s="18">
        <f t="shared" si="0"/>
        <v>969.3</v>
      </c>
      <c r="O12" s="3">
        <f t="shared" si="1"/>
        <v>799.5</v>
      </c>
      <c r="P12" s="38">
        <f t="shared" ref="P12:P18" si="2">E12+F12+G12+H12+I12+J12</f>
        <v>969.3</v>
      </c>
      <c r="Q12" s="40">
        <f t="shared" ref="Q12:Q18" si="3">L12+M12+B13</f>
        <v>0</v>
      </c>
      <c r="R12" s="38">
        <f t="shared" ref="R12:R20" si="4">L12+M12+B13+C13+D13</f>
        <v>0</v>
      </c>
    </row>
    <row r="13" spans="1:20" x14ac:dyDescent="0.2">
      <c r="A13" s="18" t="s">
        <v>33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43</v>
      </c>
      <c r="H13" s="18">
        <v>129.9</v>
      </c>
      <c r="I13" s="18">
        <v>18.5</v>
      </c>
      <c r="J13" s="18">
        <v>4</v>
      </c>
      <c r="K13" s="18">
        <v>105.8</v>
      </c>
      <c r="L13" s="18">
        <v>101.2</v>
      </c>
      <c r="M13" s="18">
        <v>19.3</v>
      </c>
      <c r="N13" s="18">
        <f t="shared" si="0"/>
        <v>421.7</v>
      </c>
      <c r="O13" s="3">
        <f t="shared" si="1"/>
        <v>191.4</v>
      </c>
      <c r="P13" s="38">
        <f t="shared" si="2"/>
        <v>195.4</v>
      </c>
      <c r="Q13" s="40">
        <f t="shared" si="3"/>
        <v>120.5</v>
      </c>
      <c r="R13" s="38">
        <f t="shared" si="4"/>
        <v>123.5</v>
      </c>
    </row>
    <row r="14" spans="1:20" x14ac:dyDescent="0.2">
      <c r="A14" s="18" t="s">
        <v>34</v>
      </c>
      <c r="B14" s="18">
        <v>0</v>
      </c>
      <c r="C14" s="18">
        <v>0</v>
      </c>
      <c r="D14" s="18">
        <v>3</v>
      </c>
      <c r="E14" s="18">
        <v>0</v>
      </c>
      <c r="F14" s="18">
        <v>2.4</v>
      </c>
      <c r="G14" s="18">
        <v>12.7</v>
      </c>
      <c r="H14" s="18">
        <v>1208.0999999999999</v>
      </c>
      <c r="I14" s="18">
        <v>361.1</v>
      </c>
      <c r="J14" s="18">
        <v>32</v>
      </c>
      <c r="K14" s="18">
        <v>46.8</v>
      </c>
      <c r="L14" s="18">
        <v>66.3</v>
      </c>
      <c r="M14" s="18">
        <v>0.7</v>
      </c>
      <c r="N14" s="18">
        <f t="shared" si="0"/>
        <v>1733.0999999999997</v>
      </c>
      <c r="O14" s="3">
        <f t="shared" si="1"/>
        <v>1584.2999999999997</v>
      </c>
      <c r="P14" s="38">
        <f t="shared" si="2"/>
        <v>1616.2999999999997</v>
      </c>
      <c r="Q14" s="40">
        <f t="shared" si="3"/>
        <v>67</v>
      </c>
      <c r="R14" s="38">
        <f t="shared" si="4"/>
        <v>71.36</v>
      </c>
    </row>
    <row r="15" spans="1:20" x14ac:dyDescent="0.2">
      <c r="A15" s="18" t="s">
        <v>35</v>
      </c>
      <c r="B15" s="18">
        <v>0</v>
      </c>
      <c r="C15" s="18">
        <v>2.34</v>
      </c>
      <c r="D15" s="18">
        <v>2.02</v>
      </c>
      <c r="E15" s="18">
        <v>0</v>
      </c>
      <c r="F15" s="18">
        <v>2.44</v>
      </c>
      <c r="G15" s="18">
        <v>196.88</v>
      </c>
      <c r="H15" s="18">
        <f>718.22+107.22</f>
        <v>825.44</v>
      </c>
      <c r="I15" s="18">
        <f>251.96+45.94</f>
        <v>297.89999999999998</v>
      </c>
      <c r="J15" s="18">
        <v>63.74</v>
      </c>
      <c r="K15" s="18">
        <v>67.739999999999995</v>
      </c>
      <c r="L15" s="18">
        <v>17.88</v>
      </c>
      <c r="M15" s="18">
        <v>0</v>
      </c>
      <c r="N15" s="18">
        <f t="shared" si="0"/>
        <v>1476.38</v>
      </c>
      <c r="O15" s="3">
        <f t="shared" si="1"/>
        <v>1322.6599999999999</v>
      </c>
      <c r="P15" s="38">
        <f t="shared" si="2"/>
        <v>1386.3999999999999</v>
      </c>
      <c r="Q15" s="40">
        <f t="shared" si="3"/>
        <v>17.88</v>
      </c>
      <c r="R15" s="38">
        <f t="shared" si="4"/>
        <v>23.759999999999998</v>
      </c>
    </row>
    <row r="16" spans="1:20" x14ac:dyDescent="0.2">
      <c r="A16" s="18" t="s">
        <v>37</v>
      </c>
      <c r="B16" s="18">
        <v>0</v>
      </c>
      <c r="C16" s="18">
        <v>5.88</v>
      </c>
      <c r="D16" s="18">
        <v>0</v>
      </c>
      <c r="E16" s="18">
        <v>0</v>
      </c>
      <c r="F16" s="18">
        <v>0</v>
      </c>
      <c r="G16" s="18">
        <f>552.4+28.62</f>
        <v>581.02</v>
      </c>
      <c r="H16" s="18">
        <f>539.86+13.7</f>
        <v>553.56000000000006</v>
      </c>
      <c r="I16" s="18">
        <v>357.92</v>
      </c>
      <c r="J16" s="18">
        <v>126.32</v>
      </c>
      <c r="K16" s="18">
        <v>145.84</v>
      </c>
      <c r="L16" s="18">
        <v>370.78</v>
      </c>
      <c r="M16" s="18">
        <v>38.78</v>
      </c>
      <c r="N16" s="18">
        <f t="shared" si="0"/>
        <v>2180.1</v>
      </c>
      <c r="O16" s="3">
        <f t="shared" si="1"/>
        <v>1492.5</v>
      </c>
      <c r="P16" s="38">
        <f t="shared" si="2"/>
        <v>1618.82</v>
      </c>
      <c r="Q16" s="40">
        <f t="shared" si="3"/>
        <v>423.35999999999996</v>
      </c>
      <c r="R16" s="38">
        <f t="shared" si="4"/>
        <v>460.25999999999993</v>
      </c>
      <c r="T16" s="112"/>
    </row>
    <row r="17" spans="1:21" x14ac:dyDescent="0.2">
      <c r="A17" s="18" t="s">
        <v>39</v>
      </c>
      <c r="B17" s="18">
        <v>13.8</v>
      </c>
      <c r="C17" s="18">
        <v>36.9</v>
      </c>
      <c r="D17" s="18">
        <v>0</v>
      </c>
      <c r="E17" s="18">
        <v>0</v>
      </c>
      <c r="F17" s="18">
        <v>5.5</v>
      </c>
      <c r="G17" s="18">
        <v>721.44</v>
      </c>
      <c r="H17" s="18">
        <v>409.8</v>
      </c>
      <c r="I17" s="18">
        <v>57.92</v>
      </c>
      <c r="J17" s="18">
        <v>9.2799999999999994</v>
      </c>
      <c r="K17" s="18">
        <v>92.38</v>
      </c>
      <c r="L17" s="18">
        <v>231.1</v>
      </c>
      <c r="M17" s="18">
        <v>50.96</v>
      </c>
      <c r="N17" s="18">
        <f t="shared" si="0"/>
        <v>1629.08</v>
      </c>
      <c r="O17" s="3">
        <f t="shared" si="1"/>
        <v>1194.6600000000001</v>
      </c>
      <c r="P17" s="38">
        <f t="shared" si="2"/>
        <v>1203.94</v>
      </c>
      <c r="Q17" s="40">
        <f t="shared" si="3"/>
        <v>282.06</v>
      </c>
      <c r="R17" s="38">
        <f t="shared" si="4"/>
        <v>284.52</v>
      </c>
      <c r="T17" s="113"/>
      <c r="U17" s="77"/>
    </row>
    <row r="18" spans="1:21" x14ac:dyDescent="0.2">
      <c r="A18" s="18" t="s">
        <v>40</v>
      </c>
      <c r="B18" s="18">
        <v>0</v>
      </c>
      <c r="C18" s="18">
        <v>2.46</v>
      </c>
      <c r="D18" s="18">
        <v>0</v>
      </c>
      <c r="E18" s="18">
        <v>0</v>
      </c>
      <c r="F18" s="18">
        <v>10.94</v>
      </c>
      <c r="G18" s="18">
        <v>304.048</v>
      </c>
      <c r="H18" s="18">
        <v>574.4</v>
      </c>
      <c r="I18" s="18">
        <v>558.52</v>
      </c>
      <c r="J18" s="18">
        <v>47.38</v>
      </c>
      <c r="K18" s="18">
        <v>127.94</v>
      </c>
      <c r="L18" s="18">
        <v>49.28</v>
      </c>
      <c r="M18" s="18">
        <v>4.46</v>
      </c>
      <c r="N18" s="18">
        <f t="shared" ref="N18:N23" si="5">SUM(B18:M18)</f>
        <v>1679.4280000000001</v>
      </c>
      <c r="O18" s="3">
        <f t="shared" si="1"/>
        <v>1447.9079999999999</v>
      </c>
      <c r="P18" s="38">
        <f t="shared" si="2"/>
        <v>1495.288</v>
      </c>
      <c r="Q18" s="40">
        <f t="shared" si="3"/>
        <v>56.82</v>
      </c>
      <c r="R18" s="38">
        <f t="shared" si="4"/>
        <v>56.82</v>
      </c>
      <c r="T18" s="112"/>
      <c r="U18" s="77"/>
    </row>
    <row r="19" spans="1:21" x14ac:dyDescent="0.2">
      <c r="A19" s="18" t="s">
        <v>41</v>
      </c>
      <c r="B19" s="53">
        <v>3.08</v>
      </c>
      <c r="C19" s="53">
        <v>0</v>
      </c>
      <c r="D19" s="53">
        <v>0</v>
      </c>
      <c r="E19" s="53">
        <v>0</v>
      </c>
      <c r="F19" s="53">
        <v>277.64</v>
      </c>
      <c r="G19" s="53">
        <v>930.84</v>
      </c>
      <c r="H19" s="53">
        <v>445.68</v>
      </c>
      <c r="I19" s="53">
        <v>199.66</v>
      </c>
      <c r="J19" s="40">
        <v>36.799999999999997</v>
      </c>
      <c r="K19" s="18">
        <v>246.98</v>
      </c>
      <c r="L19" s="53">
        <v>190.32</v>
      </c>
      <c r="M19" s="53">
        <v>5.4</v>
      </c>
      <c r="N19" s="18">
        <f t="shared" si="5"/>
        <v>2336.4</v>
      </c>
      <c r="O19" s="3">
        <f t="shared" si="1"/>
        <v>1853.8200000000002</v>
      </c>
      <c r="P19" s="38">
        <f t="shared" ref="P19:P24" si="6">E19+F19+G19+H19+I19+J19</f>
        <v>1890.6200000000001</v>
      </c>
      <c r="Q19" s="40">
        <f t="shared" ref="Q19:Q24" si="7">L19+M19+B20</f>
        <v>195.72</v>
      </c>
      <c r="R19" s="38">
        <f t="shared" si="4"/>
        <v>195.72</v>
      </c>
      <c r="T19" s="112"/>
      <c r="U19" s="77"/>
    </row>
    <row r="20" spans="1:21" x14ac:dyDescent="0.2">
      <c r="A20" s="18" t="s">
        <v>45</v>
      </c>
      <c r="B20" s="18">
        <v>0</v>
      </c>
      <c r="C20" s="18">
        <v>0</v>
      </c>
      <c r="D20" s="18">
        <v>0</v>
      </c>
      <c r="E20" s="18">
        <v>0</v>
      </c>
      <c r="F20" s="18">
        <v>102.68</v>
      </c>
      <c r="G20" s="18">
        <v>433.84</v>
      </c>
      <c r="H20" s="18">
        <v>823.82</v>
      </c>
      <c r="I20" s="18">
        <v>294.94</v>
      </c>
      <c r="J20" s="18">
        <v>73.92</v>
      </c>
      <c r="K20" s="18">
        <v>118.64</v>
      </c>
      <c r="L20" s="18">
        <v>182.6</v>
      </c>
      <c r="M20" s="18">
        <v>24.14</v>
      </c>
      <c r="N20" s="18">
        <f t="shared" si="5"/>
        <v>2054.5800000000004</v>
      </c>
      <c r="O20" s="3">
        <f t="shared" si="1"/>
        <v>1655.2800000000002</v>
      </c>
      <c r="P20" s="38">
        <f t="shared" si="6"/>
        <v>1729.2000000000003</v>
      </c>
      <c r="Q20" s="40">
        <f t="shared" si="7"/>
        <v>206.74</v>
      </c>
      <c r="R20" s="38">
        <f t="shared" si="4"/>
        <v>206.74</v>
      </c>
      <c r="T20" s="112"/>
      <c r="U20" s="77"/>
    </row>
    <row r="21" spans="1:21" x14ac:dyDescent="0.2">
      <c r="A21" s="42" t="s">
        <v>46</v>
      </c>
      <c r="B21" s="42">
        <v>0</v>
      </c>
      <c r="C21" s="42">
        <v>0</v>
      </c>
      <c r="D21" s="42">
        <v>0</v>
      </c>
      <c r="E21" s="42">
        <v>0</v>
      </c>
      <c r="F21" s="42">
        <v>86.6</v>
      </c>
      <c r="G21" s="42">
        <v>609.9</v>
      </c>
      <c r="H21" s="42">
        <v>582.05999999999995</v>
      </c>
      <c r="I21" s="42">
        <v>453.14</v>
      </c>
      <c r="J21" s="42">
        <v>56.08</v>
      </c>
      <c r="K21" s="42">
        <v>104.32</v>
      </c>
      <c r="L21" s="42">
        <v>87.3</v>
      </c>
      <c r="M21" s="42">
        <v>4.22</v>
      </c>
      <c r="N21" s="18">
        <f t="shared" si="5"/>
        <v>1983.6199999999997</v>
      </c>
      <c r="O21" s="3">
        <f t="shared" si="1"/>
        <v>1731.6999999999998</v>
      </c>
      <c r="P21" s="38">
        <f t="shared" si="6"/>
        <v>1787.7799999999997</v>
      </c>
      <c r="Q21" s="40">
        <f t="shared" si="7"/>
        <v>91.52</v>
      </c>
      <c r="R21" s="38">
        <f t="shared" ref="R21:R28" si="8">L21+M21+B22+C22+D22</f>
        <v>91.52</v>
      </c>
      <c r="T21" s="112"/>
      <c r="U21" s="77"/>
    </row>
    <row r="22" spans="1:21" x14ac:dyDescent="0.2">
      <c r="A22" s="18" t="s">
        <v>56</v>
      </c>
      <c r="B22" s="18">
        <v>0</v>
      </c>
      <c r="C22" s="18">
        <v>0</v>
      </c>
      <c r="D22" s="18">
        <v>0</v>
      </c>
      <c r="E22" s="18">
        <v>0</v>
      </c>
      <c r="F22" s="18">
        <v>29.52</v>
      </c>
      <c r="G22" s="18">
        <v>105.52</v>
      </c>
      <c r="H22" s="18">
        <v>537.46</v>
      </c>
      <c r="I22" s="18">
        <v>47.82</v>
      </c>
      <c r="J22" s="18">
        <v>73.44</v>
      </c>
      <c r="K22" s="18">
        <v>117.32</v>
      </c>
      <c r="L22" s="18">
        <v>22.08</v>
      </c>
      <c r="M22" s="18">
        <v>3.5</v>
      </c>
      <c r="N22" s="18">
        <f t="shared" si="5"/>
        <v>936.66</v>
      </c>
      <c r="O22" s="3">
        <f t="shared" si="1"/>
        <v>720.32</v>
      </c>
      <c r="P22" s="38">
        <f t="shared" si="6"/>
        <v>793.76</v>
      </c>
      <c r="Q22" s="40">
        <f t="shared" si="7"/>
        <v>25.619999999999997</v>
      </c>
      <c r="R22" s="38">
        <f t="shared" si="8"/>
        <v>45.58</v>
      </c>
      <c r="T22" s="112"/>
      <c r="U22" s="77"/>
    </row>
    <row r="23" spans="1:21" x14ac:dyDescent="0.2">
      <c r="A23" s="18" t="s">
        <v>92</v>
      </c>
      <c r="B23" s="18">
        <v>0.04</v>
      </c>
      <c r="C23" s="18">
        <v>12.26</v>
      </c>
      <c r="D23" s="18">
        <v>7.7</v>
      </c>
      <c r="E23" s="18">
        <v>1.48</v>
      </c>
      <c r="F23" s="18">
        <v>0.22</v>
      </c>
      <c r="G23" s="18">
        <v>380.96</v>
      </c>
      <c r="H23" s="18">
        <v>526.36</v>
      </c>
      <c r="I23" s="18">
        <v>283.98</v>
      </c>
      <c r="J23" s="18">
        <v>25.42</v>
      </c>
      <c r="K23" s="18">
        <v>60.34</v>
      </c>
      <c r="L23" s="18">
        <v>272.94</v>
      </c>
      <c r="M23" s="18">
        <v>69.260000000000005</v>
      </c>
      <c r="N23" s="18">
        <f t="shared" si="5"/>
        <v>1640.96</v>
      </c>
      <c r="O23" s="3">
        <f t="shared" si="1"/>
        <v>1193</v>
      </c>
      <c r="P23" s="38">
        <f t="shared" si="6"/>
        <v>1218.42</v>
      </c>
      <c r="Q23" s="40">
        <f t="shared" si="7"/>
        <v>354.52</v>
      </c>
      <c r="R23" s="38">
        <f t="shared" si="8"/>
        <v>380.2</v>
      </c>
      <c r="T23" s="112"/>
    </row>
    <row r="24" spans="1:21" x14ac:dyDescent="0.2">
      <c r="A24" s="18" t="s">
        <v>103</v>
      </c>
      <c r="B24" s="18">
        <v>12.32</v>
      </c>
      <c r="C24" s="18">
        <v>12.48</v>
      </c>
      <c r="D24" s="18">
        <v>13.2</v>
      </c>
      <c r="E24" s="18">
        <v>2.86</v>
      </c>
      <c r="F24" s="18">
        <v>13.42</v>
      </c>
      <c r="G24" s="18">
        <v>109.64</v>
      </c>
      <c r="H24" s="18">
        <v>423.56</v>
      </c>
      <c r="I24" s="18">
        <v>591.9</v>
      </c>
      <c r="J24" s="18">
        <v>105.4</v>
      </c>
      <c r="K24" s="18">
        <v>67.78</v>
      </c>
      <c r="L24" s="18">
        <v>143.82</v>
      </c>
      <c r="M24" s="18">
        <v>6.86</v>
      </c>
      <c r="N24" s="18">
        <f t="shared" ref="N24:N31" si="9">SUM(B24:M24)</f>
        <v>1503.24</v>
      </c>
      <c r="O24" s="3">
        <f t="shared" ref="O24:O30" si="10">E24+F24+G24+H24+I24</f>
        <v>1141.3800000000001</v>
      </c>
      <c r="P24" s="38">
        <f t="shared" si="6"/>
        <v>1246.7800000000002</v>
      </c>
      <c r="Q24" s="40">
        <f t="shared" si="7"/>
        <v>151.26000000000002</v>
      </c>
      <c r="R24" s="38">
        <f t="shared" si="8"/>
        <v>151.52000000000001</v>
      </c>
      <c r="T24" s="112"/>
    </row>
    <row r="25" spans="1:21" x14ac:dyDescent="0.2">
      <c r="A25" s="18" t="s">
        <v>121</v>
      </c>
      <c r="B25" s="18">
        <v>0.57999999999999996</v>
      </c>
      <c r="C25" s="18">
        <v>0.26</v>
      </c>
      <c r="D25" s="18">
        <v>0</v>
      </c>
      <c r="E25" s="18">
        <v>0</v>
      </c>
      <c r="F25" s="18">
        <v>2.08</v>
      </c>
      <c r="G25" s="18">
        <v>117.8</v>
      </c>
      <c r="H25" s="18">
        <v>578.44000000000005</v>
      </c>
      <c r="I25" s="18">
        <v>182.38</v>
      </c>
      <c r="J25" s="18">
        <v>20.16</v>
      </c>
      <c r="K25" s="18">
        <v>133.36000000000001</v>
      </c>
      <c r="L25" s="18">
        <v>69.72</v>
      </c>
      <c r="M25" s="18">
        <v>12.06</v>
      </c>
      <c r="N25" s="18">
        <f t="shared" si="9"/>
        <v>1116.8399999999999</v>
      </c>
      <c r="O25" s="3">
        <f t="shared" si="10"/>
        <v>880.7</v>
      </c>
      <c r="P25" s="38">
        <f t="shared" ref="P25:P29" si="11">E25+F25+G25+H25+I25+J25</f>
        <v>900.86</v>
      </c>
      <c r="Q25" s="40">
        <f t="shared" ref="Q25:Q30" si="12">L25+M25+B26</f>
        <v>85.14</v>
      </c>
      <c r="R25" s="38">
        <f t="shared" si="8"/>
        <v>88.12</v>
      </c>
      <c r="T25" s="112"/>
    </row>
    <row r="26" spans="1:21" x14ac:dyDescent="0.2">
      <c r="A26" s="18" t="s">
        <v>129</v>
      </c>
      <c r="B26" s="18">
        <v>3.36</v>
      </c>
      <c r="C26" s="18">
        <v>0</v>
      </c>
      <c r="D26" s="18">
        <v>2.98</v>
      </c>
      <c r="E26" s="18">
        <v>0</v>
      </c>
      <c r="F26" s="18">
        <v>5</v>
      </c>
      <c r="G26" s="18">
        <v>173.96</v>
      </c>
      <c r="H26" s="18">
        <v>188.24199999999999</v>
      </c>
      <c r="I26" s="18">
        <v>0</v>
      </c>
      <c r="J26" s="18">
        <v>56.24</v>
      </c>
      <c r="K26" s="18">
        <v>75.72</v>
      </c>
      <c r="L26" s="18">
        <v>113.06</v>
      </c>
      <c r="M26" s="18">
        <v>16.12</v>
      </c>
      <c r="N26" s="18">
        <f t="shared" si="9"/>
        <v>634.68200000000013</v>
      </c>
      <c r="O26" s="3">
        <f t="shared" si="10"/>
        <v>367.202</v>
      </c>
      <c r="P26" s="38">
        <f t="shared" si="11"/>
        <v>423.44200000000001</v>
      </c>
      <c r="Q26" s="40">
        <f t="shared" si="12"/>
        <v>138.18</v>
      </c>
      <c r="R26" s="38">
        <f t="shared" si="8"/>
        <v>147.80000000000001</v>
      </c>
      <c r="T26" s="113"/>
    </row>
    <row r="27" spans="1:21" x14ac:dyDescent="0.2">
      <c r="A27" s="18" t="s">
        <v>136</v>
      </c>
      <c r="B27" s="18">
        <v>9</v>
      </c>
      <c r="C27" s="18">
        <v>9.6199999999999992</v>
      </c>
      <c r="D27" s="18">
        <v>0</v>
      </c>
      <c r="E27" s="18">
        <v>0</v>
      </c>
      <c r="F27" s="18">
        <v>2.1800000000000002</v>
      </c>
      <c r="G27" s="18">
        <v>41.02</v>
      </c>
      <c r="H27" s="18">
        <v>323.27999999999997</v>
      </c>
      <c r="I27" s="18">
        <v>81.86</v>
      </c>
      <c r="J27" s="18">
        <v>44.28</v>
      </c>
      <c r="K27" s="18">
        <v>124.42</v>
      </c>
      <c r="L27" s="18">
        <v>104.86</v>
      </c>
      <c r="M27" s="18">
        <v>0.72</v>
      </c>
      <c r="N27" s="18">
        <f t="shared" si="9"/>
        <v>741.24</v>
      </c>
      <c r="O27" s="3">
        <f t="shared" si="10"/>
        <v>448.34</v>
      </c>
      <c r="P27" s="38">
        <f t="shared" si="11"/>
        <v>492.62</v>
      </c>
      <c r="Q27" s="40">
        <f t="shared" si="12"/>
        <v>111.28</v>
      </c>
      <c r="R27" s="38">
        <f t="shared" si="8"/>
        <v>421.64</v>
      </c>
      <c r="T27" s="113"/>
    </row>
    <row r="28" spans="1:21" x14ac:dyDescent="0.2">
      <c r="A28" s="18" t="s">
        <v>140</v>
      </c>
      <c r="B28" s="18">
        <v>5.7</v>
      </c>
      <c r="C28" s="18">
        <v>182.42</v>
      </c>
      <c r="D28" s="18">
        <v>127.94</v>
      </c>
      <c r="E28" s="18">
        <v>7.16</v>
      </c>
      <c r="F28" s="18">
        <v>0</v>
      </c>
      <c r="G28" s="18">
        <v>367.48</v>
      </c>
      <c r="H28" s="18">
        <v>426.86</v>
      </c>
      <c r="I28" s="18">
        <v>111.6</v>
      </c>
      <c r="J28" s="18">
        <v>19.72</v>
      </c>
      <c r="K28" s="18">
        <v>68.92</v>
      </c>
      <c r="L28" s="18">
        <v>81.099999999999994</v>
      </c>
      <c r="M28" s="18">
        <v>18.14</v>
      </c>
      <c r="N28" s="18">
        <f t="shared" si="9"/>
        <v>1417.04</v>
      </c>
      <c r="O28" s="3">
        <f t="shared" si="10"/>
        <v>913.1</v>
      </c>
      <c r="P28" s="38">
        <f t="shared" si="11"/>
        <v>932.82</v>
      </c>
      <c r="Q28" s="40">
        <f t="shared" si="12"/>
        <v>109.5</v>
      </c>
      <c r="R28" s="38">
        <f t="shared" si="8"/>
        <v>229.06</v>
      </c>
      <c r="T28" s="113"/>
    </row>
    <row r="29" spans="1:21" x14ac:dyDescent="0.2">
      <c r="A29" s="18" t="s">
        <v>143</v>
      </c>
      <c r="B29" s="18">
        <v>10.26</v>
      </c>
      <c r="C29" s="18">
        <v>80.760000000000005</v>
      </c>
      <c r="D29" s="18">
        <v>38.799999999999997</v>
      </c>
      <c r="E29" s="18">
        <v>0</v>
      </c>
      <c r="F29" s="18">
        <v>2.36</v>
      </c>
      <c r="G29" s="18">
        <v>81.2</v>
      </c>
      <c r="H29" s="18">
        <v>115</v>
      </c>
      <c r="I29" s="18">
        <v>23.72</v>
      </c>
      <c r="J29" s="18">
        <v>56.08</v>
      </c>
      <c r="K29" s="18">
        <v>119.94</v>
      </c>
      <c r="L29" s="18">
        <v>90.66</v>
      </c>
      <c r="M29" s="18">
        <v>28.3</v>
      </c>
      <c r="N29" s="18">
        <f t="shared" si="9"/>
        <v>647.07999999999993</v>
      </c>
      <c r="O29" s="3">
        <f t="shared" si="10"/>
        <v>222.28</v>
      </c>
      <c r="P29" s="38">
        <f t="shared" si="11"/>
        <v>278.36</v>
      </c>
      <c r="Q29" s="40">
        <f t="shared" si="12"/>
        <v>137.4</v>
      </c>
      <c r="R29" s="38">
        <f>L29+M29+B30+C30+D30</f>
        <v>290.18</v>
      </c>
      <c r="T29" s="113"/>
    </row>
    <row r="30" spans="1:21" x14ac:dyDescent="0.2">
      <c r="A30" s="18" t="s">
        <v>149</v>
      </c>
      <c r="B30" s="18">
        <v>18.440000000000001</v>
      </c>
      <c r="C30" s="18">
        <v>143.96</v>
      </c>
      <c r="D30" s="18">
        <v>8.82</v>
      </c>
      <c r="E30" s="18">
        <v>0</v>
      </c>
      <c r="F30" s="18">
        <v>106.72</v>
      </c>
      <c r="G30" s="18">
        <v>243.46</v>
      </c>
      <c r="H30" s="18">
        <v>230.56</v>
      </c>
      <c r="I30" s="18">
        <v>33.24</v>
      </c>
      <c r="J30" s="63">
        <v>42.62</v>
      </c>
      <c r="K30" s="63">
        <v>45.42</v>
      </c>
      <c r="L30" s="63">
        <v>135.80000000000001</v>
      </c>
      <c r="M30" s="63">
        <v>31.46</v>
      </c>
      <c r="N30" s="18">
        <f t="shared" si="9"/>
        <v>1040.5</v>
      </c>
      <c r="O30" s="3">
        <f t="shared" si="10"/>
        <v>613.98</v>
      </c>
      <c r="P30" s="38">
        <f>E30+F30+G30+H30+I30+J30</f>
        <v>656.6</v>
      </c>
      <c r="Q30" s="61">
        <f t="shared" si="12"/>
        <v>353.36</v>
      </c>
      <c r="R30" s="71">
        <f>L30+M30+B31+C31+D31</f>
        <v>851.9</v>
      </c>
      <c r="T30" s="113"/>
      <c r="U30" s="78"/>
    </row>
    <row r="31" spans="1:21" x14ac:dyDescent="0.2">
      <c r="A31" s="18" t="s">
        <v>158</v>
      </c>
      <c r="B31" s="63">
        <v>186.1</v>
      </c>
      <c r="C31" s="18">
        <v>350.96</v>
      </c>
      <c r="D31" s="18">
        <v>147.58000000000001</v>
      </c>
      <c r="E31" s="18">
        <v>1.92</v>
      </c>
      <c r="F31" s="18">
        <v>1.92</v>
      </c>
      <c r="G31" s="18">
        <v>47.78</v>
      </c>
      <c r="H31" s="18">
        <v>94.48</v>
      </c>
      <c r="I31" s="18">
        <v>101.46</v>
      </c>
      <c r="J31" s="18"/>
      <c r="K31" s="18"/>
      <c r="L31" s="18"/>
      <c r="M31" s="18"/>
      <c r="N31" s="18">
        <f t="shared" si="9"/>
        <v>932.19999999999993</v>
      </c>
      <c r="O31" s="3">
        <f t="shared" ref="O31" si="13">E31+F31+G31+H31+I31</f>
        <v>247.56</v>
      </c>
      <c r="P31" s="38">
        <f>E31+F31+G31+H31+I31+J31</f>
        <v>247.56</v>
      </c>
      <c r="Q31" s="61">
        <f t="shared" ref="Q31" si="14">L31+M31+B32</f>
        <v>0</v>
      </c>
      <c r="R31" s="71">
        <f>L31+M31+B32+C32+D32</f>
        <v>0</v>
      </c>
      <c r="T31" s="113"/>
      <c r="U31" s="78"/>
    </row>
    <row r="32" spans="1:21" x14ac:dyDescent="0.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188">
        <f>AVERAGE(O26:O30)</f>
        <v>512.98040000000003</v>
      </c>
      <c r="P32" s="188">
        <f>AVERAGE(P26:P30)</f>
        <v>556.76840000000004</v>
      </c>
      <c r="Q32" s="24">
        <f>AVERAGE(Q26:Q30)</f>
        <v>169.94400000000002</v>
      </c>
      <c r="R32" s="24">
        <f>AVERAGE(R26:R30)</f>
        <v>388.11599999999999</v>
      </c>
      <c r="S32" s="1" t="s">
        <v>164</v>
      </c>
      <c r="T32" s="112"/>
    </row>
    <row r="33" spans="1:22" x14ac:dyDescent="0.2">
      <c r="A33" s="40" t="s">
        <v>24</v>
      </c>
      <c r="F33" s="40" t="s">
        <v>116</v>
      </c>
      <c r="M33" s="40" t="s">
        <v>3</v>
      </c>
      <c r="T33" s="112"/>
      <c r="U33" s="98"/>
    </row>
    <row r="34" spans="1:22" x14ac:dyDescent="0.2">
      <c r="A34" s="18"/>
      <c r="B34" s="18" t="s">
        <v>4</v>
      </c>
      <c r="C34" s="18" t="s">
        <v>5</v>
      </c>
      <c r="D34" s="18" t="s">
        <v>6</v>
      </c>
      <c r="E34" s="18" t="s">
        <v>7</v>
      </c>
      <c r="F34" s="18" t="s">
        <v>8</v>
      </c>
      <c r="G34" s="18" t="s">
        <v>9</v>
      </c>
      <c r="H34" s="18" t="s">
        <v>10</v>
      </c>
      <c r="I34" s="18" t="s">
        <v>11</v>
      </c>
      <c r="J34" s="18" t="s">
        <v>12</v>
      </c>
      <c r="K34" s="18" t="s">
        <v>13</v>
      </c>
      <c r="L34" s="18" t="s">
        <v>14</v>
      </c>
      <c r="M34" s="18" t="s">
        <v>15</v>
      </c>
      <c r="N34" s="18" t="s">
        <v>16</v>
      </c>
      <c r="U34" s="98"/>
    </row>
    <row r="35" spans="1:22" x14ac:dyDescent="0.2">
      <c r="A35" s="18" t="s">
        <v>17</v>
      </c>
      <c r="B35" s="18">
        <v>363.5</v>
      </c>
      <c r="C35" s="18">
        <v>212.6</v>
      </c>
      <c r="D35" s="18">
        <v>0</v>
      </c>
      <c r="E35" s="18">
        <v>10.3</v>
      </c>
      <c r="F35" s="18">
        <v>12.9</v>
      </c>
      <c r="G35" s="18">
        <v>20</v>
      </c>
      <c r="H35" s="18">
        <v>40.700000000000003</v>
      </c>
      <c r="I35" s="18">
        <v>13.6</v>
      </c>
      <c r="J35" s="18">
        <v>10.199999999999999</v>
      </c>
      <c r="K35" s="18">
        <v>0</v>
      </c>
      <c r="L35" s="18">
        <v>6.6</v>
      </c>
      <c r="M35" s="18">
        <v>508.9</v>
      </c>
      <c r="N35" s="18">
        <f>SUM(B35:M35)</f>
        <v>1199.3000000000002</v>
      </c>
      <c r="U35" s="98"/>
    </row>
    <row r="36" spans="1:22" x14ac:dyDescent="0.2">
      <c r="A36" s="18" t="s">
        <v>18</v>
      </c>
      <c r="B36" s="18">
        <v>321.2</v>
      </c>
      <c r="C36" s="18">
        <v>253.7</v>
      </c>
      <c r="D36" s="18">
        <v>0</v>
      </c>
      <c r="E36" s="18">
        <v>0.2</v>
      </c>
      <c r="F36" s="18">
        <v>1.9</v>
      </c>
      <c r="G36" s="18">
        <v>3.3</v>
      </c>
      <c r="H36" s="18">
        <v>0.8</v>
      </c>
      <c r="I36" s="18">
        <v>0</v>
      </c>
      <c r="J36" s="18">
        <v>0</v>
      </c>
      <c r="K36" s="18">
        <v>0</v>
      </c>
      <c r="L36" s="18">
        <v>140.4</v>
      </c>
      <c r="M36" s="18">
        <v>505.7</v>
      </c>
      <c r="N36" s="18">
        <f t="shared" ref="N36:N41" si="15">SUM(B36:M36)</f>
        <v>1227.1999999999998</v>
      </c>
    </row>
    <row r="37" spans="1:22" x14ac:dyDescent="0.2">
      <c r="A37" s="18" t="s">
        <v>19</v>
      </c>
      <c r="B37" s="18">
        <v>463.2</v>
      </c>
      <c r="C37" s="18">
        <v>0</v>
      </c>
      <c r="D37" s="18">
        <v>0</v>
      </c>
      <c r="E37" s="18">
        <v>1.7</v>
      </c>
      <c r="F37" s="18">
        <v>7.5</v>
      </c>
      <c r="G37" s="18">
        <v>2.7</v>
      </c>
      <c r="H37" s="18">
        <v>1.7</v>
      </c>
      <c r="I37" s="18">
        <v>0</v>
      </c>
      <c r="J37" s="18">
        <v>0.2</v>
      </c>
      <c r="K37" s="18">
        <v>0.1</v>
      </c>
      <c r="L37" s="18">
        <v>17.399999999999999</v>
      </c>
      <c r="M37" s="18">
        <v>33.299999999999997</v>
      </c>
      <c r="N37" s="18">
        <f t="shared" si="15"/>
        <v>527.79999999999995</v>
      </c>
    </row>
    <row r="38" spans="1:22" x14ac:dyDescent="0.2">
      <c r="A38" s="18" t="s">
        <v>20</v>
      </c>
      <c r="B38" s="18">
        <v>0</v>
      </c>
      <c r="C38" s="18">
        <v>0</v>
      </c>
      <c r="D38" s="18">
        <v>0</v>
      </c>
      <c r="E38" s="18">
        <v>0.1</v>
      </c>
      <c r="F38" s="18">
        <v>5.8</v>
      </c>
      <c r="G38" s="18">
        <v>9.5</v>
      </c>
      <c r="H38" s="18">
        <v>1</v>
      </c>
      <c r="I38" s="18">
        <v>0</v>
      </c>
      <c r="J38" s="18">
        <v>0</v>
      </c>
      <c r="K38" s="18">
        <v>0</v>
      </c>
      <c r="L38" s="18">
        <v>309.8</v>
      </c>
      <c r="M38" s="18">
        <v>334.6</v>
      </c>
      <c r="N38" s="18">
        <f t="shared" si="15"/>
        <v>660.8</v>
      </c>
    </row>
    <row r="39" spans="1:22" x14ac:dyDescent="0.2">
      <c r="A39" s="18" t="s">
        <v>21</v>
      </c>
      <c r="B39" s="18">
        <v>275.5</v>
      </c>
      <c r="C39" s="18">
        <v>7.8</v>
      </c>
      <c r="D39" s="18">
        <v>0</v>
      </c>
      <c r="E39" s="18">
        <v>0</v>
      </c>
      <c r="F39" s="18">
        <v>38.5</v>
      </c>
      <c r="G39" s="18">
        <v>2.9</v>
      </c>
      <c r="H39" s="18">
        <v>2.6</v>
      </c>
      <c r="I39" s="18">
        <v>0</v>
      </c>
      <c r="J39" s="18">
        <v>0</v>
      </c>
      <c r="K39" s="18">
        <v>0</v>
      </c>
      <c r="L39" s="18">
        <v>78</v>
      </c>
      <c r="M39" s="18">
        <v>61.6</v>
      </c>
      <c r="N39" s="18">
        <f t="shared" si="15"/>
        <v>466.90000000000003</v>
      </c>
    </row>
    <row r="40" spans="1:22" x14ac:dyDescent="0.2">
      <c r="A40" s="18" t="s">
        <v>22</v>
      </c>
      <c r="B40" s="18">
        <v>0.9</v>
      </c>
      <c r="C40" s="18">
        <v>101</v>
      </c>
      <c r="D40" s="18">
        <v>0</v>
      </c>
      <c r="E40" s="18">
        <v>0</v>
      </c>
      <c r="F40" s="18">
        <v>0.5</v>
      </c>
      <c r="G40" s="18">
        <v>11.3</v>
      </c>
      <c r="H40" s="18">
        <v>1</v>
      </c>
      <c r="I40" s="18">
        <v>41.9</v>
      </c>
      <c r="J40" s="18">
        <v>1.8</v>
      </c>
      <c r="K40" s="18">
        <v>6.1</v>
      </c>
      <c r="L40" s="18">
        <v>280.89999999999998</v>
      </c>
      <c r="M40" s="18">
        <v>207.9</v>
      </c>
      <c r="N40" s="18">
        <f t="shared" si="15"/>
        <v>653.29999999999995</v>
      </c>
      <c r="O40" s="4" t="s">
        <v>43</v>
      </c>
      <c r="P40" s="40" t="s">
        <v>112</v>
      </c>
      <c r="Q40" s="40" t="s">
        <v>113</v>
      </c>
      <c r="R40" s="40" t="s">
        <v>114</v>
      </c>
    </row>
    <row r="41" spans="1:22" x14ac:dyDescent="0.2">
      <c r="A41" s="18" t="s">
        <v>23</v>
      </c>
      <c r="B41" s="18">
        <v>0</v>
      </c>
      <c r="C41" s="18">
        <v>72.5</v>
      </c>
      <c r="D41" s="18"/>
      <c r="E41" s="18">
        <v>10.5</v>
      </c>
      <c r="F41" s="18">
        <v>32.5</v>
      </c>
      <c r="G41" s="18">
        <v>0.3</v>
      </c>
      <c r="H41" s="18">
        <v>1.6</v>
      </c>
      <c r="I41" s="18">
        <v>2.5</v>
      </c>
      <c r="J41" s="18">
        <v>0</v>
      </c>
      <c r="K41" s="18"/>
      <c r="L41" s="18">
        <v>407.1</v>
      </c>
      <c r="M41" s="18">
        <v>412.5</v>
      </c>
      <c r="N41" s="18">
        <f t="shared" si="15"/>
        <v>939.5</v>
      </c>
      <c r="O41" s="3">
        <f t="shared" ref="O41:O57" si="16">E41+F41+G41+H41+I41</f>
        <v>47.4</v>
      </c>
      <c r="P41" s="39">
        <f>E41+F41+G41+H41+I41+J41</f>
        <v>47.4</v>
      </c>
      <c r="Q41" s="39">
        <f>L41+M41+B42</f>
        <v>1102.52</v>
      </c>
      <c r="R41" s="38">
        <f>L41+M41+B42+C42+D42</f>
        <v>1138.6000000000001</v>
      </c>
    </row>
    <row r="42" spans="1:22" x14ac:dyDescent="0.2">
      <c r="A42" s="18" t="s">
        <v>32</v>
      </c>
      <c r="B42" s="18">
        <v>282.92</v>
      </c>
      <c r="C42" s="18">
        <v>26.16</v>
      </c>
      <c r="D42" s="18">
        <v>9.92</v>
      </c>
      <c r="E42" s="18">
        <v>0</v>
      </c>
      <c r="F42" s="18">
        <v>1.35</v>
      </c>
      <c r="G42" s="18">
        <v>22.782</v>
      </c>
      <c r="H42" s="18">
        <v>7.4999999999999997E-2</v>
      </c>
      <c r="I42" s="18">
        <v>39.511000000000003</v>
      </c>
      <c r="J42" s="18">
        <v>63.58</v>
      </c>
      <c r="K42" s="18">
        <v>0</v>
      </c>
      <c r="L42" s="18">
        <v>0</v>
      </c>
      <c r="M42" s="18">
        <v>1.4550000000000001</v>
      </c>
      <c r="N42" s="18">
        <f t="shared" ref="N42:N47" si="17">SUM(B42:M42)</f>
        <v>447.75300000000004</v>
      </c>
      <c r="O42" s="3">
        <f t="shared" si="16"/>
        <v>63.718000000000004</v>
      </c>
      <c r="P42" s="39">
        <f t="shared" ref="P42:P49" si="18">E42+F42+G42+H42+I42+J42</f>
        <v>127.298</v>
      </c>
      <c r="Q42" s="39">
        <f t="shared" ref="Q42:Q48" si="19">L42+M42+B43</f>
        <v>98.658999999999992</v>
      </c>
      <c r="R42" s="38">
        <f t="shared" ref="R42:R50" si="20">L42+M42+B43+C43+D43</f>
        <v>98.658999999999992</v>
      </c>
    </row>
    <row r="43" spans="1:22" x14ac:dyDescent="0.2">
      <c r="A43" s="18" t="s">
        <v>33</v>
      </c>
      <c r="B43" s="18">
        <v>97.203999999999994</v>
      </c>
      <c r="C43" s="18">
        <v>0</v>
      </c>
      <c r="D43" s="18">
        <v>0</v>
      </c>
      <c r="E43" s="18">
        <v>25.605</v>
      </c>
      <c r="F43" s="18">
        <v>27.96</v>
      </c>
      <c r="G43" s="18">
        <v>88.44</v>
      </c>
      <c r="H43" s="18">
        <v>66.744</v>
      </c>
      <c r="I43" s="18">
        <v>102.53100000000001</v>
      </c>
      <c r="J43" s="18">
        <v>57.231999999999999</v>
      </c>
      <c r="K43" s="18">
        <v>0</v>
      </c>
      <c r="L43" s="18">
        <v>18.355</v>
      </c>
      <c r="M43" s="18">
        <v>344.31</v>
      </c>
      <c r="N43" s="18">
        <f t="shared" si="17"/>
        <v>828.38100000000009</v>
      </c>
      <c r="O43" s="3">
        <f t="shared" si="16"/>
        <v>311.27999999999997</v>
      </c>
      <c r="P43" s="39">
        <f t="shared" si="18"/>
        <v>368.51199999999994</v>
      </c>
      <c r="Q43" s="39">
        <f t="shared" si="19"/>
        <v>603.572</v>
      </c>
      <c r="R43" s="38">
        <f t="shared" si="20"/>
        <v>630.47699999999998</v>
      </c>
    </row>
    <row r="44" spans="1:22" x14ac:dyDescent="0.2">
      <c r="A44" s="18" t="s">
        <v>34</v>
      </c>
      <c r="B44" s="18">
        <v>240.90700000000001</v>
      </c>
      <c r="C44" s="18">
        <v>26.905000000000001</v>
      </c>
      <c r="D44" s="18">
        <v>0</v>
      </c>
      <c r="E44" s="18">
        <v>0</v>
      </c>
      <c r="F44" s="18">
        <v>5.1550000000000002</v>
      </c>
      <c r="G44" s="18">
        <v>7.88</v>
      </c>
      <c r="H44" s="18">
        <v>86.231999999999999</v>
      </c>
      <c r="I44" s="18">
        <v>48.24</v>
      </c>
      <c r="J44" s="18">
        <v>0</v>
      </c>
      <c r="K44" s="18">
        <v>0</v>
      </c>
      <c r="L44" s="18">
        <v>11.13</v>
      </c>
      <c r="M44" s="18">
        <v>38.154000000000003</v>
      </c>
      <c r="N44" s="18">
        <f t="shared" si="17"/>
        <v>464.60299999999995</v>
      </c>
      <c r="O44" s="3">
        <f t="shared" si="16"/>
        <v>147.50700000000001</v>
      </c>
      <c r="P44" s="39">
        <f t="shared" si="18"/>
        <v>147.50700000000001</v>
      </c>
      <c r="Q44" s="39">
        <f t="shared" si="19"/>
        <v>72.603000000000009</v>
      </c>
      <c r="R44" s="38">
        <f t="shared" si="20"/>
        <v>88.14500000000001</v>
      </c>
    </row>
    <row r="45" spans="1:22" x14ac:dyDescent="0.2">
      <c r="A45" s="18" t="s">
        <v>35</v>
      </c>
      <c r="B45" s="18">
        <v>23.318999999999999</v>
      </c>
      <c r="C45" s="18">
        <v>15.542</v>
      </c>
      <c r="D45" s="18">
        <v>0</v>
      </c>
      <c r="E45" s="18">
        <v>3.09</v>
      </c>
      <c r="F45" s="18">
        <v>2.1509999999999998</v>
      </c>
      <c r="G45" s="18">
        <v>10.755000000000001</v>
      </c>
      <c r="H45" s="18">
        <v>68.84</v>
      </c>
      <c r="I45" s="18">
        <v>47.96</v>
      </c>
      <c r="J45" s="18">
        <v>0</v>
      </c>
      <c r="K45" s="18">
        <v>0</v>
      </c>
      <c r="L45" s="18">
        <v>2.5950000000000002</v>
      </c>
      <c r="M45" s="18">
        <v>27.965</v>
      </c>
      <c r="N45" s="18">
        <f t="shared" si="17"/>
        <v>202.21700000000001</v>
      </c>
      <c r="O45" s="3">
        <f t="shared" si="16"/>
        <v>132.79599999999999</v>
      </c>
      <c r="P45" s="39">
        <f t="shared" si="18"/>
        <v>132.79599999999999</v>
      </c>
      <c r="Q45" s="39">
        <f t="shared" si="19"/>
        <v>113.961</v>
      </c>
      <c r="R45" s="38">
        <f t="shared" si="20"/>
        <v>113.961</v>
      </c>
    </row>
    <row r="46" spans="1:22" x14ac:dyDescent="0.2">
      <c r="A46" s="18" t="s">
        <v>37</v>
      </c>
      <c r="B46" s="18">
        <v>83.400999999999996</v>
      </c>
      <c r="C46" s="18">
        <v>0</v>
      </c>
      <c r="D46" s="18">
        <v>0</v>
      </c>
      <c r="E46" s="18">
        <v>1.21</v>
      </c>
      <c r="F46" s="18">
        <v>4.6550000000000002</v>
      </c>
      <c r="G46" s="18">
        <v>23.844999999999999</v>
      </c>
      <c r="H46" s="18">
        <v>38.2774</v>
      </c>
      <c r="I46" s="18">
        <v>16.245000000000001</v>
      </c>
      <c r="J46" s="18">
        <v>0</v>
      </c>
      <c r="K46" s="18">
        <v>0</v>
      </c>
      <c r="L46" s="18">
        <v>16.815000000000001</v>
      </c>
      <c r="M46" s="18">
        <v>42.016500000000001</v>
      </c>
      <c r="N46" s="18">
        <f t="shared" si="17"/>
        <v>226.4649</v>
      </c>
      <c r="O46" s="3">
        <f t="shared" si="16"/>
        <v>84.232400000000013</v>
      </c>
      <c r="P46" s="39">
        <f t="shared" si="18"/>
        <v>84.232400000000013</v>
      </c>
      <c r="Q46" s="39">
        <f t="shared" si="19"/>
        <v>82.7</v>
      </c>
      <c r="R46" s="38">
        <f t="shared" si="20"/>
        <v>123.236</v>
      </c>
      <c r="V46" s="115"/>
    </row>
    <row r="47" spans="1:22" x14ac:dyDescent="0.2">
      <c r="A47" s="18" t="s">
        <v>39</v>
      </c>
      <c r="B47" s="18">
        <v>23.868500000000001</v>
      </c>
      <c r="C47" s="18">
        <v>24.7</v>
      </c>
      <c r="D47" s="18">
        <v>15.836</v>
      </c>
      <c r="E47" s="18">
        <v>0.53500000000000003</v>
      </c>
      <c r="F47" s="18">
        <v>15.705</v>
      </c>
      <c r="G47" s="18">
        <v>28.623000000000001</v>
      </c>
      <c r="H47" s="18">
        <v>75.430999999999997</v>
      </c>
      <c r="I47" s="18">
        <v>22.216000000000001</v>
      </c>
      <c r="J47" s="18">
        <v>0</v>
      </c>
      <c r="K47" s="18">
        <v>0</v>
      </c>
      <c r="L47" s="18">
        <v>110.985</v>
      </c>
      <c r="M47" s="18">
        <v>181.03200000000001</v>
      </c>
      <c r="N47" s="18">
        <f t="shared" si="17"/>
        <v>498.93150000000003</v>
      </c>
      <c r="O47" s="3">
        <f t="shared" si="16"/>
        <v>142.51</v>
      </c>
      <c r="P47" s="39">
        <f t="shared" si="18"/>
        <v>142.51</v>
      </c>
      <c r="Q47" s="39">
        <f t="shared" si="19"/>
        <v>331.90699999999998</v>
      </c>
      <c r="R47" s="38">
        <f t="shared" si="20"/>
        <v>345.16199999999998</v>
      </c>
      <c r="V47" s="115"/>
    </row>
    <row r="48" spans="1:22" x14ac:dyDescent="0.2">
      <c r="A48" s="18" t="s">
        <v>115</v>
      </c>
      <c r="B48" s="18">
        <v>39.89</v>
      </c>
      <c r="C48" s="18">
        <v>13.255000000000001</v>
      </c>
      <c r="D48" s="18">
        <v>0</v>
      </c>
      <c r="E48" s="18">
        <v>1.625</v>
      </c>
      <c r="F48" s="18">
        <v>6.18</v>
      </c>
      <c r="G48" s="18">
        <v>7.0750000000000002</v>
      </c>
      <c r="H48" s="18">
        <v>61.542999999999999</v>
      </c>
      <c r="I48" s="18">
        <v>0.20499999999999999</v>
      </c>
      <c r="J48" s="18">
        <v>0</v>
      </c>
      <c r="K48" s="18">
        <v>0</v>
      </c>
      <c r="L48" s="18">
        <v>0.38</v>
      </c>
      <c r="M48" s="18">
        <v>0.59</v>
      </c>
      <c r="N48" s="18">
        <f t="shared" ref="N48:N53" si="21">SUM(B48:M48)</f>
        <v>130.74300000000002</v>
      </c>
      <c r="O48" s="3">
        <f t="shared" si="16"/>
        <v>76.628</v>
      </c>
      <c r="P48" s="39">
        <f t="shared" si="18"/>
        <v>76.628</v>
      </c>
      <c r="Q48" s="39">
        <f t="shared" si="19"/>
        <v>2.3890000000000002</v>
      </c>
      <c r="R48" s="38">
        <f t="shared" si="20"/>
        <v>13.109000000000002</v>
      </c>
      <c r="V48" s="115"/>
    </row>
    <row r="49" spans="1:22" x14ac:dyDescent="0.2">
      <c r="A49" s="18" t="s">
        <v>41</v>
      </c>
      <c r="B49" s="18">
        <v>1.419</v>
      </c>
      <c r="C49" s="18">
        <v>10.72</v>
      </c>
      <c r="D49" s="18">
        <v>0</v>
      </c>
      <c r="E49" s="18">
        <v>0.875</v>
      </c>
      <c r="F49" s="18">
        <v>3.105</v>
      </c>
      <c r="G49" s="18">
        <v>17.794</v>
      </c>
      <c r="H49" s="18">
        <v>37.292000000000002</v>
      </c>
      <c r="I49" s="18">
        <v>41.456000000000003</v>
      </c>
      <c r="J49" s="18">
        <v>0</v>
      </c>
      <c r="K49" s="18">
        <v>0</v>
      </c>
      <c r="L49" s="18">
        <v>0</v>
      </c>
      <c r="M49" s="18">
        <v>24.881</v>
      </c>
      <c r="N49" s="18">
        <f t="shared" si="21"/>
        <v>137.542</v>
      </c>
      <c r="O49" s="3">
        <f t="shared" si="16"/>
        <v>100.52200000000001</v>
      </c>
      <c r="P49" s="38">
        <f t="shared" si="18"/>
        <v>100.52200000000001</v>
      </c>
      <c r="Q49" s="39">
        <f t="shared" ref="Q49:Q54" si="22">L49+M49+B50</f>
        <v>40.618000000000002</v>
      </c>
      <c r="R49" s="38">
        <f t="shared" si="20"/>
        <v>40.618000000000002</v>
      </c>
      <c r="V49" s="115"/>
    </row>
    <row r="50" spans="1:22" x14ac:dyDescent="0.2">
      <c r="A50" s="18" t="s">
        <v>45</v>
      </c>
      <c r="B50" s="18">
        <v>15.737</v>
      </c>
      <c r="C50" s="18">
        <v>0</v>
      </c>
      <c r="D50" s="18">
        <v>0</v>
      </c>
      <c r="E50" s="18">
        <v>7.1050000000000004</v>
      </c>
      <c r="F50" s="18">
        <v>6.94</v>
      </c>
      <c r="G50" s="18">
        <v>59.429000000000002</v>
      </c>
      <c r="H50" s="18">
        <v>88.07</v>
      </c>
      <c r="I50" s="18">
        <v>0.65600000000000003</v>
      </c>
      <c r="J50" s="18">
        <v>0</v>
      </c>
      <c r="K50" s="18">
        <v>0</v>
      </c>
      <c r="L50" s="18">
        <v>0</v>
      </c>
      <c r="M50" s="18">
        <v>33.107999999999997</v>
      </c>
      <c r="N50" s="18">
        <f t="shared" si="21"/>
        <v>211.04500000000002</v>
      </c>
      <c r="O50" s="3">
        <f t="shared" si="16"/>
        <v>162.19999999999999</v>
      </c>
      <c r="P50" s="38">
        <f t="shared" ref="P50:P55" si="23">E50+F50+G50+H50+I50+J50</f>
        <v>162.19999999999999</v>
      </c>
      <c r="Q50" s="39">
        <f t="shared" si="22"/>
        <v>69.524000000000001</v>
      </c>
      <c r="R50" s="38">
        <f t="shared" si="20"/>
        <v>75.244</v>
      </c>
      <c r="V50" s="115"/>
    </row>
    <row r="51" spans="1:22" x14ac:dyDescent="0.2">
      <c r="A51" s="42" t="s">
        <v>46</v>
      </c>
      <c r="B51" s="42">
        <v>36.415999999999997</v>
      </c>
      <c r="C51" s="42">
        <v>5.72</v>
      </c>
      <c r="D51" s="42">
        <v>0</v>
      </c>
      <c r="E51" s="42">
        <v>0</v>
      </c>
      <c r="F51" s="42">
        <v>2.8091999999999997</v>
      </c>
      <c r="G51" s="42">
        <v>12.3188</v>
      </c>
      <c r="H51" s="42">
        <v>44.137999999999998</v>
      </c>
      <c r="I51" s="42">
        <v>45.708400000000005</v>
      </c>
      <c r="J51" s="42">
        <v>1.6439999999999999</v>
      </c>
      <c r="K51" s="42">
        <v>1.9379999999999999</v>
      </c>
      <c r="L51" s="42">
        <v>0.78839999999999999</v>
      </c>
      <c r="M51" s="42">
        <v>4.4056000000000006</v>
      </c>
      <c r="N51" s="18">
        <f t="shared" si="21"/>
        <v>155.88639999999998</v>
      </c>
      <c r="O51" s="3">
        <f t="shared" si="16"/>
        <v>104.9744</v>
      </c>
      <c r="P51" s="38">
        <f t="shared" si="23"/>
        <v>106.61840000000001</v>
      </c>
      <c r="Q51" s="39">
        <f t="shared" si="22"/>
        <v>8.0259999999999998</v>
      </c>
      <c r="R51" s="38">
        <f t="shared" ref="R51:R59" si="24">L51+M51+B52+C52+D52</f>
        <v>12.2332</v>
      </c>
      <c r="V51" s="115"/>
    </row>
    <row r="52" spans="1:22" x14ac:dyDescent="0.2">
      <c r="A52" s="18" t="s">
        <v>56</v>
      </c>
      <c r="B52" s="18">
        <v>2.8319999999999999</v>
      </c>
      <c r="C52" s="18">
        <v>1.6032</v>
      </c>
      <c r="D52" s="18">
        <v>2.6040000000000001</v>
      </c>
      <c r="E52" s="18">
        <v>0</v>
      </c>
      <c r="F52" s="18">
        <v>2.2608000000000001</v>
      </c>
      <c r="G52" s="18">
        <v>1.3740000000000001</v>
      </c>
      <c r="H52" s="18">
        <v>15.6068</v>
      </c>
      <c r="I52" s="18">
        <v>2.056</v>
      </c>
      <c r="J52" s="18">
        <v>1.9490000000000001</v>
      </c>
      <c r="K52" s="18">
        <v>1.883</v>
      </c>
      <c r="L52" s="18">
        <v>0.94550000000000001</v>
      </c>
      <c r="M52" s="18">
        <v>0.57199999999999995</v>
      </c>
      <c r="N52" s="18">
        <f t="shared" si="21"/>
        <v>33.68630000000001</v>
      </c>
      <c r="O52" s="3">
        <f t="shared" si="16"/>
        <v>21.297599999999999</v>
      </c>
      <c r="P52" s="38">
        <f t="shared" si="23"/>
        <v>23.246600000000001</v>
      </c>
      <c r="Q52" s="39">
        <f t="shared" si="22"/>
        <v>1.6325000000000001</v>
      </c>
      <c r="R52" s="38">
        <f t="shared" si="24"/>
        <v>2.4485000000000001</v>
      </c>
      <c r="V52" s="115"/>
    </row>
    <row r="53" spans="1:22" x14ac:dyDescent="0.2">
      <c r="A53" s="18" t="s">
        <v>92</v>
      </c>
      <c r="B53" s="18">
        <v>0.115</v>
      </c>
      <c r="C53" s="18">
        <v>0.42599999999999999</v>
      </c>
      <c r="D53" s="18">
        <v>0.39</v>
      </c>
      <c r="E53" s="18">
        <v>0.04</v>
      </c>
      <c r="F53" s="18">
        <v>0</v>
      </c>
      <c r="G53" s="18">
        <v>7.3778000000000006</v>
      </c>
      <c r="H53" s="18">
        <v>45.091000000000001</v>
      </c>
      <c r="I53" s="18">
        <v>24.234599999999997</v>
      </c>
      <c r="J53" s="18">
        <v>12.7676</v>
      </c>
      <c r="K53" s="18">
        <v>2.246</v>
      </c>
      <c r="L53" s="18">
        <v>3.101</v>
      </c>
      <c r="M53" s="18">
        <v>8.3870000000000005</v>
      </c>
      <c r="N53" s="18">
        <f t="shared" si="21"/>
        <v>104.176</v>
      </c>
      <c r="O53" s="3">
        <f t="shared" si="16"/>
        <v>76.743399999999994</v>
      </c>
      <c r="P53" s="38">
        <f t="shared" si="23"/>
        <v>89.510999999999996</v>
      </c>
      <c r="Q53" s="39">
        <f t="shared" si="22"/>
        <v>11.488</v>
      </c>
      <c r="R53" s="38">
        <f t="shared" si="24"/>
        <v>11.488</v>
      </c>
      <c r="V53" s="115"/>
    </row>
    <row r="54" spans="1:22" x14ac:dyDescent="0.2">
      <c r="A54" s="18" t="s">
        <v>103</v>
      </c>
      <c r="B54" s="18">
        <v>0</v>
      </c>
      <c r="C54" s="18">
        <v>0</v>
      </c>
      <c r="D54" s="18">
        <v>0</v>
      </c>
      <c r="E54" s="18">
        <v>2.2050000000000001</v>
      </c>
      <c r="F54" s="18">
        <v>5.7380000000000004</v>
      </c>
      <c r="G54" s="18">
        <v>2.4129999999999998</v>
      </c>
      <c r="H54" s="18">
        <v>17.514900000000001</v>
      </c>
      <c r="I54" s="18">
        <v>33.257599999999996</v>
      </c>
      <c r="J54" s="18">
        <v>9.2230000000000008</v>
      </c>
      <c r="K54" s="18">
        <v>2.0874000000000001</v>
      </c>
      <c r="L54" s="18">
        <v>2.2130000000000001</v>
      </c>
      <c r="M54" s="18">
        <v>11.977</v>
      </c>
      <c r="N54" s="18">
        <f t="shared" ref="N54:N61" si="25">SUM(B54:M54)</f>
        <v>86.628900000000002</v>
      </c>
      <c r="O54" s="3">
        <f t="shared" si="16"/>
        <v>61.128499999999995</v>
      </c>
      <c r="P54" s="38">
        <f t="shared" si="23"/>
        <v>70.351500000000001</v>
      </c>
      <c r="Q54" s="39">
        <f t="shared" si="22"/>
        <v>22.667999999999999</v>
      </c>
      <c r="R54" s="38">
        <f t="shared" si="24"/>
        <v>30.317</v>
      </c>
      <c r="V54" s="115"/>
    </row>
    <row r="55" spans="1:22" x14ac:dyDescent="0.2">
      <c r="A55" s="18" t="s">
        <v>121</v>
      </c>
      <c r="B55" s="18">
        <v>8.4779999999999998</v>
      </c>
      <c r="C55" s="18">
        <v>4.8609999999999998</v>
      </c>
      <c r="D55" s="18">
        <v>2.7879999999999998</v>
      </c>
      <c r="E55" s="18">
        <v>2.3039999999999998</v>
      </c>
      <c r="F55" s="18">
        <v>2.2160000000000002</v>
      </c>
      <c r="G55" s="18">
        <v>2.504</v>
      </c>
      <c r="H55" s="18">
        <v>43.216999999999999</v>
      </c>
      <c r="I55" s="18">
        <v>2.9941999999999998</v>
      </c>
      <c r="J55" s="18">
        <v>1.9</v>
      </c>
      <c r="K55" s="18">
        <v>2.198</v>
      </c>
      <c r="L55" s="18">
        <v>2.3149999999999999</v>
      </c>
      <c r="M55" s="18">
        <v>6.3710000000000004</v>
      </c>
      <c r="N55" s="18">
        <f t="shared" si="25"/>
        <v>82.146199999999993</v>
      </c>
      <c r="O55" s="3">
        <f>E55+F55+G55+H55+I55</f>
        <v>53.235199999999999</v>
      </c>
      <c r="P55" s="38">
        <f t="shared" si="23"/>
        <v>55.135199999999998</v>
      </c>
      <c r="Q55" s="39">
        <f t="shared" ref="Q55:Q60" si="26">L55+M55+B56</f>
        <v>12.986000000000001</v>
      </c>
      <c r="R55" s="38">
        <f t="shared" si="24"/>
        <v>17.298999999999999</v>
      </c>
      <c r="V55" s="115"/>
    </row>
    <row r="56" spans="1:22" x14ac:dyDescent="0.2">
      <c r="A56" s="18" t="s">
        <v>129</v>
      </c>
      <c r="B56" s="18">
        <v>4.3</v>
      </c>
      <c r="C56" s="18">
        <v>2.0379999999999998</v>
      </c>
      <c r="D56" s="18">
        <v>2.2749999999999999</v>
      </c>
      <c r="E56" s="18">
        <v>2.3069999999999999</v>
      </c>
      <c r="F56" s="18">
        <v>1.8160000000000001</v>
      </c>
      <c r="G56" s="18">
        <v>0.746</v>
      </c>
      <c r="H56" s="63">
        <v>41.319699999999997</v>
      </c>
      <c r="I56" s="18">
        <v>1.5489999999999999</v>
      </c>
      <c r="J56" s="18">
        <v>1.2949999999999999</v>
      </c>
      <c r="K56" s="18">
        <v>2.258</v>
      </c>
      <c r="L56" s="18">
        <v>1.1279999999999999</v>
      </c>
      <c r="M56" s="18">
        <v>2.3740000000000001</v>
      </c>
      <c r="N56" s="18">
        <f>SUM(B56:M56)</f>
        <v>63.405700000000003</v>
      </c>
      <c r="O56" s="3">
        <f>E56+F56+G56+H56+I56</f>
        <v>47.737699999999997</v>
      </c>
      <c r="P56" s="38">
        <f t="shared" ref="P56:P61" si="27">E56+F56+G56+H56+I56+J56</f>
        <v>49.032699999999998</v>
      </c>
      <c r="Q56" s="39">
        <f t="shared" si="26"/>
        <v>6.0510000000000002</v>
      </c>
      <c r="R56" s="38">
        <f t="shared" si="24"/>
        <v>9.1739200000000007</v>
      </c>
      <c r="V56" s="120"/>
    </row>
    <row r="57" spans="1:22" x14ac:dyDescent="0.2">
      <c r="A57" s="18" t="s">
        <v>136</v>
      </c>
      <c r="B57" s="18">
        <v>2.5489999999999999</v>
      </c>
      <c r="C57" s="18">
        <v>1.76</v>
      </c>
      <c r="D57" s="18">
        <v>1.3629200000000001</v>
      </c>
      <c r="E57" s="18">
        <v>1.6180000000000001</v>
      </c>
      <c r="F57" s="18">
        <v>0.93899999999999995</v>
      </c>
      <c r="G57" s="18">
        <v>0.76400000000000001</v>
      </c>
      <c r="H57" s="18">
        <v>0.97799999999999998</v>
      </c>
      <c r="I57" s="18">
        <v>1.722</v>
      </c>
      <c r="J57" s="18">
        <v>1.0620000000000001</v>
      </c>
      <c r="K57" s="18">
        <v>0.82899999999999996</v>
      </c>
      <c r="L57" s="18">
        <v>0.95899999999999996</v>
      </c>
      <c r="M57" s="18">
        <v>10.465399999999999</v>
      </c>
      <c r="N57" s="18">
        <f t="shared" si="25"/>
        <v>25.008319999999998</v>
      </c>
      <c r="O57" s="3">
        <f t="shared" si="16"/>
        <v>6.020999999999999</v>
      </c>
      <c r="P57" s="38">
        <f t="shared" si="27"/>
        <v>7.0829999999999993</v>
      </c>
      <c r="Q57" s="39">
        <f t="shared" si="26"/>
        <v>14.960999999999999</v>
      </c>
      <c r="R57" s="38">
        <f t="shared" si="24"/>
        <v>18.462999999999997</v>
      </c>
      <c r="V57" s="120"/>
    </row>
    <row r="58" spans="1:22" x14ac:dyDescent="0.2">
      <c r="A58" s="18" t="s">
        <v>140</v>
      </c>
      <c r="B58" s="18">
        <v>3.5366</v>
      </c>
      <c r="C58" s="18">
        <v>1.9590000000000001</v>
      </c>
      <c r="D58" s="18">
        <v>1.5429999999999999</v>
      </c>
      <c r="E58" s="18">
        <v>1.74</v>
      </c>
      <c r="F58" s="18">
        <v>2.089</v>
      </c>
      <c r="G58" s="18">
        <v>2.0310000000000001</v>
      </c>
      <c r="H58" s="18">
        <v>6.4669999999999996</v>
      </c>
      <c r="I58" s="18">
        <v>1.944</v>
      </c>
      <c r="J58" s="18">
        <v>1.5569999999999999</v>
      </c>
      <c r="K58" s="18">
        <v>2.0499999999999998</v>
      </c>
      <c r="L58" s="18">
        <v>2.2669999999999999</v>
      </c>
      <c r="M58" s="18">
        <v>2.855</v>
      </c>
      <c r="N58" s="18">
        <f t="shared" si="25"/>
        <v>30.038599999999999</v>
      </c>
      <c r="O58" s="3">
        <f>E58+F58+G58+H58+I58</f>
        <v>14.270999999999997</v>
      </c>
      <c r="P58" s="38">
        <f t="shared" si="27"/>
        <v>15.827999999999998</v>
      </c>
      <c r="Q58" s="39">
        <f t="shared" si="26"/>
        <v>12.8865</v>
      </c>
      <c r="R58" s="38">
        <f t="shared" si="24"/>
        <v>14.5433</v>
      </c>
      <c r="V58" s="120"/>
    </row>
    <row r="59" spans="1:22" x14ac:dyDescent="0.2">
      <c r="A59" s="18" t="s">
        <v>143</v>
      </c>
      <c r="B59" s="18">
        <v>7.7645</v>
      </c>
      <c r="C59" s="18">
        <v>1.6568000000000001</v>
      </c>
      <c r="D59" s="18">
        <v>0</v>
      </c>
      <c r="E59" s="18">
        <v>1.512</v>
      </c>
      <c r="F59" s="18">
        <v>1.8420000000000001</v>
      </c>
      <c r="G59" s="18">
        <v>1.855</v>
      </c>
      <c r="H59" s="18">
        <v>1.708</v>
      </c>
      <c r="I59" s="18">
        <v>1.3680000000000001</v>
      </c>
      <c r="J59" s="18">
        <v>1.6080000000000001</v>
      </c>
      <c r="K59" s="18">
        <v>1.0580000000000001</v>
      </c>
      <c r="L59" s="18">
        <v>0.75600000000000001</v>
      </c>
      <c r="M59" s="18">
        <v>0.47699999999999998</v>
      </c>
      <c r="N59" s="18">
        <f t="shared" si="25"/>
        <v>21.6053</v>
      </c>
      <c r="O59" s="3">
        <f>E59+F59+G59+H59+I59</f>
        <v>8.2850000000000001</v>
      </c>
      <c r="P59" s="38">
        <f t="shared" si="27"/>
        <v>9.8930000000000007</v>
      </c>
      <c r="Q59" s="39">
        <f t="shared" si="26"/>
        <v>2.9370000000000003</v>
      </c>
      <c r="R59" s="38">
        <f t="shared" si="24"/>
        <v>2.9370000000000003</v>
      </c>
      <c r="V59" s="120"/>
    </row>
    <row r="60" spans="1:22" ht="18" customHeight="1" x14ac:dyDescent="0.2">
      <c r="A60" s="18" t="s">
        <v>149</v>
      </c>
      <c r="B60" s="18">
        <v>1.704</v>
      </c>
      <c r="C60" s="18">
        <v>0</v>
      </c>
      <c r="D60" s="18">
        <v>0</v>
      </c>
      <c r="E60" s="18">
        <v>0.375</v>
      </c>
      <c r="F60" s="18">
        <v>0.44900000000000001</v>
      </c>
      <c r="G60" s="18">
        <v>0.42799999999999999</v>
      </c>
      <c r="H60" s="18">
        <v>6.4177499999999998</v>
      </c>
      <c r="I60" s="18">
        <v>6.3760000000000003</v>
      </c>
      <c r="J60" s="63">
        <v>4.032</v>
      </c>
      <c r="K60" s="63">
        <v>1.9279999999999999</v>
      </c>
      <c r="L60" s="63">
        <v>1.008</v>
      </c>
      <c r="M60" s="63">
        <v>9.6159999999999997</v>
      </c>
      <c r="N60" s="18">
        <f t="shared" si="25"/>
        <v>32.333749999999995</v>
      </c>
      <c r="O60" s="3">
        <f>E60+F60+G60+H60+I60</f>
        <v>14.04575</v>
      </c>
      <c r="P60" s="38">
        <f t="shared" si="27"/>
        <v>18.077750000000002</v>
      </c>
      <c r="Q60" s="165">
        <f t="shared" si="26"/>
        <v>20.344000000000001</v>
      </c>
      <c r="R60" s="71">
        <f>L60+M60+B61+C61+D61</f>
        <v>27.674500000000002</v>
      </c>
      <c r="V60" s="120"/>
    </row>
    <row r="61" spans="1:22" ht="18" customHeight="1" x14ac:dyDescent="0.2">
      <c r="A61" s="18" t="s">
        <v>158</v>
      </c>
      <c r="B61" s="63">
        <v>9.7200000000000006</v>
      </c>
      <c r="C61" s="18">
        <v>7.1760000000000002</v>
      </c>
      <c r="D61" s="18">
        <v>0.1545</v>
      </c>
      <c r="E61" s="18">
        <v>0.17150000000000001</v>
      </c>
      <c r="F61" s="18">
        <v>0.15575</v>
      </c>
      <c r="G61" s="18">
        <v>0.16625000000000001</v>
      </c>
      <c r="H61" s="18">
        <v>1.0209999999999999</v>
      </c>
      <c r="I61" s="18">
        <v>6.0880000000000001</v>
      </c>
      <c r="J61" s="18"/>
      <c r="K61" s="18"/>
      <c r="L61" s="18"/>
      <c r="M61" s="18"/>
      <c r="N61" s="18">
        <f t="shared" si="25"/>
        <v>24.653000000000006</v>
      </c>
      <c r="O61" s="3">
        <f>E61+F61+G61+H61+I61</f>
        <v>7.6025</v>
      </c>
      <c r="P61" s="38">
        <f t="shared" si="27"/>
        <v>7.6025</v>
      </c>
      <c r="V61" s="120"/>
    </row>
    <row r="62" spans="1:22" x14ac:dyDescent="0.2">
      <c r="A62" s="54"/>
      <c r="F62" s="54"/>
      <c r="G62" s="54"/>
      <c r="H62" s="54"/>
      <c r="I62" s="54"/>
      <c r="J62" s="54"/>
      <c r="K62" s="54"/>
      <c r="L62" s="54"/>
      <c r="M62" s="54"/>
      <c r="N62" s="54"/>
      <c r="O62" s="24">
        <f>AVERAGE(O56:O60)</f>
        <v>18.072089999999996</v>
      </c>
      <c r="P62" s="24">
        <f>AVERAGE(P56:P60)</f>
        <v>19.982889999999998</v>
      </c>
      <c r="Q62" s="24">
        <f>AVERAGE(Q56:Q60)</f>
        <v>11.4359</v>
      </c>
      <c r="R62" s="24">
        <f>AVERAGE(R56:R60)</f>
        <v>14.558344</v>
      </c>
      <c r="V62" s="115"/>
    </row>
    <row r="63" spans="1:22" x14ac:dyDescent="0.2">
      <c r="A63" s="40" t="s">
        <v>25</v>
      </c>
      <c r="E63" s="40" t="s">
        <v>51</v>
      </c>
      <c r="M63" s="40" t="s">
        <v>3</v>
      </c>
      <c r="V63" s="115"/>
    </row>
    <row r="64" spans="1:22" x14ac:dyDescent="0.2">
      <c r="A64" s="18"/>
      <c r="B64" s="18" t="s">
        <v>4</v>
      </c>
      <c r="C64" s="18" t="s">
        <v>5</v>
      </c>
      <c r="D64" s="18" t="s">
        <v>6</v>
      </c>
      <c r="E64" s="18" t="s">
        <v>7</v>
      </c>
      <c r="F64" s="18" t="s">
        <v>8</v>
      </c>
      <c r="G64" s="18" t="s">
        <v>9</v>
      </c>
      <c r="H64" s="18" t="s">
        <v>10</v>
      </c>
      <c r="I64" s="18" t="s">
        <v>11</v>
      </c>
      <c r="J64" s="18" t="s">
        <v>12</v>
      </c>
      <c r="K64" s="18" t="s">
        <v>13</v>
      </c>
      <c r="L64" s="18" t="s">
        <v>14</v>
      </c>
      <c r="M64" s="18" t="s">
        <v>15</v>
      </c>
      <c r="N64" s="18" t="s">
        <v>16</v>
      </c>
      <c r="V64" s="116"/>
    </row>
    <row r="65" spans="1:18" x14ac:dyDescent="0.2">
      <c r="A65" s="18" t="s">
        <v>17</v>
      </c>
      <c r="B65" s="18">
        <v>234.79499999999999</v>
      </c>
      <c r="C65" s="18">
        <v>65.385000000000005</v>
      </c>
      <c r="D65" s="18">
        <v>0</v>
      </c>
      <c r="E65" s="18">
        <v>1.5149999999999999</v>
      </c>
      <c r="F65" s="18">
        <v>9.5850000000000009</v>
      </c>
      <c r="G65" s="18">
        <v>22.132999999999999</v>
      </c>
      <c r="H65" s="18">
        <v>150.27000000000001</v>
      </c>
      <c r="I65" s="18">
        <v>71.146000000000001</v>
      </c>
      <c r="J65" s="18">
        <v>355.44</v>
      </c>
      <c r="K65" s="18">
        <v>375.40499999999997</v>
      </c>
      <c r="L65" s="18">
        <v>221.08500000000001</v>
      </c>
      <c r="M65" s="18">
        <v>293.74599999999998</v>
      </c>
      <c r="N65" s="18">
        <f t="shared" ref="N65:N76" si="28">SUM(B65:M65)</f>
        <v>1800.5050000000001</v>
      </c>
    </row>
    <row r="66" spans="1:18" x14ac:dyDescent="0.2">
      <c r="A66" s="18" t="s">
        <v>18</v>
      </c>
      <c r="B66" s="18">
        <v>174.435</v>
      </c>
      <c r="C66" s="18">
        <v>83.97</v>
      </c>
      <c r="D66" s="18">
        <v>8.3000000000000004E-2</v>
      </c>
      <c r="E66" s="18">
        <v>27.832999999999998</v>
      </c>
      <c r="F66" s="18">
        <v>49.83</v>
      </c>
      <c r="G66" s="18">
        <v>182.58799999999999</v>
      </c>
      <c r="H66" s="18">
        <v>170.14500000000001</v>
      </c>
      <c r="I66" s="18">
        <v>197.51300000000001</v>
      </c>
      <c r="J66" s="18">
        <v>304.52300000000002</v>
      </c>
      <c r="K66" s="18">
        <v>276.61500000000001</v>
      </c>
      <c r="L66" s="18">
        <v>368.38</v>
      </c>
      <c r="M66" s="18">
        <v>309.495</v>
      </c>
      <c r="N66" s="18">
        <f t="shared" si="28"/>
        <v>2145.41</v>
      </c>
    </row>
    <row r="67" spans="1:18" x14ac:dyDescent="0.2">
      <c r="A67" s="18" t="s">
        <v>19</v>
      </c>
      <c r="B67" s="18">
        <v>134.66999999999999</v>
      </c>
      <c r="C67" s="18">
        <v>107.28</v>
      </c>
      <c r="D67" s="18">
        <v>44.033000000000001</v>
      </c>
      <c r="E67" s="18">
        <v>4.9800000000000004</v>
      </c>
      <c r="F67" s="18">
        <v>33.57</v>
      </c>
      <c r="G67" s="18">
        <v>56.28</v>
      </c>
      <c r="H67" s="18">
        <v>142.755</v>
      </c>
      <c r="I67" s="18">
        <v>144.69800000000001</v>
      </c>
      <c r="J67" s="18">
        <v>19.928000000000001</v>
      </c>
      <c r="K67" s="18">
        <v>60.225000000000001</v>
      </c>
      <c r="L67" s="18">
        <v>431.53500000000003</v>
      </c>
      <c r="M67" s="18">
        <v>321.40499999999997</v>
      </c>
      <c r="N67" s="18">
        <f t="shared" si="28"/>
        <v>1501.3589999999999</v>
      </c>
    </row>
    <row r="68" spans="1:18" x14ac:dyDescent="0.2">
      <c r="A68" s="18" t="s">
        <v>20</v>
      </c>
      <c r="B68" s="18">
        <v>48.585000000000001</v>
      </c>
      <c r="C68" s="18">
        <v>4.4999999999999998E-2</v>
      </c>
      <c r="D68" s="18">
        <v>0.61499999999999999</v>
      </c>
      <c r="E68" s="18">
        <v>6.2629999999999999</v>
      </c>
      <c r="F68" s="18">
        <v>23.347999999999999</v>
      </c>
      <c r="G68" s="18">
        <v>206.20599999999999</v>
      </c>
      <c r="H68" s="18">
        <v>76.531000000000006</v>
      </c>
      <c r="I68" s="18">
        <v>0.82499999999999996</v>
      </c>
      <c r="J68" s="18">
        <v>2.9329999999999998</v>
      </c>
      <c r="K68" s="18">
        <v>31.71</v>
      </c>
      <c r="L68" s="18">
        <v>296.04000000000002</v>
      </c>
      <c r="M68" s="18">
        <v>199.2</v>
      </c>
      <c r="N68" s="18">
        <f t="shared" si="28"/>
        <v>892.30099999999993</v>
      </c>
    </row>
    <row r="69" spans="1:18" x14ac:dyDescent="0.2">
      <c r="A69" s="18" t="s">
        <v>21</v>
      </c>
      <c r="B69" s="18">
        <v>185.76</v>
      </c>
      <c r="C69" s="18">
        <v>19.373000000000001</v>
      </c>
      <c r="D69" s="18">
        <v>7.35</v>
      </c>
      <c r="E69" s="18">
        <v>9.8550000000000004</v>
      </c>
      <c r="F69" s="18">
        <v>25.253</v>
      </c>
      <c r="G69" s="18">
        <v>297.48099999999999</v>
      </c>
      <c r="H69" s="18">
        <v>358.09500000000003</v>
      </c>
      <c r="I69" s="18">
        <v>2.363</v>
      </c>
      <c r="J69" s="18">
        <v>97.215000000000003</v>
      </c>
      <c r="K69" s="18">
        <v>267.60000000000002</v>
      </c>
      <c r="L69" s="18">
        <v>153</v>
      </c>
      <c r="M69" s="18">
        <v>40.22</v>
      </c>
      <c r="N69" s="18">
        <f t="shared" si="28"/>
        <v>1463.5650000000001</v>
      </c>
    </row>
    <row r="70" spans="1:18" x14ac:dyDescent="0.2">
      <c r="A70" s="18" t="s">
        <v>22</v>
      </c>
      <c r="B70" s="18">
        <v>17.954999999999998</v>
      </c>
      <c r="C70" s="18">
        <v>42.81</v>
      </c>
      <c r="D70" s="18">
        <v>5.8650000000000002</v>
      </c>
      <c r="E70" s="18">
        <v>3.0379999999999998</v>
      </c>
      <c r="F70" s="18">
        <v>4.8</v>
      </c>
      <c r="G70" s="18">
        <v>39.676000000000002</v>
      </c>
      <c r="H70" s="18">
        <v>321.52499999999998</v>
      </c>
      <c r="I70" s="18">
        <v>228.39</v>
      </c>
      <c r="J70" s="18">
        <v>33.802999999999997</v>
      </c>
      <c r="K70" s="18">
        <v>135.94499999999999</v>
      </c>
      <c r="L70" s="18">
        <v>232.59</v>
      </c>
      <c r="M70" s="18">
        <v>57.255000000000003</v>
      </c>
      <c r="N70" s="18">
        <f t="shared" si="28"/>
        <v>1123.652</v>
      </c>
      <c r="O70" s="4" t="s">
        <v>43</v>
      </c>
      <c r="P70" s="40" t="s">
        <v>82</v>
      </c>
      <c r="Q70" s="40" t="s">
        <v>83</v>
      </c>
      <c r="R70" s="40" t="s">
        <v>85</v>
      </c>
    </row>
    <row r="71" spans="1:18" x14ac:dyDescent="0.2">
      <c r="A71" s="18" t="s">
        <v>23</v>
      </c>
      <c r="B71" s="18">
        <v>0.12</v>
      </c>
      <c r="C71" s="18">
        <v>46.552999999999997</v>
      </c>
      <c r="D71" s="18">
        <v>4.7850000000000001</v>
      </c>
      <c r="E71" s="18">
        <v>87.54</v>
      </c>
      <c r="F71" s="18">
        <v>34.582999999999998</v>
      </c>
      <c r="G71" s="18">
        <v>51.06</v>
      </c>
      <c r="H71" s="18">
        <v>427.65</v>
      </c>
      <c r="I71" s="18">
        <v>69.12</v>
      </c>
      <c r="J71" s="18">
        <v>3.36</v>
      </c>
      <c r="K71" s="18">
        <v>102.075</v>
      </c>
      <c r="L71" s="18">
        <v>195.78</v>
      </c>
      <c r="M71" s="18">
        <v>310.62</v>
      </c>
      <c r="N71" s="18">
        <f t="shared" si="28"/>
        <v>1333.2460000000001</v>
      </c>
      <c r="O71" s="1">
        <f t="shared" ref="O71:O84" si="29">E71+F71+G71+H71+I71</f>
        <v>669.95299999999997</v>
      </c>
      <c r="P71" s="38">
        <f>E71+F71+G71+H71+I71+J71</f>
        <v>673.31299999999999</v>
      </c>
      <c r="Q71" s="40">
        <f>L71+M71+B72</f>
        <v>616.91999999999996</v>
      </c>
      <c r="R71" s="38">
        <f>L71+M71+B72+C72+D72</f>
        <v>650.01799999999992</v>
      </c>
    </row>
    <row r="72" spans="1:18" x14ac:dyDescent="0.2">
      <c r="A72" s="18" t="s">
        <v>32</v>
      </c>
      <c r="B72" s="18">
        <v>110.52</v>
      </c>
      <c r="C72" s="18">
        <v>31.14</v>
      </c>
      <c r="D72" s="18">
        <v>1.958</v>
      </c>
      <c r="E72" s="18">
        <v>8.468</v>
      </c>
      <c r="F72" s="18">
        <v>36.548000000000002</v>
      </c>
      <c r="G72" s="18">
        <v>308.73</v>
      </c>
      <c r="H72" s="18">
        <v>128.89500000000001</v>
      </c>
      <c r="I72" s="18">
        <v>131.72999999999999</v>
      </c>
      <c r="J72" s="18">
        <v>101.093</v>
      </c>
      <c r="K72" s="18">
        <v>0</v>
      </c>
      <c r="L72" s="18">
        <v>30.48</v>
      </c>
      <c r="M72" s="18">
        <v>53.963999999999999</v>
      </c>
      <c r="N72" s="18">
        <f t="shared" si="28"/>
        <v>943.52600000000007</v>
      </c>
      <c r="O72" s="1">
        <f t="shared" si="29"/>
        <v>614.37100000000009</v>
      </c>
      <c r="P72" s="38">
        <f t="shared" ref="P72:P78" si="30">E72+F72+G72+H72+I72+J72</f>
        <v>715.46400000000006</v>
      </c>
      <c r="Q72" s="40">
        <f t="shared" ref="Q72:Q78" si="31">L72+M72+B73</f>
        <v>186.70699999999999</v>
      </c>
      <c r="R72" s="38">
        <f t="shared" ref="R72:R80" si="32">L72+M72+B73+C73+D73</f>
        <v>268.892</v>
      </c>
    </row>
    <row r="73" spans="1:18" x14ac:dyDescent="0.2">
      <c r="A73" s="18" t="s">
        <v>33</v>
      </c>
      <c r="B73" s="18">
        <v>102.26300000000001</v>
      </c>
      <c r="C73" s="18">
        <v>37.65</v>
      </c>
      <c r="D73" s="18">
        <v>44.534999999999997</v>
      </c>
      <c r="E73" s="18">
        <v>37.725000000000001</v>
      </c>
      <c r="F73" s="18">
        <v>27.957999999999998</v>
      </c>
      <c r="G73" s="18">
        <v>126.389</v>
      </c>
      <c r="H73" s="18">
        <v>68.650999999999996</v>
      </c>
      <c r="I73" s="18">
        <v>0.78500000000000003</v>
      </c>
      <c r="J73" s="18">
        <v>4.68</v>
      </c>
      <c r="K73" s="18">
        <v>3.72</v>
      </c>
      <c r="L73" s="18">
        <v>17.04</v>
      </c>
      <c r="M73" s="18">
        <v>0</v>
      </c>
      <c r="N73" s="18">
        <f t="shared" si="28"/>
        <v>471.39600000000007</v>
      </c>
      <c r="O73" s="1">
        <f t="shared" si="29"/>
        <v>261.50800000000004</v>
      </c>
      <c r="P73" s="38">
        <f t="shared" si="30"/>
        <v>266.18800000000005</v>
      </c>
      <c r="Q73" s="40">
        <f t="shared" si="31"/>
        <v>44.879999999999995</v>
      </c>
      <c r="R73" s="38">
        <f t="shared" si="32"/>
        <v>64.8</v>
      </c>
    </row>
    <row r="74" spans="1:18" x14ac:dyDescent="0.2">
      <c r="A74" s="18" t="s">
        <v>34</v>
      </c>
      <c r="B74" s="18">
        <v>27.84</v>
      </c>
      <c r="C74" s="18">
        <v>15.72</v>
      </c>
      <c r="D74" s="18">
        <v>4.2</v>
      </c>
      <c r="E74" s="18">
        <v>17.003</v>
      </c>
      <c r="F74" s="18">
        <v>38.786000000000001</v>
      </c>
      <c r="G74" s="18">
        <v>21.465</v>
      </c>
      <c r="H74" s="18">
        <v>49.86</v>
      </c>
      <c r="I74" s="18">
        <v>42.12</v>
      </c>
      <c r="J74" s="18">
        <v>24.48</v>
      </c>
      <c r="K74" s="18">
        <v>92.4</v>
      </c>
      <c r="L74" s="18">
        <v>103.68</v>
      </c>
      <c r="M74" s="18">
        <v>49.2</v>
      </c>
      <c r="N74" s="18">
        <f t="shared" si="28"/>
        <v>486.75400000000002</v>
      </c>
      <c r="O74" s="1">
        <f t="shared" si="29"/>
        <v>169.23400000000001</v>
      </c>
      <c r="P74" s="38">
        <f t="shared" si="30"/>
        <v>193.714</v>
      </c>
      <c r="Q74" s="40">
        <f t="shared" si="31"/>
        <v>168.95999999999998</v>
      </c>
      <c r="R74" s="38">
        <f t="shared" si="32"/>
        <v>255.59999999999997</v>
      </c>
    </row>
    <row r="75" spans="1:18" x14ac:dyDescent="0.2">
      <c r="A75" s="18" t="s">
        <v>35</v>
      </c>
      <c r="B75" s="18">
        <v>16.079999999999998</v>
      </c>
      <c r="C75" s="18">
        <v>27.48</v>
      </c>
      <c r="D75" s="18">
        <v>59.16</v>
      </c>
      <c r="E75" s="18">
        <v>20.888000000000002</v>
      </c>
      <c r="F75" s="18">
        <v>36.857999999999997</v>
      </c>
      <c r="G75" s="18">
        <v>49.981999999999999</v>
      </c>
      <c r="H75" s="18">
        <v>159.143</v>
      </c>
      <c r="I75" s="18">
        <v>5.2560000000000002</v>
      </c>
      <c r="J75" s="18">
        <v>18.937999999999999</v>
      </c>
      <c r="K75" s="18">
        <v>48.06</v>
      </c>
      <c r="L75" s="18">
        <v>43.32</v>
      </c>
      <c r="M75" s="18">
        <v>60.84</v>
      </c>
      <c r="N75" s="18">
        <f>SUM(B75:M75)</f>
        <v>546.005</v>
      </c>
      <c r="O75" s="1">
        <f t="shared" si="29"/>
        <v>272.12699999999995</v>
      </c>
      <c r="P75" s="38">
        <f t="shared" si="30"/>
        <v>291.06499999999994</v>
      </c>
      <c r="Q75" s="40">
        <f t="shared" si="31"/>
        <v>132.345</v>
      </c>
      <c r="R75" s="38">
        <f t="shared" si="32"/>
        <v>183.827</v>
      </c>
    </row>
    <row r="76" spans="1:18" x14ac:dyDescent="0.2">
      <c r="A76" s="18" t="s">
        <v>37</v>
      </c>
      <c r="B76" s="18">
        <v>28.184999999999999</v>
      </c>
      <c r="C76" s="18">
        <v>13.239000000000001</v>
      </c>
      <c r="D76" s="18">
        <v>38.243000000000002</v>
      </c>
      <c r="E76" s="18">
        <v>78.540000000000006</v>
      </c>
      <c r="F76" s="18">
        <v>45.128</v>
      </c>
      <c r="G76" s="18">
        <v>14.907</v>
      </c>
      <c r="H76" s="18">
        <v>77.564999999999998</v>
      </c>
      <c r="I76" s="18">
        <v>50.085000000000001</v>
      </c>
      <c r="J76" s="18">
        <v>3.54</v>
      </c>
      <c r="K76" s="18">
        <v>62.52</v>
      </c>
      <c r="L76" s="18">
        <v>53.16</v>
      </c>
      <c r="M76" s="18">
        <v>32.115000000000002</v>
      </c>
      <c r="N76" s="18">
        <f t="shared" si="28"/>
        <v>497.22699999999998</v>
      </c>
      <c r="O76" s="1">
        <f t="shared" si="29"/>
        <v>266.22500000000002</v>
      </c>
      <c r="P76" s="38">
        <f t="shared" si="30"/>
        <v>269.76500000000004</v>
      </c>
      <c r="Q76" s="40">
        <f t="shared" si="31"/>
        <v>142.155</v>
      </c>
      <c r="R76" s="38">
        <f t="shared" si="32"/>
        <v>207.88500000000002</v>
      </c>
    </row>
    <row r="77" spans="1:18" x14ac:dyDescent="0.2">
      <c r="A77" s="18" t="s">
        <v>39</v>
      </c>
      <c r="B77" s="18">
        <v>56.88</v>
      </c>
      <c r="C77" s="18">
        <v>15.24</v>
      </c>
      <c r="D77" s="18">
        <v>50.49</v>
      </c>
      <c r="E77" s="18">
        <v>17.7</v>
      </c>
      <c r="F77" s="18">
        <v>20.331</v>
      </c>
      <c r="G77" s="18">
        <v>95.6</v>
      </c>
      <c r="H77" s="18">
        <v>26.661000000000001</v>
      </c>
      <c r="I77" s="18">
        <v>0</v>
      </c>
      <c r="J77" s="18">
        <v>0</v>
      </c>
      <c r="K77" s="18">
        <v>32.159999999999997</v>
      </c>
      <c r="L77" s="18">
        <v>79.92</v>
      </c>
      <c r="M77" s="18">
        <v>101.063</v>
      </c>
      <c r="N77" s="18">
        <f t="shared" ref="N77:N89" si="33">SUM(B77:M77)</f>
        <v>496.04500000000002</v>
      </c>
      <c r="O77" s="1">
        <f t="shared" si="29"/>
        <v>160.292</v>
      </c>
      <c r="P77" s="38">
        <f t="shared" si="30"/>
        <v>160.292</v>
      </c>
      <c r="Q77" s="40">
        <f t="shared" si="31"/>
        <v>292.53500000000003</v>
      </c>
      <c r="R77" s="38">
        <f t="shared" si="32"/>
        <v>437.70300000000003</v>
      </c>
    </row>
    <row r="78" spans="1:18" x14ac:dyDescent="0.2">
      <c r="A78" s="18" t="s">
        <v>40</v>
      </c>
      <c r="B78" s="18">
        <v>111.55200000000001</v>
      </c>
      <c r="C78" s="18">
        <v>126.76</v>
      </c>
      <c r="D78" s="18">
        <v>18.408000000000001</v>
      </c>
      <c r="E78" s="18">
        <v>40.368000000000002</v>
      </c>
      <c r="F78" s="18">
        <v>10.812799999999999</v>
      </c>
      <c r="G78" s="18">
        <v>156.96199999999999</v>
      </c>
      <c r="H78" s="18">
        <v>189.554</v>
      </c>
      <c r="I78" s="18">
        <v>80.45</v>
      </c>
      <c r="J78" s="18">
        <v>41.76</v>
      </c>
      <c r="K78" s="18">
        <v>20.556000000000001</v>
      </c>
      <c r="L78" s="18">
        <v>19.84</v>
      </c>
      <c r="M78" s="18">
        <v>40.667999999999999</v>
      </c>
      <c r="N78" s="18">
        <f t="shared" si="33"/>
        <v>857.69080000000008</v>
      </c>
      <c r="O78" s="1">
        <f t="shared" si="29"/>
        <v>478.14679999999998</v>
      </c>
      <c r="P78" s="38">
        <f t="shared" si="30"/>
        <v>519.90679999999998</v>
      </c>
      <c r="Q78" s="40">
        <f t="shared" si="31"/>
        <v>169.78800000000001</v>
      </c>
      <c r="R78" s="38">
        <f t="shared" si="32"/>
        <v>192.3</v>
      </c>
    </row>
    <row r="79" spans="1:18" x14ac:dyDescent="0.2">
      <c r="A79" s="18" t="s">
        <v>41</v>
      </c>
      <c r="B79" s="18">
        <v>109.28</v>
      </c>
      <c r="C79" s="18">
        <v>17.088000000000001</v>
      </c>
      <c r="D79" s="18">
        <v>5.4240000000000004</v>
      </c>
      <c r="E79" s="18">
        <v>15.784000000000001</v>
      </c>
      <c r="F79" s="18">
        <v>44.348999999999997</v>
      </c>
      <c r="G79" s="18">
        <v>173.2</v>
      </c>
      <c r="H79" s="18">
        <v>66.263999999999996</v>
      </c>
      <c r="I79" s="18">
        <v>4.8319999999999999</v>
      </c>
      <c r="J79" s="18">
        <v>21</v>
      </c>
      <c r="K79" s="18">
        <v>32.143999999999998</v>
      </c>
      <c r="L79" s="18">
        <v>70.08</v>
      </c>
      <c r="M79" s="18">
        <v>14.68</v>
      </c>
      <c r="N79" s="18">
        <f t="shared" si="33"/>
        <v>574.125</v>
      </c>
      <c r="O79" s="1">
        <f t="shared" si="29"/>
        <v>304.42899999999997</v>
      </c>
      <c r="P79" s="38">
        <f t="shared" ref="P79:P84" si="34">E79+F79+G79+H79+I79+J79</f>
        <v>325.42899999999997</v>
      </c>
      <c r="Q79" s="40">
        <f t="shared" ref="Q79:Q84" si="35">L79+M79+B80</f>
        <v>115.78599999999999</v>
      </c>
      <c r="R79" s="38">
        <f t="shared" si="32"/>
        <v>205.10599999999999</v>
      </c>
    </row>
    <row r="80" spans="1:18" x14ac:dyDescent="0.2">
      <c r="A80" s="18" t="s">
        <v>45</v>
      </c>
      <c r="B80" s="18">
        <v>31.026</v>
      </c>
      <c r="C80" s="18">
        <v>42.527999999999999</v>
      </c>
      <c r="D80" s="18">
        <v>46.792000000000002</v>
      </c>
      <c r="E80" s="18">
        <v>2.6560000000000001</v>
      </c>
      <c r="F80" s="18">
        <v>0.40799999999999997</v>
      </c>
      <c r="G80" s="18">
        <v>93.923000000000002</v>
      </c>
      <c r="H80" s="18">
        <v>60.4</v>
      </c>
      <c r="I80" s="18">
        <v>6.2720000000000002</v>
      </c>
      <c r="J80" s="18">
        <v>5.6</v>
      </c>
      <c r="K80" s="18">
        <v>2.6480000000000001</v>
      </c>
      <c r="L80" s="18">
        <v>34.648000000000003</v>
      </c>
      <c r="M80" s="18">
        <v>34.744</v>
      </c>
      <c r="N80" s="18">
        <f t="shared" si="33"/>
        <v>361.6450000000001</v>
      </c>
      <c r="O80" s="1">
        <f t="shared" si="29"/>
        <v>163.65899999999999</v>
      </c>
      <c r="P80" s="38">
        <f t="shared" si="34"/>
        <v>169.25899999999999</v>
      </c>
      <c r="Q80" s="40">
        <f t="shared" si="35"/>
        <v>117.34399999999999</v>
      </c>
      <c r="R80" s="38">
        <f t="shared" si="32"/>
        <v>414.97199999999998</v>
      </c>
    </row>
    <row r="81" spans="1:29" x14ac:dyDescent="0.2">
      <c r="A81" s="42" t="s">
        <v>46</v>
      </c>
      <c r="B81" s="42">
        <v>47.951999999999998</v>
      </c>
      <c r="C81" s="42">
        <v>124.428</v>
      </c>
      <c r="D81" s="42">
        <v>173.2</v>
      </c>
      <c r="E81" s="42">
        <v>120.395</v>
      </c>
      <c r="F81" s="42">
        <v>18.512</v>
      </c>
      <c r="G81" s="42">
        <v>18.103999999999999</v>
      </c>
      <c r="H81" s="42">
        <v>35.112000000000002</v>
      </c>
      <c r="I81" s="42">
        <v>0</v>
      </c>
      <c r="J81" s="42">
        <v>3.2000000000000001E-2</v>
      </c>
      <c r="K81" s="42">
        <v>0</v>
      </c>
      <c r="L81" s="42">
        <v>0</v>
      </c>
      <c r="M81" s="42">
        <v>19.352</v>
      </c>
      <c r="N81" s="18">
        <f t="shared" si="33"/>
        <v>557.08699999999999</v>
      </c>
      <c r="O81" s="1">
        <f t="shared" si="29"/>
        <v>192.12299999999996</v>
      </c>
      <c r="P81" s="38">
        <f t="shared" si="34"/>
        <v>192.15499999999997</v>
      </c>
      <c r="Q81" s="40">
        <f t="shared" si="35"/>
        <v>19.367999999999999</v>
      </c>
      <c r="R81" s="38">
        <f t="shared" ref="R81:R89" si="36">L81+M81+B82+C82+D82</f>
        <v>109.35199999999999</v>
      </c>
    </row>
    <row r="82" spans="1:29" x14ac:dyDescent="0.2">
      <c r="A82" s="18" t="s">
        <v>56</v>
      </c>
      <c r="B82" s="18">
        <v>1.6E-2</v>
      </c>
      <c r="C82" s="18">
        <v>0.89600000000000002</v>
      </c>
      <c r="D82" s="18">
        <v>89.087999999999994</v>
      </c>
      <c r="E82" s="18">
        <v>34.488</v>
      </c>
      <c r="F82" s="18">
        <v>3.0859999999999999</v>
      </c>
      <c r="G82" s="18">
        <v>6.4379999999999997</v>
      </c>
      <c r="H82" s="18">
        <v>1.101</v>
      </c>
      <c r="I82" s="18">
        <v>0.112</v>
      </c>
      <c r="J82" s="18">
        <v>59.816000000000003</v>
      </c>
      <c r="K82" s="18">
        <v>0</v>
      </c>
      <c r="L82" s="18">
        <v>15.375999999999999</v>
      </c>
      <c r="M82" s="18">
        <v>12.72</v>
      </c>
      <c r="N82" s="18">
        <f t="shared" si="33"/>
        <v>223.137</v>
      </c>
      <c r="O82" s="1">
        <f t="shared" si="29"/>
        <v>45.225000000000001</v>
      </c>
      <c r="P82" s="38">
        <f t="shared" si="34"/>
        <v>105.041</v>
      </c>
      <c r="Q82" s="40">
        <f t="shared" si="35"/>
        <v>94.00800000000001</v>
      </c>
      <c r="R82" s="38">
        <f t="shared" si="36"/>
        <v>96.720000000000013</v>
      </c>
    </row>
    <row r="83" spans="1:29" x14ac:dyDescent="0.2">
      <c r="A83" s="18" t="s">
        <v>92</v>
      </c>
      <c r="B83" s="18">
        <v>65.912000000000006</v>
      </c>
      <c r="C83" s="18">
        <v>0.114</v>
      </c>
      <c r="D83" s="18">
        <v>2.5979999999999999</v>
      </c>
      <c r="E83" s="18">
        <v>0</v>
      </c>
      <c r="F83" s="18">
        <v>14.035500000000001</v>
      </c>
      <c r="G83" s="18">
        <v>81.817499999999995</v>
      </c>
      <c r="H83" s="18">
        <v>73.896000000000001</v>
      </c>
      <c r="I83" s="18">
        <v>6.2480000000000002</v>
      </c>
      <c r="J83" s="18">
        <v>0</v>
      </c>
      <c r="K83" s="18">
        <v>0</v>
      </c>
      <c r="L83" s="18">
        <v>42.48</v>
      </c>
      <c r="M83" s="18">
        <v>6.7210000000000001</v>
      </c>
      <c r="N83" s="18">
        <f t="shared" si="33"/>
        <v>293.822</v>
      </c>
      <c r="O83" s="1">
        <f t="shared" si="29"/>
        <v>175.99699999999999</v>
      </c>
      <c r="P83" s="38">
        <f t="shared" si="34"/>
        <v>175.99699999999999</v>
      </c>
      <c r="Q83" s="40">
        <f t="shared" si="35"/>
        <v>51.015399999999993</v>
      </c>
      <c r="R83" s="38">
        <f t="shared" si="36"/>
        <v>272.2278</v>
      </c>
    </row>
    <row r="84" spans="1:29" x14ac:dyDescent="0.2">
      <c r="A84" s="18" t="s">
        <v>103</v>
      </c>
      <c r="B84" s="18">
        <v>1.8144</v>
      </c>
      <c r="C84" s="18">
        <v>49.718400000000003</v>
      </c>
      <c r="D84" s="18">
        <v>171.494</v>
      </c>
      <c r="E84" s="18">
        <v>10.97</v>
      </c>
      <c r="F84" s="18">
        <v>7.6760000000000002</v>
      </c>
      <c r="G84" s="18">
        <v>10.603999999999999</v>
      </c>
      <c r="H84" s="18">
        <v>70.784999999999997</v>
      </c>
      <c r="I84" s="18">
        <v>47.76</v>
      </c>
      <c r="J84" s="18">
        <v>0</v>
      </c>
      <c r="K84" s="18">
        <v>50.559400000000004</v>
      </c>
      <c r="L84" s="18">
        <v>48.322249999999997</v>
      </c>
      <c r="M84" s="18">
        <v>36.018500000000003</v>
      </c>
      <c r="N84" s="18">
        <f t="shared" si="33"/>
        <v>505.72194999999994</v>
      </c>
      <c r="O84" s="1">
        <f t="shared" si="29"/>
        <v>147.79499999999999</v>
      </c>
      <c r="P84" s="38">
        <f t="shared" si="34"/>
        <v>147.79499999999999</v>
      </c>
      <c r="Q84" s="40">
        <f t="shared" si="35"/>
        <v>92.588750000000005</v>
      </c>
      <c r="R84" s="38">
        <f t="shared" si="36"/>
        <v>214.77205000000001</v>
      </c>
      <c r="U84" s="119"/>
      <c r="V84" s="119"/>
      <c r="W84" s="119"/>
      <c r="X84" s="119"/>
      <c r="Y84" s="119"/>
      <c r="Z84" s="119"/>
      <c r="AA84" s="119"/>
      <c r="AB84" s="119"/>
      <c r="AC84" s="119"/>
    </row>
    <row r="85" spans="1:29" x14ac:dyDescent="0.2">
      <c r="A85" s="18" t="s">
        <v>120</v>
      </c>
      <c r="B85" s="18">
        <v>8.2479999999999993</v>
      </c>
      <c r="C85" s="18">
        <v>24.712499999999999</v>
      </c>
      <c r="D85" s="18">
        <v>97.470799999999997</v>
      </c>
      <c r="E85" s="18">
        <v>34.287500000000001</v>
      </c>
      <c r="F85" s="18">
        <v>6.4480000000000004</v>
      </c>
      <c r="G85" s="18">
        <v>15.9495</v>
      </c>
      <c r="H85" s="18">
        <v>17.415749999999999</v>
      </c>
      <c r="I85" s="18">
        <v>12.84</v>
      </c>
      <c r="J85" s="18">
        <v>10.48</v>
      </c>
      <c r="K85" s="18">
        <v>4.6319999999999997</v>
      </c>
      <c r="L85" s="18">
        <v>61.304000000000002</v>
      </c>
      <c r="M85" s="18">
        <v>11.281499999999999</v>
      </c>
      <c r="N85" s="18">
        <f t="shared" si="33"/>
        <v>305.06954999999999</v>
      </c>
      <c r="O85" s="1">
        <f t="shared" ref="O85:O90" si="37">E85+F85+G85+H85+I85</f>
        <v>86.940750000000008</v>
      </c>
      <c r="P85" s="38">
        <f t="shared" ref="P85:P90" si="38">E85+F85+G85+H85+I85+J85</f>
        <v>97.420750000000012</v>
      </c>
      <c r="Q85" s="40">
        <f t="shared" ref="Q85:Q90" si="39">L85+M85+B86</f>
        <v>121.32149999999999</v>
      </c>
      <c r="R85" s="38">
        <f t="shared" si="36"/>
        <v>241.95349999999999</v>
      </c>
      <c r="U85" s="120"/>
    </row>
    <row r="86" spans="1:29" x14ac:dyDescent="0.2">
      <c r="A86" s="18" t="s">
        <v>129</v>
      </c>
      <c r="B86" s="18">
        <v>48.735999999999997</v>
      </c>
      <c r="C86" s="18">
        <v>81.048000000000002</v>
      </c>
      <c r="D86" s="18">
        <v>39.584000000000003</v>
      </c>
      <c r="E86" s="18">
        <v>60.968000000000004</v>
      </c>
      <c r="F86" s="18">
        <v>13.311999999999999</v>
      </c>
      <c r="G86" s="18">
        <v>0</v>
      </c>
      <c r="H86" s="18">
        <v>0</v>
      </c>
      <c r="I86" s="18">
        <v>0</v>
      </c>
      <c r="J86" s="18">
        <v>2.1000000000000003E-3</v>
      </c>
      <c r="K86" s="18">
        <v>0.48</v>
      </c>
      <c r="L86" s="18">
        <v>2.2559999999999998</v>
      </c>
      <c r="M86" s="18">
        <v>42.24</v>
      </c>
      <c r="N86" s="18">
        <f t="shared" si="33"/>
        <v>288.62610000000001</v>
      </c>
      <c r="O86" s="1">
        <f t="shared" si="37"/>
        <v>74.28</v>
      </c>
      <c r="P86" s="38">
        <f t="shared" si="38"/>
        <v>74.2821</v>
      </c>
      <c r="Q86" s="40">
        <f t="shared" si="39"/>
        <v>48.568000000000005</v>
      </c>
      <c r="R86" s="38">
        <f t="shared" si="36"/>
        <v>101.88800000000001</v>
      </c>
      <c r="U86" s="120"/>
    </row>
    <row r="87" spans="1:29" x14ac:dyDescent="0.2">
      <c r="A87" s="18" t="s">
        <v>137</v>
      </c>
      <c r="B87" s="18">
        <v>4.0720000000000001</v>
      </c>
      <c r="C87" s="18">
        <v>8.9920000000000009</v>
      </c>
      <c r="D87" s="18">
        <v>44.328000000000003</v>
      </c>
      <c r="E87" s="18">
        <v>48.896999999999998</v>
      </c>
      <c r="F87" s="18">
        <v>3.1240000000000001</v>
      </c>
      <c r="G87" s="18">
        <v>6.08</v>
      </c>
      <c r="H87" s="18">
        <v>1.4239999999999999</v>
      </c>
      <c r="I87" s="18">
        <v>0</v>
      </c>
      <c r="J87" s="18">
        <v>0</v>
      </c>
      <c r="K87" s="18">
        <v>0</v>
      </c>
      <c r="L87" s="18">
        <v>0</v>
      </c>
      <c r="M87" s="18">
        <v>16.992000000000001</v>
      </c>
      <c r="N87" s="18">
        <f t="shared" si="33"/>
        <v>133.90899999999999</v>
      </c>
      <c r="O87" s="1">
        <f t="shared" si="37"/>
        <v>59.524999999999999</v>
      </c>
      <c r="P87" s="38">
        <f t="shared" si="38"/>
        <v>59.524999999999999</v>
      </c>
      <c r="Q87" s="40">
        <f t="shared" si="39"/>
        <v>27.968000000000004</v>
      </c>
      <c r="R87" s="38">
        <f t="shared" si="36"/>
        <v>48.975999999999999</v>
      </c>
      <c r="U87" s="120"/>
    </row>
    <row r="88" spans="1:29" x14ac:dyDescent="0.2">
      <c r="A88" s="18" t="s">
        <v>140</v>
      </c>
      <c r="B88" s="18">
        <v>10.976000000000001</v>
      </c>
      <c r="C88" s="18">
        <v>4.96</v>
      </c>
      <c r="D88" s="18">
        <v>16.047999999999998</v>
      </c>
      <c r="E88" s="18">
        <v>2.3679999999999999</v>
      </c>
      <c r="F88" s="18">
        <v>1.137</v>
      </c>
      <c r="G88" s="18">
        <v>1.024</v>
      </c>
      <c r="H88" s="18">
        <v>0</v>
      </c>
      <c r="I88" s="18">
        <v>0</v>
      </c>
      <c r="J88" s="18">
        <v>0.89600000000000002</v>
      </c>
      <c r="K88" s="18">
        <v>1.6E-2</v>
      </c>
      <c r="L88" s="18">
        <v>10.257200000000001</v>
      </c>
      <c r="M88" s="18">
        <v>13.263999999999999</v>
      </c>
      <c r="N88" s="18">
        <f t="shared" si="33"/>
        <v>60.94619999999999</v>
      </c>
      <c r="O88" s="1">
        <f t="shared" si="37"/>
        <v>4.5289999999999999</v>
      </c>
      <c r="P88" s="38">
        <f t="shared" si="38"/>
        <v>5.4249999999999998</v>
      </c>
      <c r="Q88" s="40">
        <f t="shared" si="39"/>
        <v>35.3292</v>
      </c>
      <c r="R88" s="38">
        <f t="shared" si="36"/>
        <v>49.057200000000002</v>
      </c>
      <c r="U88" s="120"/>
    </row>
    <row r="89" spans="1:29" x14ac:dyDescent="0.2">
      <c r="A89" s="18" t="s">
        <v>143</v>
      </c>
      <c r="B89" s="18">
        <v>11.808</v>
      </c>
      <c r="C89" s="18">
        <v>11.071999999999999</v>
      </c>
      <c r="D89" s="18">
        <v>2.6560000000000001</v>
      </c>
      <c r="E89" s="18">
        <v>0.24</v>
      </c>
      <c r="F89" s="18">
        <v>1.137</v>
      </c>
      <c r="G89" s="18">
        <v>0.35199999999999998</v>
      </c>
      <c r="H89" s="18">
        <v>0.08</v>
      </c>
      <c r="I89" s="18">
        <v>3.2000000000000001E-2</v>
      </c>
      <c r="J89" s="18">
        <v>0.44800000000000001</v>
      </c>
      <c r="K89" s="18">
        <v>0</v>
      </c>
      <c r="L89" s="18">
        <v>3.0720000000000001</v>
      </c>
      <c r="M89" s="18">
        <v>24.143999999999998</v>
      </c>
      <c r="N89" s="18">
        <f t="shared" si="33"/>
        <v>55.040999999999997</v>
      </c>
      <c r="O89" s="1">
        <f t="shared" si="37"/>
        <v>1.8410000000000002</v>
      </c>
      <c r="P89" s="38">
        <f t="shared" si="38"/>
        <v>2.2890000000000001</v>
      </c>
      <c r="Q89" s="40">
        <f t="shared" si="39"/>
        <v>56.4</v>
      </c>
      <c r="R89" s="38">
        <f t="shared" si="36"/>
        <v>99.199999999999989</v>
      </c>
      <c r="U89" s="120"/>
    </row>
    <row r="90" spans="1:29" x14ac:dyDescent="0.2">
      <c r="A90" s="18" t="s">
        <v>149</v>
      </c>
      <c r="B90" s="18">
        <v>29.184000000000001</v>
      </c>
      <c r="C90" s="18">
        <v>10.992000000000001</v>
      </c>
      <c r="D90" s="18">
        <v>31.808</v>
      </c>
      <c r="E90" s="18">
        <v>6.3840000000000003</v>
      </c>
      <c r="F90" s="18">
        <v>21.056000000000001</v>
      </c>
      <c r="G90" s="18">
        <v>0.27200000000000002</v>
      </c>
      <c r="H90" s="18">
        <v>4.3680000000000003</v>
      </c>
      <c r="I90" s="18">
        <v>0</v>
      </c>
      <c r="J90" s="63">
        <v>0</v>
      </c>
      <c r="K90" s="63">
        <v>0.70399999999999996</v>
      </c>
      <c r="L90" s="63">
        <v>1.6E-2</v>
      </c>
      <c r="M90" s="63">
        <v>14.432</v>
      </c>
      <c r="N90" s="18">
        <f>SUM(B90:M90)</f>
        <v>119.21600000000001</v>
      </c>
      <c r="O90" s="1">
        <f t="shared" si="37"/>
        <v>32.08</v>
      </c>
      <c r="P90" s="38">
        <f t="shared" si="38"/>
        <v>32.08</v>
      </c>
      <c r="Q90" s="178">
        <f t="shared" si="39"/>
        <v>15.056000000000001</v>
      </c>
      <c r="R90" s="179">
        <f>L90+M90+B91+C91+D91</f>
        <v>15.264000000000001</v>
      </c>
      <c r="U90" s="120"/>
    </row>
    <row r="91" spans="1:29" x14ac:dyDescent="0.2">
      <c r="A91" s="18" t="s">
        <v>158</v>
      </c>
      <c r="B91" s="63">
        <v>0.60799999999999998</v>
      </c>
      <c r="C91" s="18">
        <v>0</v>
      </c>
      <c r="D91" s="18">
        <v>0.20799999999999999</v>
      </c>
      <c r="E91" s="18">
        <v>0.496</v>
      </c>
      <c r="F91" s="18">
        <v>3.4239999999999999</v>
      </c>
      <c r="G91" s="18">
        <v>0</v>
      </c>
      <c r="H91" s="18">
        <v>3.8079999999999998</v>
      </c>
      <c r="I91" s="18">
        <v>0</v>
      </c>
      <c r="J91" s="18"/>
      <c r="K91" s="18"/>
      <c r="L91" s="18"/>
      <c r="M91" s="18"/>
      <c r="N91" s="18">
        <f t="shared" ref="N91" si="40">SUM(B91:M91)</f>
        <v>8.5440000000000005</v>
      </c>
      <c r="O91" s="1">
        <f t="shared" ref="O91" si="41">E91+F91+G91+H91+I91</f>
        <v>7.7279999999999998</v>
      </c>
      <c r="P91" s="38">
        <f t="shared" ref="P91" si="42">E91+F91+G91+H91+I91+J91</f>
        <v>7.7279999999999998</v>
      </c>
      <c r="Q91" s="178">
        <f t="shared" ref="Q91" si="43">L91+M91+B92</f>
        <v>0</v>
      </c>
      <c r="R91" s="179">
        <f>L91+M91+B92+C92+D92</f>
        <v>0</v>
      </c>
      <c r="U91" s="120"/>
    </row>
    <row r="92" spans="1:29" x14ac:dyDescent="0.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24">
        <f>AVERAGE(O86:O90)</f>
        <v>34.451000000000001</v>
      </c>
      <c r="P92" s="24">
        <f>AVERAGE(P86:P90)</f>
        <v>34.720219999999998</v>
      </c>
      <c r="Q92" s="24">
        <f>AVERAGE(Q86:Q90)</f>
        <v>36.664239999999999</v>
      </c>
      <c r="R92" s="24">
        <f>AVERAGE(R86:R90)</f>
        <v>62.877040000000001</v>
      </c>
    </row>
    <row r="93" spans="1:29" x14ac:dyDescent="0.2">
      <c r="A93" s="40" t="s">
        <v>26</v>
      </c>
      <c r="M93" s="40" t="s">
        <v>3</v>
      </c>
    </row>
    <row r="94" spans="1:29" x14ac:dyDescent="0.2">
      <c r="A94" s="18"/>
      <c r="B94" s="18" t="s">
        <v>4</v>
      </c>
      <c r="C94" s="18" t="s">
        <v>5</v>
      </c>
      <c r="D94" s="18" t="s">
        <v>6</v>
      </c>
      <c r="E94" s="18" t="s">
        <v>7</v>
      </c>
      <c r="F94" s="18" t="s">
        <v>8</v>
      </c>
      <c r="G94" s="18" t="s">
        <v>9</v>
      </c>
      <c r="H94" s="18" t="s">
        <v>10</v>
      </c>
      <c r="I94" s="18" t="s">
        <v>11</v>
      </c>
      <c r="J94" s="18" t="s">
        <v>12</v>
      </c>
      <c r="K94" s="18" t="s">
        <v>13</v>
      </c>
      <c r="L94" s="18" t="s">
        <v>14</v>
      </c>
      <c r="M94" s="18" t="s">
        <v>15</v>
      </c>
      <c r="N94" s="18" t="s">
        <v>16</v>
      </c>
    </row>
    <row r="95" spans="1:29" x14ac:dyDescent="0.2">
      <c r="A95" s="18" t="s">
        <v>17</v>
      </c>
      <c r="B95" s="18">
        <v>971.4</v>
      </c>
      <c r="C95" s="18">
        <v>587</v>
      </c>
      <c r="D95" s="18">
        <v>480.2</v>
      </c>
      <c r="E95" s="18">
        <v>561.70000000000005</v>
      </c>
      <c r="F95" s="18">
        <v>898.7</v>
      </c>
      <c r="G95" s="18">
        <v>1614</v>
      </c>
      <c r="H95" s="18">
        <v>1493.2</v>
      </c>
      <c r="I95" s="18">
        <v>1092.0999999999999</v>
      </c>
      <c r="J95" s="18">
        <v>377.6</v>
      </c>
      <c r="K95" s="18">
        <v>180.3</v>
      </c>
      <c r="L95" s="18">
        <v>1677.9</v>
      </c>
      <c r="M95" s="18">
        <v>228.1</v>
      </c>
      <c r="N95" s="18">
        <f>SUM(B95:M95)</f>
        <v>10162.199999999999</v>
      </c>
    </row>
    <row r="96" spans="1:29" x14ac:dyDescent="0.2">
      <c r="A96" s="18" t="s">
        <v>18</v>
      </c>
      <c r="B96" s="18">
        <v>8.3000000000000007</v>
      </c>
      <c r="C96" s="18">
        <v>120.7</v>
      </c>
      <c r="D96" s="18">
        <v>234.5</v>
      </c>
      <c r="E96" s="18">
        <v>688.9</v>
      </c>
      <c r="F96" s="18">
        <v>977.3</v>
      </c>
      <c r="G96" s="18">
        <v>1198.9000000000001</v>
      </c>
      <c r="H96" s="18">
        <v>866.9</v>
      </c>
      <c r="I96" s="18">
        <v>744.3</v>
      </c>
      <c r="J96" s="18">
        <v>342.7</v>
      </c>
      <c r="K96" s="18">
        <v>844.5</v>
      </c>
      <c r="L96" s="18">
        <v>720.1</v>
      </c>
      <c r="M96" s="18">
        <v>74.3</v>
      </c>
      <c r="N96" s="18">
        <f t="shared" ref="N96:N107" si="44">SUM(B96:M96)</f>
        <v>6821.4000000000005</v>
      </c>
    </row>
    <row r="97" spans="1:22" x14ac:dyDescent="0.2">
      <c r="A97" s="18" t="s">
        <v>19</v>
      </c>
      <c r="B97" s="18">
        <v>18.8</v>
      </c>
      <c r="C97" s="18">
        <v>21</v>
      </c>
      <c r="D97" s="18">
        <v>77.3</v>
      </c>
      <c r="E97" s="18">
        <v>148.1</v>
      </c>
      <c r="F97" s="18">
        <v>192.8</v>
      </c>
      <c r="G97" s="18">
        <v>295.2</v>
      </c>
      <c r="H97" s="18">
        <v>597.70000000000005</v>
      </c>
      <c r="I97" s="18">
        <v>764.2</v>
      </c>
      <c r="J97" s="18">
        <v>305.39999999999998</v>
      </c>
      <c r="K97" s="18">
        <v>1799.2</v>
      </c>
      <c r="L97" s="18">
        <v>747.4</v>
      </c>
      <c r="M97" s="18">
        <v>90.2</v>
      </c>
      <c r="N97" s="18">
        <f t="shared" si="44"/>
        <v>5057.3</v>
      </c>
    </row>
    <row r="98" spans="1:22" x14ac:dyDescent="0.2">
      <c r="A98" s="18" t="s">
        <v>20</v>
      </c>
      <c r="B98" s="18">
        <v>1.1000000000000001</v>
      </c>
      <c r="C98" s="18">
        <v>76.8</v>
      </c>
      <c r="D98" s="18">
        <v>1338.8</v>
      </c>
      <c r="E98" s="18">
        <v>617.4</v>
      </c>
      <c r="F98" s="18">
        <v>186.4</v>
      </c>
      <c r="G98" s="18">
        <v>1974.2</v>
      </c>
      <c r="H98" s="18">
        <v>2057.9</v>
      </c>
      <c r="I98" s="18">
        <v>2488.9</v>
      </c>
      <c r="J98" s="18">
        <v>527.4</v>
      </c>
      <c r="K98" s="18">
        <v>461.9</v>
      </c>
      <c r="L98" s="18">
        <v>1067.5</v>
      </c>
      <c r="M98" s="18">
        <v>1200</v>
      </c>
      <c r="N98" s="18">
        <f t="shared" si="44"/>
        <v>11998.3</v>
      </c>
      <c r="V98" s="125"/>
    </row>
    <row r="99" spans="1:22" x14ac:dyDescent="0.2">
      <c r="A99" s="18" t="s">
        <v>21</v>
      </c>
      <c r="B99" s="18">
        <v>1017.3</v>
      </c>
      <c r="C99" s="18">
        <v>4064.5</v>
      </c>
      <c r="D99" s="18">
        <v>845.9</v>
      </c>
      <c r="E99" s="18">
        <v>638.29999999999995</v>
      </c>
      <c r="F99" s="18">
        <v>522.1</v>
      </c>
      <c r="G99" s="18">
        <v>2511.6</v>
      </c>
      <c r="H99" s="18">
        <v>3547.9</v>
      </c>
      <c r="I99" s="18">
        <v>1844.9</v>
      </c>
      <c r="J99" s="18">
        <v>362.5</v>
      </c>
      <c r="K99" s="18">
        <v>211.9</v>
      </c>
      <c r="L99" s="18">
        <v>47.9</v>
      </c>
      <c r="M99" s="18">
        <v>6.1</v>
      </c>
      <c r="N99" s="18">
        <f t="shared" si="44"/>
        <v>15620.9</v>
      </c>
      <c r="V99" s="125"/>
    </row>
    <row r="100" spans="1:22" x14ac:dyDescent="0.2">
      <c r="A100" s="18" t="s">
        <v>22</v>
      </c>
      <c r="B100" s="18">
        <v>17.5</v>
      </c>
      <c r="C100" s="18">
        <v>57.8</v>
      </c>
      <c r="D100" s="18">
        <v>270</v>
      </c>
      <c r="E100" s="18">
        <v>183.4</v>
      </c>
      <c r="F100" s="18">
        <v>295.39999999999998</v>
      </c>
      <c r="G100" s="18">
        <v>4132.2</v>
      </c>
      <c r="H100" s="18">
        <v>4674.1000000000004</v>
      </c>
      <c r="I100" s="18">
        <v>1841.7</v>
      </c>
      <c r="J100" s="18">
        <v>503.1</v>
      </c>
      <c r="K100" s="18">
        <v>686.6</v>
      </c>
      <c r="L100" s="18">
        <v>2739.1</v>
      </c>
      <c r="M100" s="18">
        <v>864.8</v>
      </c>
      <c r="N100" s="18">
        <f t="shared" si="44"/>
        <v>16265.700000000003</v>
      </c>
      <c r="O100" s="4" t="s">
        <v>43</v>
      </c>
      <c r="P100" s="40" t="s">
        <v>82</v>
      </c>
      <c r="Q100" s="40" t="s">
        <v>83</v>
      </c>
      <c r="R100" s="40" t="s">
        <v>85</v>
      </c>
      <c r="V100" s="125"/>
    </row>
    <row r="101" spans="1:22" x14ac:dyDescent="0.2">
      <c r="A101" s="18" t="s">
        <v>23</v>
      </c>
      <c r="B101" s="18">
        <v>10.5</v>
      </c>
      <c r="C101" s="18">
        <v>774</v>
      </c>
      <c r="D101" s="18">
        <v>973</v>
      </c>
      <c r="E101" s="18">
        <v>1118.5</v>
      </c>
      <c r="F101" s="18">
        <v>971.1</v>
      </c>
      <c r="G101" s="18">
        <v>1919.8</v>
      </c>
      <c r="H101" s="18">
        <v>3656</v>
      </c>
      <c r="I101" s="18">
        <v>1884.2</v>
      </c>
      <c r="J101" s="18">
        <v>726</v>
      </c>
      <c r="K101" s="18">
        <v>291.10000000000002</v>
      </c>
      <c r="L101" s="18">
        <v>173</v>
      </c>
      <c r="M101" s="18">
        <v>174</v>
      </c>
      <c r="N101" s="18">
        <f t="shared" si="44"/>
        <v>12671.2</v>
      </c>
      <c r="O101" s="72">
        <f t="shared" ref="O101:O111" si="45">E101+F101+G101+H101+I101</f>
        <v>9549.6</v>
      </c>
      <c r="P101" s="38">
        <f>E101+F101+G101+H101+I101+J101</f>
        <v>10275.6</v>
      </c>
      <c r="Q101" s="40">
        <f>L101+M101+B102</f>
        <v>417.5</v>
      </c>
      <c r="R101" s="38">
        <f>L101+M101+B102+C102+D102</f>
        <v>1553.5900000000001</v>
      </c>
      <c r="V101" s="125"/>
    </row>
    <row r="102" spans="1:22" x14ac:dyDescent="0.2">
      <c r="A102" s="18" t="s">
        <v>32</v>
      </c>
      <c r="B102" s="18">
        <v>70.5</v>
      </c>
      <c r="C102" s="18">
        <v>160.97</v>
      </c>
      <c r="D102" s="18">
        <v>975.12</v>
      </c>
      <c r="E102" s="18">
        <v>200.59</v>
      </c>
      <c r="F102" s="18">
        <v>3005.42</v>
      </c>
      <c r="G102" s="18">
        <v>5224.25</v>
      </c>
      <c r="H102" s="18">
        <v>3359.66</v>
      </c>
      <c r="I102" s="18">
        <v>1072.68</v>
      </c>
      <c r="J102" s="18">
        <v>546.24</v>
      </c>
      <c r="K102" s="18">
        <v>144.69999999999999</v>
      </c>
      <c r="L102" s="18">
        <v>773.13</v>
      </c>
      <c r="M102" s="18">
        <v>1237.4000000000001</v>
      </c>
      <c r="N102" s="18">
        <f t="shared" si="44"/>
        <v>16770.66</v>
      </c>
      <c r="O102" s="72">
        <f t="shared" si="45"/>
        <v>12862.6</v>
      </c>
      <c r="P102" s="38">
        <f t="shared" ref="P102:P108" si="46">E102+F102+G102+H102+I102+J102</f>
        <v>13408.84</v>
      </c>
      <c r="Q102" s="40">
        <f t="shared" ref="Q102:Q108" si="47">L102+M102+B103</f>
        <v>3287.03</v>
      </c>
      <c r="R102" s="38">
        <f t="shared" ref="R102:R110" si="48">L102+M102+B103+C103+D103</f>
        <v>3552.9300000000003</v>
      </c>
      <c r="U102" s="82"/>
      <c r="V102" s="125"/>
    </row>
    <row r="103" spans="1:22" x14ac:dyDescent="0.2">
      <c r="A103" s="18" t="s">
        <v>33</v>
      </c>
      <c r="B103" s="18">
        <v>1276.5</v>
      </c>
      <c r="C103" s="18">
        <v>53.3</v>
      </c>
      <c r="D103" s="18">
        <v>212.6</v>
      </c>
      <c r="E103" s="18">
        <v>63.1</v>
      </c>
      <c r="F103" s="18">
        <v>1656.4</v>
      </c>
      <c r="G103" s="18">
        <v>2242.5</v>
      </c>
      <c r="H103" s="18">
        <v>3036</v>
      </c>
      <c r="I103" s="18">
        <v>2806.4</v>
      </c>
      <c r="J103" s="18">
        <v>0</v>
      </c>
      <c r="K103" s="18">
        <v>333.3</v>
      </c>
      <c r="L103" s="18">
        <v>1058.2</v>
      </c>
      <c r="M103" s="18">
        <v>173</v>
      </c>
      <c r="N103" s="18">
        <f t="shared" si="44"/>
        <v>12911.3</v>
      </c>
      <c r="O103" s="72">
        <f t="shared" si="45"/>
        <v>9804.4</v>
      </c>
      <c r="P103" s="38">
        <f t="shared" si="46"/>
        <v>9804.4</v>
      </c>
      <c r="Q103" s="40">
        <f t="shared" si="47"/>
        <v>1857.3000000000002</v>
      </c>
      <c r="R103" s="38">
        <f t="shared" si="48"/>
        <v>3024.6400000000003</v>
      </c>
      <c r="U103" s="82"/>
      <c r="V103" s="125"/>
    </row>
    <row r="104" spans="1:22" x14ac:dyDescent="0.2">
      <c r="A104" s="18" t="s">
        <v>34</v>
      </c>
      <c r="B104" s="18">
        <v>626.1</v>
      </c>
      <c r="C104" s="18">
        <v>642.35</v>
      </c>
      <c r="D104" s="18">
        <v>524.99</v>
      </c>
      <c r="E104" s="18">
        <v>1471.15</v>
      </c>
      <c r="F104" s="18">
        <v>798.37</v>
      </c>
      <c r="G104" s="18">
        <v>2509.44</v>
      </c>
      <c r="H104" s="18">
        <v>4187.3</v>
      </c>
      <c r="I104" s="18">
        <v>2069.71</v>
      </c>
      <c r="J104" s="18">
        <f>1.5+75.5+166.5+402</f>
        <v>645.5</v>
      </c>
      <c r="K104" s="18">
        <f>2.8+0.3+0.45</f>
        <v>3.55</v>
      </c>
      <c r="L104" s="18">
        <f>0.1+34.5+76.5</f>
        <v>111.1</v>
      </c>
      <c r="M104" s="18">
        <f>124.5</f>
        <v>124.5</v>
      </c>
      <c r="N104" s="18">
        <f t="shared" si="44"/>
        <v>13714.06</v>
      </c>
      <c r="O104" s="72">
        <f t="shared" si="45"/>
        <v>11035.970000000001</v>
      </c>
      <c r="P104" s="38">
        <f t="shared" si="46"/>
        <v>11681.470000000001</v>
      </c>
      <c r="Q104" s="40">
        <f t="shared" si="47"/>
        <v>236.6</v>
      </c>
      <c r="R104" s="38">
        <f t="shared" si="48"/>
        <v>251.75</v>
      </c>
      <c r="U104" s="82"/>
      <c r="V104" s="125"/>
    </row>
    <row r="105" spans="1:22" x14ac:dyDescent="0.2">
      <c r="A105" s="18" t="s">
        <v>35</v>
      </c>
      <c r="B105" s="18">
        <v>1</v>
      </c>
      <c r="C105" s="18">
        <f>0.09+0+0</f>
        <v>0.09</v>
      </c>
      <c r="D105" s="18">
        <f>15.06+0+0</f>
        <v>15.06</v>
      </c>
      <c r="E105" s="18">
        <f>6.44+7.5+24+127.5</f>
        <v>165.44</v>
      </c>
      <c r="F105" s="18">
        <f>97.9+39.12+181.5+543</f>
        <v>861.52</v>
      </c>
      <c r="G105" s="18">
        <f>84.7+3.69+1431.75+382.5</f>
        <v>1902.64</v>
      </c>
      <c r="H105" s="18">
        <f>61.7+85.455+5370+307.5</f>
        <v>5824.6549999999997</v>
      </c>
      <c r="I105" s="18">
        <f>63.3+20.76+2454</f>
        <v>2538.06</v>
      </c>
      <c r="J105" s="18">
        <f>0.6+25.8+1040</f>
        <v>1066.4000000000001</v>
      </c>
      <c r="K105" s="18">
        <f>51+3.7</f>
        <v>54.7</v>
      </c>
      <c r="L105" s="18">
        <f>80.3+30.3</f>
        <v>110.6</v>
      </c>
      <c r="M105" s="18">
        <f>0.3+100.5+10.9</f>
        <v>111.7</v>
      </c>
      <c r="N105" s="18">
        <f>SUM(B105:M105)</f>
        <v>12651.865</v>
      </c>
      <c r="O105" s="72">
        <f t="shared" si="45"/>
        <v>11292.315000000001</v>
      </c>
      <c r="P105" s="38">
        <f t="shared" si="46"/>
        <v>12358.715</v>
      </c>
      <c r="Q105" s="40">
        <f t="shared" si="47"/>
        <v>436.65</v>
      </c>
      <c r="R105" s="38">
        <f t="shared" si="48"/>
        <v>1862.6690000000001</v>
      </c>
      <c r="U105" s="82"/>
      <c r="V105" s="125"/>
    </row>
    <row r="106" spans="1:22" x14ac:dyDescent="0.2">
      <c r="A106" s="18" t="s">
        <v>37</v>
      </c>
      <c r="B106" s="18">
        <v>214.34999999999997</v>
      </c>
      <c r="C106" s="18">
        <v>101.52499999999999</v>
      </c>
      <c r="D106" s="18">
        <v>1324.4940000000001</v>
      </c>
      <c r="E106" s="18">
        <v>988.04100000000005</v>
      </c>
      <c r="F106" s="18">
        <v>1663.0020000000002</v>
      </c>
      <c r="G106" s="18">
        <v>3044.3790000000004</v>
      </c>
      <c r="H106" s="18">
        <v>2007.8940000000002</v>
      </c>
      <c r="I106" s="18">
        <v>1000.32</v>
      </c>
      <c r="J106" s="55">
        <v>776.16300000000012</v>
      </c>
      <c r="K106" s="55">
        <v>188.08500000000001</v>
      </c>
      <c r="L106" s="55">
        <v>449.67</v>
      </c>
      <c r="M106" s="55">
        <v>423.55800000000005</v>
      </c>
      <c r="N106" s="18">
        <f>SUM(B106:M106)</f>
        <v>12181.481000000002</v>
      </c>
      <c r="O106" s="72">
        <f t="shared" si="45"/>
        <v>8703.6360000000004</v>
      </c>
      <c r="P106" s="38">
        <f t="shared" si="46"/>
        <v>9479.7990000000009</v>
      </c>
      <c r="Q106" s="40">
        <f t="shared" si="47"/>
        <v>1045.5330000000001</v>
      </c>
      <c r="R106" s="38">
        <f t="shared" si="48"/>
        <v>2729.6790000000001</v>
      </c>
      <c r="U106" s="82"/>
      <c r="V106" s="125"/>
    </row>
    <row r="107" spans="1:22" x14ac:dyDescent="0.2">
      <c r="A107" s="18" t="s">
        <v>39</v>
      </c>
      <c r="B107" s="18">
        <v>172.30500000000001</v>
      </c>
      <c r="C107" s="18">
        <v>374.99400000000003</v>
      </c>
      <c r="D107" s="18">
        <v>1309.152</v>
      </c>
      <c r="E107" s="18">
        <v>401.04</v>
      </c>
      <c r="F107" s="18">
        <v>1094.4170000000001</v>
      </c>
      <c r="G107" s="18">
        <v>4568.2109999999993</v>
      </c>
      <c r="H107" s="18">
        <v>3428.9339999999997</v>
      </c>
      <c r="I107" s="18">
        <v>745.36799999999994</v>
      </c>
      <c r="J107" s="18">
        <v>4.1520000000000001</v>
      </c>
      <c r="K107" s="18">
        <v>259.29899999999998</v>
      </c>
      <c r="L107" s="18">
        <v>180.81</v>
      </c>
      <c r="M107" s="18">
        <v>235.51500000000001</v>
      </c>
      <c r="N107" s="18">
        <f t="shared" si="44"/>
        <v>12774.196999999998</v>
      </c>
      <c r="O107" s="72">
        <f t="shared" si="45"/>
        <v>10237.969999999999</v>
      </c>
      <c r="P107" s="38">
        <f t="shared" si="46"/>
        <v>10242.121999999999</v>
      </c>
      <c r="Q107" s="40">
        <f>L107+M107+B108</f>
        <v>2305.7669999999998</v>
      </c>
      <c r="R107" s="38">
        <f t="shared" si="48"/>
        <v>8326.987000000001</v>
      </c>
      <c r="S107" s="38"/>
      <c r="T107" s="41"/>
      <c r="U107" s="82"/>
      <c r="V107" s="125"/>
    </row>
    <row r="108" spans="1:22" x14ac:dyDescent="0.2">
      <c r="A108" s="18" t="s">
        <v>40</v>
      </c>
      <c r="B108" s="18">
        <v>1889.442</v>
      </c>
      <c r="C108" s="18">
        <v>3169.0099999999998</v>
      </c>
      <c r="D108" s="18">
        <v>2852.21</v>
      </c>
      <c r="E108" s="18">
        <v>2142.98</v>
      </c>
      <c r="F108" s="18">
        <v>2455.65</v>
      </c>
      <c r="G108" s="18">
        <v>2932.12</v>
      </c>
      <c r="H108" s="18">
        <v>2532.35</v>
      </c>
      <c r="I108" s="18">
        <v>2338.9900000000002</v>
      </c>
      <c r="J108" s="18">
        <v>270.41399999999999</v>
      </c>
      <c r="K108" s="18">
        <v>137.37</v>
      </c>
      <c r="L108" s="18">
        <v>245.34</v>
      </c>
      <c r="M108" s="18">
        <v>79.635000000000005</v>
      </c>
      <c r="N108" s="18">
        <f t="shared" ref="N108:N120" si="49">SUM(B108:M108)</f>
        <v>21045.510999999999</v>
      </c>
      <c r="O108" s="72">
        <f t="shared" si="45"/>
        <v>12402.09</v>
      </c>
      <c r="P108" s="38">
        <f t="shared" si="46"/>
        <v>12672.504000000001</v>
      </c>
      <c r="Q108" s="40">
        <f t="shared" si="47"/>
        <v>2352.9210000000003</v>
      </c>
      <c r="R108" s="38">
        <f t="shared" si="48"/>
        <v>2607.3720000000003</v>
      </c>
      <c r="S108" s="38"/>
      <c r="T108" s="41"/>
      <c r="U108" s="82"/>
      <c r="V108" s="125"/>
    </row>
    <row r="109" spans="1:22" x14ac:dyDescent="0.2">
      <c r="A109" s="18" t="s">
        <v>41</v>
      </c>
      <c r="B109" s="18">
        <v>2027.9460000000001</v>
      </c>
      <c r="C109" s="18">
        <v>176.82</v>
      </c>
      <c r="D109" s="18">
        <v>77.631</v>
      </c>
      <c r="E109" s="18">
        <v>465.04199999999997</v>
      </c>
      <c r="F109" s="18">
        <v>2143.902</v>
      </c>
      <c r="G109" s="18">
        <v>3810.7649999999999</v>
      </c>
      <c r="H109" s="18">
        <v>3350.6190000000001</v>
      </c>
      <c r="I109" s="18">
        <v>1537.056</v>
      </c>
      <c r="J109" s="18">
        <v>162.60599999999999</v>
      </c>
      <c r="K109" s="18">
        <v>167.11199999999999</v>
      </c>
      <c r="L109" s="18">
        <v>201.738</v>
      </c>
      <c r="M109" s="18">
        <v>193.69499999999999</v>
      </c>
      <c r="N109" s="18">
        <f t="shared" si="49"/>
        <v>14314.931999999999</v>
      </c>
      <c r="O109" s="72">
        <f t="shared" si="45"/>
        <v>11307.384</v>
      </c>
      <c r="P109" s="38">
        <f t="shared" ref="P109:P114" si="50">E109+F109+G109+H109+I109+J109</f>
        <v>11469.99</v>
      </c>
      <c r="Q109" s="40">
        <f t="shared" ref="Q109:Q114" si="51">L109+M109+B110</f>
        <v>4742.0609999999997</v>
      </c>
      <c r="R109" s="38">
        <f t="shared" si="48"/>
        <v>8785.3029999999999</v>
      </c>
      <c r="U109" s="82"/>
      <c r="V109" s="125"/>
    </row>
    <row r="110" spans="1:22" x14ac:dyDescent="0.2">
      <c r="A110" s="18" t="s">
        <v>45</v>
      </c>
      <c r="B110" s="18">
        <v>4346.6279999999997</v>
      </c>
      <c r="C110" s="18">
        <v>1716.066</v>
      </c>
      <c r="D110" s="18">
        <v>2327.1759999999999</v>
      </c>
      <c r="E110" s="18">
        <v>1112.0160000000001</v>
      </c>
      <c r="F110" s="18">
        <v>1395.7859999999998</v>
      </c>
      <c r="G110" s="18">
        <v>3300.9300000000003</v>
      </c>
      <c r="H110" s="18">
        <v>2801.0549999999998</v>
      </c>
      <c r="I110" s="18">
        <v>1976.3910000000001</v>
      </c>
      <c r="J110" s="18">
        <v>512.02800000000002</v>
      </c>
      <c r="K110" s="18">
        <v>195.22499999999999</v>
      </c>
      <c r="L110" s="18">
        <v>211.45500000000001</v>
      </c>
      <c r="M110" s="18">
        <v>861.27</v>
      </c>
      <c r="N110" s="18">
        <f t="shared" si="49"/>
        <v>20756.025999999998</v>
      </c>
      <c r="O110" s="72">
        <f t="shared" si="45"/>
        <v>10586.178</v>
      </c>
      <c r="P110" s="38">
        <f t="shared" si="50"/>
        <v>11098.206</v>
      </c>
      <c r="Q110" s="40">
        <f t="shared" si="51"/>
        <v>4054.2179999999998</v>
      </c>
      <c r="R110" s="38">
        <f t="shared" si="48"/>
        <v>14457.583000000001</v>
      </c>
      <c r="U110" s="83"/>
      <c r="V110" s="125"/>
    </row>
    <row r="111" spans="1:22" x14ac:dyDescent="0.2">
      <c r="A111" s="42" t="s">
        <v>46</v>
      </c>
      <c r="B111" s="42">
        <v>2981.4929999999999</v>
      </c>
      <c r="C111" s="42">
        <v>4974</v>
      </c>
      <c r="D111" s="42">
        <v>5429.3649999999998</v>
      </c>
      <c r="E111" s="42">
        <v>2540.3490000000002</v>
      </c>
      <c r="F111" s="42">
        <v>1440.6029999999998</v>
      </c>
      <c r="G111" s="42">
        <v>1959.039</v>
      </c>
      <c r="H111" s="42">
        <v>2801.415</v>
      </c>
      <c r="I111" s="42">
        <v>1173.4649999999999</v>
      </c>
      <c r="J111" s="42">
        <v>1132.0080000000003</v>
      </c>
      <c r="K111" s="42">
        <v>707.274</v>
      </c>
      <c r="L111" s="42">
        <v>37.470000000000006</v>
      </c>
      <c r="M111" s="42">
        <v>27.99</v>
      </c>
      <c r="N111" s="18">
        <f t="shared" si="49"/>
        <v>25204.471000000009</v>
      </c>
      <c r="O111" s="72">
        <f t="shared" si="45"/>
        <v>9914.8709999999992</v>
      </c>
      <c r="P111" s="38">
        <f t="shared" si="50"/>
        <v>11046.878999999999</v>
      </c>
      <c r="Q111" s="40">
        <f t="shared" si="51"/>
        <v>130.155</v>
      </c>
      <c r="R111" s="38">
        <f t="shared" ref="R111:R119" si="52">L111+M111+B112+C112+D112</f>
        <v>179.05199999999999</v>
      </c>
      <c r="U111" s="83"/>
    </row>
    <row r="112" spans="1:22" x14ac:dyDescent="0.2">
      <c r="A112" s="42" t="s">
        <v>57</v>
      </c>
      <c r="B112" s="42">
        <v>64.694999999999993</v>
      </c>
      <c r="C112" s="42">
        <v>28.689</v>
      </c>
      <c r="D112" s="42">
        <v>20.208000000000002</v>
      </c>
      <c r="E112" s="42">
        <v>16.079999999999998</v>
      </c>
      <c r="F112" s="42">
        <v>108.45</v>
      </c>
      <c r="G112" s="42">
        <v>2035.752</v>
      </c>
      <c r="H112" s="42">
        <v>2556.2310000000002</v>
      </c>
      <c r="I112" s="42">
        <v>2077.7579999999998</v>
      </c>
      <c r="J112" s="42">
        <v>21.36</v>
      </c>
      <c r="K112" s="42">
        <v>104.94000000000001</v>
      </c>
      <c r="L112" s="42">
        <v>125.13</v>
      </c>
      <c r="M112" s="42">
        <v>94.605000000000004</v>
      </c>
      <c r="N112" s="18">
        <f t="shared" si="49"/>
        <v>7253.8979999999983</v>
      </c>
      <c r="O112" s="72">
        <f t="shared" ref="O112:O119" si="53">E112+F112+G112+H112+I112</f>
        <v>6794.2710000000006</v>
      </c>
      <c r="P112" s="38">
        <f t="shared" si="50"/>
        <v>6815.6310000000003</v>
      </c>
      <c r="Q112" s="40">
        <f t="shared" si="51"/>
        <v>1023.069</v>
      </c>
      <c r="R112" s="38">
        <f t="shared" si="52"/>
        <v>1143.855</v>
      </c>
      <c r="U112" s="83"/>
    </row>
    <row r="113" spans="1:21" x14ac:dyDescent="0.2">
      <c r="A113" s="18" t="s">
        <v>92</v>
      </c>
      <c r="B113" s="18">
        <v>803.33399999999995</v>
      </c>
      <c r="C113" s="18">
        <v>0</v>
      </c>
      <c r="D113" s="18">
        <v>120.786</v>
      </c>
      <c r="E113" s="18">
        <v>62.744999999999997</v>
      </c>
      <c r="F113" s="18">
        <v>496.596</v>
      </c>
      <c r="G113" s="18">
        <v>3080.694</v>
      </c>
      <c r="H113" s="18">
        <v>2520.5839999999994</v>
      </c>
      <c r="I113" s="18">
        <v>459.84299999999996</v>
      </c>
      <c r="J113" s="18">
        <v>101.82</v>
      </c>
      <c r="K113" s="18">
        <v>93</v>
      </c>
      <c r="L113" s="18">
        <v>336.45699999999999</v>
      </c>
      <c r="M113" s="18">
        <v>102.855</v>
      </c>
      <c r="N113" s="18">
        <f t="shared" si="49"/>
        <v>8178.713999999999</v>
      </c>
      <c r="O113" s="72">
        <f t="shared" si="53"/>
        <v>6620.4619999999986</v>
      </c>
      <c r="P113" s="38">
        <f t="shared" si="50"/>
        <v>6722.2819999999983</v>
      </c>
      <c r="Q113" s="40">
        <f t="shared" si="51"/>
        <v>1064.6799999999998</v>
      </c>
      <c r="R113" s="38">
        <f t="shared" si="52"/>
        <v>3153.9399999999996</v>
      </c>
      <c r="U113" s="83"/>
    </row>
    <row r="114" spans="1:21" x14ac:dyDescent="0.2">
      <c r="A114" s="18" t="s">
        <v>103</v>
      </c>
      <c r="B114" s="18">
        <v>625.36799999999994</v>
      </c>
      <c r="C114" s="18">
        <v>1400.0129999999999</v>
      </c>
      <c r="D114" s="18">
        <v>689.24700000000007</v>
      </c>
      <c r="E114" s="18">
        <v>1315.2679999999998</v>
      </c>
      <c r="F114" s="18">
        <v>267.81900000000002</v>
      </c>
      <c r="G114" s="18">
        <v>1149.807</v>
      </c>
      <c r="H114" s="18">
        <v>2253.6240000000003</v>
      </c>
      <c r="I114" s="18">
        <v>1829.1630000000002</v>
      </c>
      <c r="J114" s="18">
        <v>465.76499999999999</v>
      </c>
      <c r="K114" s="18">
        <v>31.847999999999999</v>
      </c>
      <c r="L114" s="18">
        <v>97.034999999999997</v>
      </c>
      <c r="M114" s="18">
        <v>106.77</v>
      </c>
      <c r="N114" s="18">
        <f t="shared" si="49"/>
        <v>10231.727000000001</v>
      </c>
      <c r="O114" s="72">
        <f t="shared" si="53"/>
        <v>6815.6810000000005</v>
      </c>
      <c r="P114" s="38">
        <f t="shared" si="50"/>
        <v>7281.4460000000008</v>
      </c>
      <c r="Q114" s="40">
        <f t="shared" si="51"/>
        <v>1301.6460000000002</v>
      </c>
      <c r="R114" s="38">
        <f t="shared" si="52"/>
        <v>1578.1920000000002</v>
      </c>
      <c r="U114" s="83"/>
    </row>
    <row r="115" spans="1:21" x14ac:dyDescent="0.2">
      <c r="A115" s="18" t="s">
        <v>121</v>
      </c>
      <c r="B115" s="18">
        <v>1097.8410000000001</v>
      </c>
      <c r="C115" s="18">
        <f>90+1.35+45.27+1.8</f>
        <v>138.42000000000002</v>
      </c>
      <c r="D115" s="18">
        <f>97.506+33.6+7.02</f>
        <v>138.126</v>
      </c>
      <c r="E115" s="18">
        <f>0.414+137.025+183.96</f>
        <v>321.399</v>
      </c>
      <c r="F115" s="18">
        <f>49.878+171+228.87</f>
        <v>449.74799999999999</v>
      </c>
      <c r="G115" s="18">
        <f>14.742+622.725+34.08+0.81</f>
        <v>672.35699999999997</v>
      </c>
      <c r="H115" s="18">
        <f>14.562+938.025+96.87</f>
        <v>1049.4569999999999</v>
      </c>
      <c r="I115" s="18">
        <f>22.32+375.825+241.38+1.125</f>
        <v>640.65</v>
      </c>
      <c r="J115" s="18">
        <v>67.194000000000003</v>
      </c>
      <c r="K115" s="18">
        <v>208.44</v>
      </c>
      <c r="L115" s="18">
        <v>359.14500000000004</v>
      </c>
      <c r="M115" s="18">
        <v>221.17499999999998</v>
      </c>
      <c r="N115" s="18">
        <f t="shared" si="49"/>
        <v>5363.9520000000002</v>
      </c>
      <c r="O115" s="72">
        <f t="shared" si="53"/>
        <v>3133.6109999999999</v>
      </c>
      <c r="P115" s="38">
        <f t="shared" ref="P115:P121" si="54">E115+F115+G115+H115+I115+J115</f>
        <v>3200.8049999999998</v>
      </c>
      <c r="Q115" s="40">
        <f t="shared" ref="Q115:Q121" si="55">L115+M115+B116</f>
        <v>754.84500000000003</v>
      </c>
      <c r="R115" s="38">
        <f t="shared" si="52"/>
        <v>1337.8620000000001</v>
      </c>
      <c r="U115" s="83"/>
    </row>
    <row r="116" spans="1:21" x14ac:dyDescent="0.2">
      <c r="A116" s="18" t="s">
        <v>129</v>
      </c>
      <c r="B116" s="18">
        <v>174.52499999999998</v>
      </c>
      <c r="C116" s="18">
        <v>108.705</v>
      </c>
      <c r="D116" s="18">
        <v>474.31199999999995</v>
      </c>
      <c r="E116" s="18">
        <v>861.98699999999997</v>
      </c>
      <c r="F116" s="18">
        <v>1431.1320000000001</v>
      </c>
      <c r="G116" s="18">
        <v>2008.2269999999999</v>
      </c>
      <c r="H116" s="18">
        <v>842.09399999999994</v>
      </c>
      <c r="I116" s="18">
        <v>359.04</v>
      </c>
      <c r="J116" s="18">
        <v>3.15</v>
      </c>
      <c r="K116" s="18">
        <v>347.26949999999999</v>
      </c>
      <c r="L116" s="18">
        <v>276.39999999999998</v>
      </c>
      <c r="M116" s="18">
        <v>222.19499999999999</v>
      </c>
      <c r="N116" s="18">
        <f t="shared" si="49"/>
        <v>7109.0364999999993</v>
      </c>
      <c r="O116" s="72">
        <f t="shared" si="53"/>
        <v>5502.48</v>
      </c>
      <c r="P116" s="38">
        <f t="shared" si="54"/>
        <v>5505.6299999999992</v>
      </c>
      <c r="Q116" s="40">
        <f t="shared" si="55"/>
        <v>1627.825</v>
      </c>
      <c r="R116" s="38">
        <f t="shared" si="52"/>
        <v>3711.1750000000002</v>
      </c>
      <c r="U116" s="83"/>
    </row>
    <row r="117" spans="1:21" x14ac:dyDescent="0.2">
      <c r="A117" s="18" t="s">
        <v>136</v>
      </c>
      <c r="B117" s="18">
        <v>1129.23</v>
      </c>
      <c r="C117" s="18">
        <v>1229.7329999999999</v>
      </c>
      <c r="D117" s="18">
        <v>853.61700000000008</v>
      </c>
      <c r="E117" s="18">
        <v>1776.5520000000001</v>
      </c>
      <c r="F117" s="18">
        <v>840.25800000000004</v>
      </c>
      <c r="G117" s="18">
        <v>1912.4070000000002</v>
      </c>
      <c r="H117" s="18">
        <v>1937.3759999999997</v>
      </c>
      <c r="I117" s="18">
        <v>1111.1189999999999</v>
      </c>
      <c r="J117" s="18">
        <v>1754.6399999999999</v>
      </c>
      <c r="K117" s="18">
        <v>259.10500000000002</v>
      </c>
      <c r="L117" s="18">
        <v>154.22500000000002</v>
      </c>
      <c r="M117" s="18">
        <v>180.92400000000001</v>
      </c>
      <c r="N117" s="18">
        <f t="shared" si="49"/>
        <v>13139.186</v>
      </c>
      <c r="O117" s="72">
        <f t="shared" si="53"/>
        <v>7577.7120000000004</v>
      </c>
      <c r="P117" s="38">
        <f t="shared" si="54"/>
        <v>9332.3520000000008</v>
      </c>
      <c r="Q117" s="40">
        <f t="shared" si="55"/>
        <v>557.75599999999997</v>
      </c>
      <c r="R117" s="38">
        <f t="shared" si="52"/>
        <v>1152.298</v>
      </c>
      <c r="U117" s="83"/>
    </row>
    <row r="118" spans="1:21" x14ac:dyDescent="0.2">
      <c r="A118" s="18" t="s">
        <v>140</v>
      </c>
      <c r="B118" s="18">
        <v>222.607</v>
      </c>
      <c r="C118" s="18">
        <v>145.97</v>
      </c>
      <c r="D118" s="18">
        <v>448.572</v>
      </c>
      <c r="E118" s="18">
        <v>517.60400000000004</v>
      </c>
      <c r="F118" s="18">
        <v>1179.1200000000001</v>
      </c>
      <c r="G118" s="18">
        <v>803.50299999999993</v>
      </c>
      <c r="H118" s="18">
        <v>1618.635</v>
      </c>
      <c r="I118" s="18">
        <v>843.30000000000007</v>
      </c>
      <c r="J118" s="18">
        <v>701.33399999999995</v>
      </c>
      <c r="K118" s="18">
        <v>1651.9289999999999</v>
      </c>
      <c r="L118" s="18">
        <v>665.19600000000014</v>
      </c>
      <c r="M118" s="18">
        <v>264.95</v>
      </c>
      <c r="N118" s="18">
        <f t="shared" si="49"/>
        <v>9062.7200000000012</v>
      </c>
      <c r="O118" s="72">
        <f t="shared" si="53"/>
        <v>4962.1620000000003</v>
      </c>
      <c r="P118" s="38">
        <f t="shared" si="54"/>
        <v>5663.4960000000001</v>
      </c>
      <c r="Q118" s="40">
        <f t="shared" si="55"/>
        <v>1051.4510000000002</v>
      </c>
      <c r="R118" s="38">
        <f t="shared" si="52"/>
        <v>1982.0315000000001</v>
      </c>
      <c r="U118" s="83"/>
    </row>
    <row r="119" spans="1:21" x14ac:dyDescent="0.2">
      <c r="A119" s="18" t="s">
        <v>143</v>
      </c>
      <c r="B119" s="18">
        <v>121.30499999999999</v>
      </c>
      <c r="C119" s="18">
        <v>284.42699999999996</v>
      </c>
      <c r="D119" s="18">
        <v>646.15349999999989</v>
      </c>
      <c r="E119" s="18">
        <v>922.01599999999996</v>
      </c>
      <c r="F119" s="18">
        <v>795.39600000000007</v>
      </c>
      <c r="G119" s="18">
        <v>1739.922</v>
      </c>
      <c r="H119" s="18">
        <v>1712.8139999999999</v>
      </c>
      <c r="I119" s="18">
        <v>928.15500000000009</v>
      </c>
      <c r="J119" s="18">
        <v>807.61200000000008</v>
      </c>
      <c r="K119" s="18">
        <v>495.05099999999999</v>
      </c>
      <c r="L119" s="18">
        <v>188.07299999999998</v>
      </c>
      <c r="M119" s="18">
        <v>292.101</v>
      </c>
      <c r="N119" s="18">
        <f t="shared" si="49"/>
        <v>8933.0254999999997</v>
      </c>
      <c r="O119" s="158">
        <f t="shared" si="53"/>
        <v>6098.302999999999</v>
      </c>
      <c r="P119" s="180">
        <f t="shared" si="54"/>
        <v>6905.9149999999991</v>
      </c>
      <c r="Q119" s="181">
        <f t="shared" si="55"/>
        <v>660.45900000000006</v>
      </c>
      <c r="R119" s="180">
        <f t="shared" si="52"/>
        <v>1808.848</v>
      </c>
      <c r="U119" s="83"/>
    </row>
    <row r="120" spans="1:21" x14ac:dyDescent="0.2">
      <c r="A120" s="18" t="s">
        <v>149</v>
      </c>
      <c r="B120" s="18">
        <v>180.28500000000003</v>
      </c>
      <c r="C120" s="18">
        <v>319.36199999999997</v>
      </c>
      <c r="D120" s="18">
        <v>829.02700000000004</v>
      </c>
      <c r="E120" s="18">
        <v>795.20100000000002</v>
      </c>
      <c r="F120" s="18">
        <v>1412.402</v>
      </c>
      <c r="G120" s="18">
        <v>1816.164</v>
      </c>
      <c r="H120" s="18">
        <v>1601.7359999999999</v>
      </c>
      <c r="I120" s="18">
        <v>1231.5779999999997</v>
      </c>
      <c r="J120" s="63">
        <v>79.440000000000012</v>
      </c>
      <c r="K120" s="63">
        <v>218.7</v>
      </c>
      <c r="L120" s="63">
        <v>159.32999999999998</v>
      </c>
      <c r="M120" s="63">
        <v>119.94</v>
      </c>
      <c r="N120" s="18">
        <f t="shared" si="49"/>
        <v>8763.1650000000009</v>
      </c>
      <c r="O120" s="158">
        <f>E120+F120+G120+H120+I120</f>
        <v>6857.0809999999992</v>
      </c>
      <c r="P120" s="180">
        <f t="shared" si="54"/>
        <v>6936.5209999999988</v>
      </c>
      <c r="Q120" s="61">
        <f t="shared" si="55"/>
        <v>424.755</v>
      </c>
      <c r="R120" s="71">
        <f>L120+M120+B121+C121+D121</f>
        <v>940.27499999999998</v>
      </c>
      <c r="U120" s="83"/>
    </row>
    <row r="121" spans="1:21" x14ac:dyDescent="0.2">
      <c r="A121" s="18" t="s">
        <v>158</v>
      </c>
      <c r="B121" s="63">
        <v>145.48500000000001</v>
      </c>
      <c r="C121" s="18">
        <v>228.12</v>
      </c>
      <c r="D121" s="18">
        <v>287.39999999999998</v>
      </c>
      <c r="E121" s="18">
        <v>1185.915</v>
      </c>
      <c r="F121" s="18">
        <v>932.39099999999996</v>
      </c>
      <c r="G121" s="18">
        <v>1640.7840000000001</v>
      </c>
      <c r="H121" s="18">
        <v>1536.3150000000001</v>
      </c>
      <c r="I121" s="18">
        <v>625.0200000000001</v>
      </c>
      <c r="J121" s="18">
        <v>0</v>
      </c>
      <c r="K121" s="18"/>
      <c r="L121" s="18"/>
      <c r="M121" s="18"/>
      <c r="N121" s="18">
        <f>SUM(B121:M121)</f>
        <v>6581.43</v>
      </c>
      <c r="O121" s="158">
        <f>E121+F121+G121+H121+I121</f>
        <v>5920.4250000000011</v>
      </c>
      <c r="P121" s="180">
        <f t="shared" si="54"/>
        <v>5920.4250000000011</v>
      </c>
      <c r="Q121" s="61">
        <f t="shared" si="55"/>
        <v>0</v>
      </c>
      <c r="R121" s="71">
        <f>L121+M121+B122+C122+D122</f>
        <v>0</v>
      </c>
      <c r="U121" s="83"/>
    </row>
    <row r="122" spans="1:21" x14ac:dyDescent="0.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24">
        <f>AVERAGE(O116:O120)</f>
        <v>6199.5475999999999</v>
      </c>
      <c r="P122" s="24">
        <f>AVERAGE(P116:P120)</f>
        <v>6868.782799999999</v>
      </c>
      <c r="Q122" s="24">
        <f>AVERAGE(Q116:Q120)</f>
        <v>864.44920000000002</v>
      </c>
      <c r="R122" s="24">
        <f>AVERAGE(R116:R120)</f>
        <v>1918.9255000000001</v>
      </c>
    </row>
    <row r="123" spans="1:21" x14ac:dyDescent="0.2">
      <c r="A123" s="40" t="s">
        <v>138</v>
      </c>
      <c r="M123" s="40" t="s">
        <v>3</v>
      </c>
    </row>
    <row r="124" spans="1:21" x14ac:dyDescent="0.2">
      <c r="A124" s="56"/>
      <c r="B124" s="56" t="s">
        <v>4</v>
      </c>
      <c r="C124" s="56" t="s">
        <v>5</v>
      </c>
      <c r="D124" s="56" t="s">
        <v>6</v>
      </c>
      <c r="E124" s="56" t="s">
        <v>7</v>
      </c>
      <c r="F124" s="56" t="s">
        <v>8</v>
      </c>
      <c r="G124" s="56" t="s">
        <v>9</v>
      </c>
      <c r="H124" s="56" t="s">
        <v>10</v>
      </c>
      <c r="I124" s="56" t="s">
        <v>11</v>
      </c>
      <c r="J124" s="56" t="s">
        <v>12</v>
      </c>
      <c r="K124" s="56" t="s">
        <v>13</v>
      </c>
      <c r="L124" s="56" t="s">
        <v>14</v>
      </c>
      <c r="M124" s="56" t="s">
        <v>15</v>
      </c>
      <c r="N124" s="56" t="s">
        <v>16</v>
      </c>
    </row>
    <row r="125" spans="1:21" x14ac:dyDescent="0.2">
      <c r="A125" s="56" t="s">
        <v>17</v>
      </c>
      <c r="B125" s="56">
        <v>8.8000000000000007</v>
      </c>
      <c r="C125" s="56">
        <v>1.9</v>
      </c>
      <c r="D125" s="56">
        <v>0</v>
      </c>
      <c r="E125" s="56">
        <v>0</v>
      </c>
      <c r="F125" s="56">
        <v>86.7</v>
      </c>
      <c r="G125" s="56">
        <v>26</v>
      </c>
      <c r="H125" s="56">
        <v>0</v>
      </c>
      <c r="I125" s="56">
        <v>0</v>
      </c>
      <c r="J125" s="56">
        <v>0</v>
      </c>
      <c r="K125" s="56">
        <v>129.80000000000001</v>
      </c>
      <c r="L125" s="56">
        <v>1257.7</v>
      </c>
      <c r="M125" s="56">
        <v>573</v>
      </c>
      <c r="N125" s="56">
        <f t="shared" ref="N125:N137" si="56">SUM(B125:M125)</f>
        <v>2083.9</v>
      </c>
    </row>
    <row r="126" spans="1:21" x14ac:dyDescent="0.2">
      <c r="A126" s="56" t="s">
        <v>18</v>
      </c>
      <c r="B126" s="56">
        <v>0</v>
      </c>
      <c r="C126" s="56">
        <v>0</v>
      </c>
      <c r="D126" s="56">
        <v>0</v>
      </c>
      <c r="E126" s="56">
        <v>21.4</v>
      </c>
      <c r="F126" s="56">
        <v>0</v>
      </c>
      <c r="G126" s="56">
        <v>282.10000000000002</v>
      </c>
      <c r="H126" s="56">
        <v>97.7</v>
      </c>
      <c r="I126" s="56">
        <v>5</v>
      </c>
      <c r="J126" s="56">
        <v>12.1</v>
      </c>
      <c r="K126" s="56">
        <v>0</v>
      </c>
      <c r="L126" s="56">
        <v>229.9</v>
      </c>
      <c r="M126" s="56">
        <v>1227.0999999999999</v>
      </c>
      <c r="N126" s="56">
        <f t="shared" si="56"/>
        <v>1875.3</v>
      </c>
    </row>
    <row r="127" spans="1:21" x14ac:dyDescent="0.2">
      <c r="A127" s="56" t="s">
        <v>19</v>
      </c>
      <c r="B127" s="56">
        <v>1476.3</v>
      </c>
      <c r="C127" s="56">
        <v>0</v>
      </c>
      <c r="D127" s="56">
        <v>0</v>
      </c>
      <c r="E127" s="56">
        <v>54.1</v>
      </c>
      <c r="F127" s="56">
        <v>89.2</v>
      </c>
      <c r="G127" s="56">
        <v>14</v>
      </c>
      <c r="H127" s="56">
        <v>70.5</v>
      </c>
      <c r="I127" s="56">
        <v>13.2</v>
      </c>
      <c r="J127" s="56">
        <v>0</v>
      </c>
      <c r="K127" s="56">
        <v>0</v>
      </c>
      <c r="L127" s="56">
        <v>92.7</v>
      </c>
      <c r="M127" s="56">
        <v>0</v>
      </c>
      <c r="N127" s="56">
        <f t="shared" si="56"/>
        <v>1810</v>
      </c>
    </row>
    <row r="128" spans="1:21" x14ac:dyDescent="0.2">
      <c r="A128" s="56" t="s">
        <v>20</v>
      </c>
      <c r="B128" s="56">
        <v>0</v>
      </c>
      <c r="C128" s="56">
        <v>0</v>
      </c>
      <c r="D128" s="56">
        <v>2.7</v>
      </c>
      <c r="E128" s="56">
        <v>292.60000000000002</v>
      </c>
      <c r="F128" s="56">
        <v>140</v>
      </c>
      <c r="G128" s="56">
        <v>12.7</v>
      </c>
      <c r="H128" s="56">
        <v>10.4</v>
      </c>
      <c r="I128" s="56">
        <v>65.7</v>
      </c>
      <c r="J128" s="56">
        <v>0</v>
      </c>
      <c r="K128" s="56">
        <v>0</v>
      </c>
      <c r="L128" s="56">
        <v>8.5</v>
      </c>
      <c r="M128" s="56">
        <v>0</v>
      </c>
      <c r="N128" s="56">
        <f t="shared" si="56"/>
        <v>532.6</v>
      </c>
    </row>
    <row r="129" spans="1:31" x14ac:dyDescent="0.2">
      <c r="A129" s="56" t="s">
        <v>21</v>
      </c>
      <c r="B129" s="56">
        <v>535.4</v>
      </c>
      <c r="C129" s="56">
        <v>446.3</v>
      </c>
      <c r="D129" s="56">
        <v>245.1</v>
      </c>
      <c r="E129" s="56">
        <v>109.7</v>
      </c>
      <c r="F129" s="56">
        <v>10.1</v>
      </c>
      <c r="G129" s="56">
        <v>128.9</v>
      </c>
      <c r="H129" s="56">
        <v>446.9</v>
      </c>
      <c r="I129" s="56">
        <v>129</v>
      </c>
      <c r="J129" s="56">
        <v>664.7</v>
      </c>
      <c r="K129" s="56">
        <v>67</v>
      </c>
      <c r="L129" s="56">
        <v>338.5</v>
      </c>
      <c r="M129" s="56">
        <v>0</v>
      </c>
      <c r="N129" s="56">
        <f t="shared" si="56"/>
        <v>3121.6000000000004</v>
      </c>
    </row>
    <row r="130" spans="1:31" x14ac:dyDescent="0.2">
      <c r="A130" s="56" t="s">
        <v>22</v>
      </c>
      <c r="B130" s="56">
        <v>0</v>
      </c>
      <c r="C130" s="56">
        <v>0</v>
      </c>
      <c r="D130" s="56">
        <v>154.1</v>
      </c>
      <c r="E130" s="56">
        <v>0.1</v>
      </c>
      <c r="F130" s="56">
        <v>8.1999999999999993</v>
      </c>
      <c r="G130" s="56">
        <v>227.8</v>
      </c>
      <c r="H130" s="56">
        <v>219.9</v>
      </c>
      <c r="I130" s="56">
        <v>23.9</v>
      </c>
      <c r="J130" s="56">
        <v>0.2</v>
      </c>
      <c r="K130" s="56">
        <v>5.2</v>
      </c>
      <c r="L130" s="56">
        <v>601.1</v>
      </c>
      <c r="M130" s="56">
        <v>488.4</v>
      </c>
      <c r="N130" s="56">
        <f t="shared" si="56"/>
        <v>1728.9</v>
      </c>
      <c r="O130" s="4" t="s">
        <v>43</v>
      </c>
      <c r="P130" s="40" t="s">
        <v>82</v>
      </c>
      <c r="Q130" s="40" t="s">
        <v>83</v>
      </c>
      <c r="R130" s="40" t="s">
        <v>85</v>
      </c>
    </row>
    <row r="131" spans="1:31" x14ac:dyDescent="0.2">
      <c r="A131" s="56" t="s">
        <v>23</v>
      </c>
      <c r="B131" s="56">
        <v>165.4</v>
      </c>
      <c r="C131" s="56">
        <v>299.10000000000002</v>
      </c>
      <c r="D131" s="56">
        <v>1089.5</v>
      </c>
      <c r="E131" s="56">
        <v>653.20000000000005</v>
      </c>
      <c r="F131" s="56">
        <v>226.8</v>
      </c>
      <c r="G131" s="56">
        <v>8.9</v>
      </c>
      <c r="H131" s="56">
        <v>65.599999999999994</v>
      </c>
      <c r="I131" s="56">
        <v>92.9</v>
      </c>
      <c r="J131" s="56">
        <v>5.8</v>
      </c>
      <c r="K131" s="56"/>
      <c r="L131" s="56"/>
      <c r="M131" s="56">
        <v>87.8</v>
      </c>
      <c r="N131" s="56">
        <f t="shared" si="56"/>
        <v>2695.0000000000005</v>
      </c>
      <c r="O131" s="3">
        <f t="shared" ref="O131:O139" si="57">E131+F131+G131+H131+I131</f>
        <v>1047.4000000000001</v>
      </c>
      <c r="P131" s="39">
        <f>E131+F131+G131+H131+I131+J131</f>
        <v>1053.2</v>
      </c>
      <c r="Q131" s="39">
        <f>L131+M131+B132</f>
        <v>140.9</v>
      </c>
      <c r="R131" s="38">
        <f>L131+M131+B132+C132+D132</f>
        <v>763</v>
      </c>
    </row>
    <row r="132" spans="1:31" x14ac:dyDescent="0.2">
      <c r="A132" s="56" t="s">
        <v>32</v>
      </c>
      <c r="B132" s="56">
        <v>53.1</v>
      </c>
      <c r="C132" s="56">
        <v>416.5</v>
      </c>
      <c r="D132" s="56">
        <v>205.6</v>
      </c>
      <c r="E132" s="56">
        <v>0.1</v>
      </c>
      <c r="F132" s="56">
        <v>85.3</v>
      </c>
      <c r="G132" s="56">
        <v>42.3</v>
      </c>
      <c r="H132" s="56">
        <v>3.9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f t="shared" si="56"/>
        <v>806.8</v>
      </c>
      <c r="O132" s="3">
        <f t="shared" si="57"/>
        <v>131.6</v>
      </c>
      <c r="P132" s="39">
        <f t="shared" ref="P132:P138" si="58">E132+F132+G132+H132+I132+J132</f>
        <v>131.6</v>
      </c>
      <c r="Q132" s="39">
        <f t="shared" ref="Q132:Q138" si="59">L132+M132+B133</f>
        <v>441</v>
      </c>
      <c r="R132" s="38">
        <f t="shared" ref="R132:R139" si="60">L132+M132+B133+C133+D133</f>
        <v>721.69999999999993</v>
      </c>
    </row>
    <row r="133" spans="1:31" x14ac:dyDescent="0.2">
      <c r="A133" s="56" t="s">
        <v>33</v>
      </c>
      <c r="B133" s="56">
        <v>441</v>
      </c>
      <c r="C133" s="56">
        <v>263.39999999999998</v>
      </c>
      <c r="D133" s="56">
        <v>17.3</v>
      </c>
      <c r="E133" s="56">
        <v>0</v>
      </c>
      <c r="F133" s="56">
        <v>0.2</v>
      </c>
      <c r="G133" s="56">
        <v>383.5</v>
      </c>
      <c r="H133" s="56"/>
      <c r="I133" s="56">
        <v>0.4</v>
      </c>
      <c r="J133" s="56">
        <v>399.2</v>
      </c>
      <c r="K133" s="56">
        <v>62.4</v>
      </c>
      <c r="L133" s="56">
        <v>230.8</v>
      </c>
      <c r="M133" s="56">
        <v>1302.8</v>
      </c>
      <c r="N133" s="56">
        <f t="shared" si="56"/>
        <v>3101</v>
      </c>
      <c r="O133" s="3">
        <f t="shared" si="57"/>
        <v>384.09999999999997</v>
      </c>
      <c r="P133" s="39">
        <f t="shared" si="58"/>
        <v>783.3</v>
      </c>
      <c r="Q133" s="39">
        <f t="shared" si="59"/>
        <v>1546.1999999999998</v>
      </c>
      <c r="R133" s="38">
        <f t="shared" si="60"/>
        <v>1550.7719999999997</v>
      </c>
    </row>
    <row r="134" spans="1:31" x14ac:dyDescent="0.2">
      <c r="A134" s="56" t="s">
        <v>34</v>
      </c>
      <c r="B134" s="56">
        <v>12.6</v>
      </c>
      <c r="C134" s="56">
        <v>4.5720000000000001</v>
      </c>
      <c r="D134" s="56">
        <v>0</v>
      </c>
      <c r="E134" s="56">
        <v>73.3</v>
      </c>
      <c r="F134" s="56">
        <v>1912.1</v>
      </c>
      <c r="G134" s="56">
        <v>1026.8</v>
      </c>
      <c r="H134" s="56">
        <v>447.5</v>
      </c>
      <c r="I134" s="56">
        <v>12.3</v>
      </c>
      <c r="J134" s="56">
        <v>8.6999999999999993</v>
      </c>
      <c r="K134" s="56">
        <v>0</v>
      </c>
      <c r="L134" s="56">
        <v>0</v>
      </c>
      <c r="M134" s="56">
        <v>0</v>
      </c>
      <c r="N134" s="56">
        <f t="shared" si="56"/>
        <v>3497.8719999999998</v>
      </c>
      <c r="O134" s="3">
        <f t="shared" si="57"/>
        <v>3472</v>
      </c>
      <c r="P134" s="39">
        <f t="shared" si="58"/>
        <v>3480.7</v>
      </c>
      <c r="Q134" s="39">
        <f t="shared" si="59"/>
        <v>0</v>
      </c>
      <c r="R134" s="38">
        <f t="shared" si="60"/>
        <v>62.8</v>
      </c>
    </row>
    <row r="135" spans="1:31" x14ac:dyDescent="0.2">
      <c r="A135" s="56" t="s">
        <v>35</v>
      </c>
      <c r="B135" s="56">
        <v>0</v>
      </c>
      <c r="C135" s="56">
        <v>0</v>
      </c>
      <c r="D135" s="56">
        <v>62.8</v>
      </c>
      <c r="E135" s="56">
        <v>153</v>
      </c>
      <c r="F135" s="56">
        <v>28.1</v>
      </c>
      <c r="G135" s="56">
        <v>2.0880000000000001</v>
      </c>
      <c r="H135" s="56">
        <v>6.1124999999999998</v>
      </c>
      <c r="I135" s="56">
        <v>54.880499999999998</v>
      </c>
      <c r="J135" s="56">
        <v>9.7185000000000006</v>
      </c>
      <c r="K135" s="56"/>
      <c r="L135" s="56"/>
      <c r="M135" s="56"/>
      <c r="N135" s="56">
        <f t="shared" si="56"/>
        <v>316.6995</v>
      </c>
      <c r="O135" s="3">
        <f t="shared" si="57"/>
        <v>244.18099999999998</v>
      </c>
      <c r="P135" s="39">
        <f t="shared" si="58"/>
        <v>253.89949999999999</v>
      </c>
      <c r="Q135" s="39">
        <f t="shared" si="59"/>
        <v>27.8</v>
      </c>
      <c r="R135" s="38">
        <f t="shared" si="60"/>
        <v>791.6</v>
      </c>
    </row>
    <row r="136" spans="1:31" x14ac:dyDescent="0.2">
      <c r="A136" s="56" t="s">
        <v>37</v>
      </c>
      <c r="B136" s="56">
        <v>27.8</v>
      </c>
      <c r="C136" s="56">
        <v>375.5</v>
      </c>
      <c r="D136" s="56">
        <v>388.3</v>
      </c>
      <c r="E136" s="57">
        <v>661.6</v>
      </c>
      <c r="F136" s="57">
        <v>786</v>
      </c>
      <c r="G136" s="57">
        <v>182</v>
      </c>
      <c r="H136" s="57">
        <v>148.69999999999999</v>
      </c>
      <c r="I136" s="57">
        <v>71.8</v>
      </c>
      <c r="J136" s="56">
        <v>19.8</v>
      </c>
      <c r="K136" s="56">
        <v>16.399999999999999</v>
      </c>
      <c r="L136" s="56">
        <v>0</v>
      </c>
      <c r="M136" s="56">
        <v>0</v>
      </c>
      <c r="N136" s="56">
        <f t="shared" si="56"/>
        <v>2677.9</v>
      </c>
      <c r="O136" s="3">
        <f t="shared" si="57"/>
        <v>1850.1</v>
      </c>
      <c r="P136" s="39">
        <f t="shared" si="58"/>
        <v>1869.8999999999999</v>
      </c>
      <c r="Q136" s="39">
        <f t="shared" si="59"/>
        <v>0</v>
      </c>
      <c r="R136" s="38">
        <f t="shared" si="60"/>
        <v>600.81150000000002</v>
      </c>
    </row>
    <row r="137" spans="1:31" x14ac:dyDescent="0.2">
      <c r="A137" s="56" t="s">
        <v>39</v>
      </c>
      <c r="B137" s="56">
        <v>0</v>
      </c>
      <c r="C137" s="56">
        <v>272.27100000000002</v>
      </c>
      <c r="D137" s="56">
        <v>328.54050000000001</v>
      </c>
      <c r="E137" s="57">
        <v>344.05200000000002</v>
      </c>
      <c r="F137" s="57">
        <v>144.9</v>
      </c>
      <c r="G137" s="57">
        <v>174.97649999999999</v>
      </c>
      <c r="H137" s="57">
        <v>5.08</v>
      </c>
      <c r="I137" s="57">
        <v>1.0395000000000001</v>
      </c>
      <c r="J137" s="56">
        <v>0.90749999999999997</v>
      </c>
      <c r="K137" s="56">
        <v>0</v>
      </c>
      <c r="L137" s="56">
        <v>0</v>
      </c>
      <c r="M137" s="56">
        <v>0</v>
      </c>
      <c r="N137" s="56">
        <f t="shared" si="56"/>
        <v>1271.7670000000001</v>
      </c>
      <c r="O137" s="3">
        <f t="shared" si="57"/>
        <v>670.048</v>
      </c>
      <c r="P137" s="39">
        <f t="shared" si="58"/>
        <v>670.95550000000003</v>
      </c>
      <c r="Q137" s="39">
        <f t="shared" si="59"/>
        <v>248.886</v>
      </c>
      <c r="R137" s="38">
        <f t="shared" si="60"/>
        <v>1074.0284999999999</v>
      </c>
    </row>
    <row r="138" spans="1:31" x14ac:dyDescent="0.2">
      <c r="A138" s="56" t="s">
        <v>40</v>
      </c>
      <c r="B138" s="56">
        <v>248.886</v>
      </c>
      <c r="C138" s="56">
        <v>494.70749999999998</v>
      </c>
      <c r="D138" s="56">
        <v>330.435</v>
      </c>
      <c r="E138" s="57">
        <v>747.09</v>
      </c>
      <c r="F138" s="57">
        <v>887.95749999999998</v>
      </c>
      <c r="G138" s="57">
        <v>31.869</v>
      </c>
      <c r="H138" s="57">
        <v>43.042499999999997</v>
      </c>
      <c r="I138" s="57">
        <v>18.986999999999998</v>
      </c>
      <c r="J138" s="56">
        <v>52.201500000000003</v>
      </c>
      <c r="K138" s="56">
        <v>303.93150000000003</v>
      </c>
      <c r="L138" s="56">
        <v>120.486</v>
      </c>
      <c r="M138" s="56">
        <v>96.232500000000002</v>
      </c>
      <c r="N138" s="56">
        <f t="shared" ref="N138:N149" si="61">SUM(B138:M138)</f>
        <v>3375.8260000000005</v>
      </c>
      <c r="O138" s="3">
        <f t="shared" si="57"/>
        <v>1728.9460000000001</v>
      </c>
      <c r="P138" s="39">
        <f t="shared" si="58"/>
        <v>1781.1475</v>
      </c>
      <c r="Q138" s="39">
        <f t="shared" si="59"/>
        <v>1199.0519999999999</v>
      </c>
      <c r="R138" s="38">
        <f t="shared" si="60"/>
        <v>1676.9609999999998</v>
      </c>
    </row>
    <row r="139" spans="1:31" x14ac:dyDescent="0.2">
      <c r="A139" s="56" t="s">
        <v>41</v>
      </c>
      <c r="B139" s="56">
        <v>982.33349999999996</v>
      </c>
      <c r="C139" s="56">
        <v>371.70299999999997</v>
      </c>
      <c r="D139" s="56">
        <v>106.206</v>
      </c>
      <c r="E139" s="57">
        <v>11.933999999999999</v>
      </c>
      <c r="F139" s="57">
        <v>60.124499999999998</v>
      </c>
      <c r="G139" s="57">
        <v>46.262999999999998</v>
      </c>
      <c r="H139" s="57">
        <v>120.6555</v>
      </c>
      <c r="I139" s="57">
        <v>70.040999999999997</v>
      </c>
      <c r="J139" s="56">
        <v>55.067999999999998</v>
      </c>
      <c r="K139" s="56">
        <v>16.376999999999999</v>
      </c>
      <c r="L139" s="56">
        <v>6.2039999999999997</v>
      </c>
      <c r="M139" s="56">
        <v>56.679000000000002</v>
      </c>
      <c r="N139" s="56">
        <f t="shared" si="61"/>
        <v>1903.5884999999996</v>
      </c>
      <c r="O139" s="3">
        <f t="shared" si="57"/>
        <v>309.01799999999997</v>
      </c>
      <c r="P139" s="39">
        <f t="shared" ref="P139:P144" si="62">E139+F139+G139+H139+I139+J139</f>
        <v>364.08599999999996</v>
      </c>
      <c r="Q139" s="39">
        <f t="shared" ref="Q139:Q144" si="63">L139+M139+B140</f>
        <v>588.41550000000007</v>
      </c>
      <c r="R139" s="38">
        <f t="shared" si="60"/>
        <v>897.8565000000001</v>
      </c>
    </row>
    <row r="140" spans="1:31" x14ac:dyDescent="0.2">
      <c r="A140" s="56" t="s">
        <v>45</v>
      </c>
      <c r="B140" s="56">
        <v>525.53250000000003</v>
      </c>
      <c r="C140" s="56">
        <v>279.8415</v>
      </c>
      <c r="D140" s="56">
        <v>29.599499999999999</v>
      </c>
      <c r="E140" s="57">
        <v>146.76</v>
      </c>
      <c r="F140" s="57">
        <v>11.971500000000001</v>
      </c>
      <c r="G140" s="57">
        <v>241.11750000000001</v>
      </c>
      <c r="H140" s="57">
        <v>343.59300000000002</v>
      </c>
      <c r="I140" s="57">
        <v>386.238</v>
      </c>
      <c r="J140" s="56">
        <v>431.14499999999998</v>
      </c>
      <c r="K140" s="56">
        <v>184.04249999999999</v>
      </c>
      <c r="L140" s="56">
        <v>48.491999999999997</v>
      </c>
      <c r="M140" s="56">
        <v>0</v>
      </c>
      <c r="N140" s="56">
        <f t="shared" si="61"/>
        <v>2628.3330000000001</v>
      </c>
      <c r="O140" s="3">
        <f t="shared" ref="O140:O150" si="64">E140+F140+G140+H140+I140</f>
        <v>1129.68</v>
      </c>
      <c r="P140" s="39">
        <f t="shared" si="62"/>
        <v>1560.825</v>
      </c>
      <c r="Q140" s="39">
        <f t="shared" si="63"/>
        <v>156.357</v>
      </c>
      <c r="R140" s="38">
        <f t="shared" ref="R140:R145" si="65">L140+M140+B141+C141+D141</f>
        <v>1456.9395</v>
      </c>
    </row>
    <row r="141" spans="1:31" x14ac:dyDescent="0.2">
      <c r="A141" s="42" t="s">
        <v>46</v>
      </c>
      <c r="B141" s="42">
        <v>107.86499999999999</v>
      </c>
      <c r="C141" s="42">
        <v>390.06450000000001</v>
      </c>
      <c r="D141" s="42">
        <v>910.51800000000003</v>
      </c>
      <c r="E141" s="42">
        <v>221.76300000000001</v>
      </c>
      <c r="F141" s="42">
        <v>691.851</v>
      </c>
      <c r="G141" s="42">
        <v>485.298</v>
      </c>
      <c r="H141" s="42">
        <v>546.84300000000007</v>
      </c>
      <c r="I141" s="42">
        <v>365.31</v>
      </c>
      <c r="J141" s="42">
        <v>96.442499999999995</v>
      </c>
      <c r="K141" s="42">
        <v>3.2670000000000003</v>
      </c>
      <c r="L141" s="42">
        <v>0</v>
      </c>
      <c r="M141" s="42">
        <v>0</v>
      </c>
      <c r="N141" s="56">
        <f t="shared" si="61"/>
        <v>3819.2219999999993</v>
      </c>
      <c r="O141" s="3">
        <f t="shared" si="64"/>
        <v>2311.0650000000001</v>
      </c>
      <c r="P141" s="39">
        <f t="shared" si="62"/>
        <v>2407.5075000000002</v>
      </c>
      <c r="Q141" s="39">
        <f t="shared" si="63"/>
        <v>0</v>
      </c>
      <c r="R141" s="38">
        <f t="shared" si="65"/>
        <v>0</v>
      </c>
    </row>
    <row r="142" spans="1:31" x14ac:dyDescent="0.2">
      <c r="A142" s="56" t="s">
        <v>56</v>
      </c>
      <c r="B142" s="56">
        <v>0</v>
      </c>
      <c r="C142" s="56">
        <v>0</v>
      </c>
      <c r="D142" s="56">
        <v>0</v>
      </c>
      <c r="E142" s="57">
        <v>0.68400000000000005</v>
      </c>
      <c r="F142" s="57">
        <v>376.59899999999999</v>
      </c>
      <c r="G142" s="57">
        <v>396.45600000000002</v>
      </c>
      <c r="H142" s="57">
        <v>399.166</v>
      </c>
      <c r="I142" s="57">
        <v>260.01900000000001</v>
      </c>
      <c r="J142" s="56">
        <v>59.006</v>
      </c>
      <c r="K142" s="56">
        <v>36.01</v>
      </c>
      <c r="L142" s="56">
        <v>129.19200000000001</v>
      </c>
      <c r="M142" s="56">
        <v>40.341999999999999</v>
      </c>
      <c r="N142" s="56">
        <f t="shared" si="61"/>
        <v>1697.4740000000002</v>
      </c>
      <c r="O142" s="3">
        <f t="shared" si="64"/>
        <v>1432.924</v>
      </c>
      <c r="P142" s="39">
        <f t="shared" si="62"/>
        <v>1491.93</v>
      </c>
      <c r="Q142" s="39">
        <f t="shared" si="63"/>
        <v>582.82299999999998</v>
      </c>
      <c r="R142" s="38">
        <f t="shared" si="65"/>
        <v>1727.258</v>
      </c>
    </row>
    <row r="143" spans="1:31" x14ac:dyDescent="0.2">
      <c r="A143" s="18" t="s">
        <v>92</v>
      </c>
      <c r="B143" s="18">
        <v>413.28899999999999</v>
      </c>
      <c r="C143" s="18">
        <v>949.86900000000003</v>
      </c>
      <c r="D143" s="18">
        <v>194.566</v>
      </c>
      <c r="E143" s="74">
        <v>7.8209999999999997</v>
      </c>
      <c r="F143" s="74">
        <v>192.43950000000001</v>
      </c>
      <c r="G143" s="74">
        <v>656.01149999999996</v>
      </c>
      <c r="H143" s="74">
        <v>413.553</v>
      </c>
      <c r="I143" s="74">
        <v>366.31650000000002</v>
      </c>
      <c r="J143" s="74">
        <v>125.944</v>
      </c>
      <c r="K143" s="74">
        <v>8.4809999999999999</v>
      </c>
      <c r="L143" s="74">
        <v>4.7355</v>
      </c>
      <c r="M143" s="74">
        <v>7.6725000000000003</v>
      </c>
      <c r="N143" s="56">
        <f t="shared" si="61"/>
        <v>3340.6984999999995</v>
      </c>
      <c r="O143" s="3">
        <f t="shared" si="64"/>
        <v>1636.1414999999997</v>
      </c>
      <c r="P143" s="39">
        <f t="shared" si="62"/>
        <v>1762.0854999999997</v>
      </c>
      <c r="Q143" s="39">
        <f t="shared" si="63"/>
        <v>12.408000000000001</v>
      </c>
      <c r="R143" s="38">
        <f t="shared" si="65"/>
        <v>385.10850000000005</v>
      </c>
    </row>
    <row r="144" spans="1:31" x14ac:dyDescent="0.2">
      <c r="A144" s="56" t="s">
        <v>103</v>
      </c>
      <c r="B144" s="89">
        <v>0</v>
      </c>
      <c r="C144" s="89">
        <v>132.4425</v>
      </c>
      <c r="D144" s="89">
        <v>240.25800000000001</v>
      </c>
      <c r="E144" s="89">
        <v>195.6</v>
      </c>
      <c r="F144" s="89">
        <v>213.13499999999999</v>
      </c>
      <c r="G144" s="89">
        <v>451.79399999999998</v>
      </c>
      <c r="H144" s="89">
        <v>697.62750000000005</v>
      </c>
      <c r="I144" s="89">
        <v>309.74549999999999</v>
      </c>
      <c r="J144" s="18">
        <v>137.65</v>
      </c>
      <c r="K144" s="18">
        <v>20.526</v>
      </c>
      <c r="L144" s="18">
        <v>31.276499999999999</v>
      </c>
      <c r="M144" s="18">
        <v>3.3000000000000002E-2</v>
      </c>
      <c r="N144" s="56">
        <f t="shared" si="61"/>
        <v>2430.0879999999997</v>
      </c>
      <c r="O144" s="3">
        <f t="shared" si="64"/>
        <v>1867.902</v>
      </c>
      <c r="P144" s="39">
        <f t="shared" si="62"/>
        <v>2005.5520000000001</v>
      </c>
      <c r="Q144" s="39">
        <f t="shared" si="63"/>
        <v>190.84800000000001</v>
      </c>
      <c r="R144" s="38">
        <f t="shared" si="65"/>
        <v>537.66000000000008</v>
      </c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</row>
    <row r="145" spans="1:18" x14ac:dyDescent="0.2">
      <c r="A145" s="56" t="s">
        <v>120</v>
      </c>
      <c r="B145" s="89">
        <v>159.5385</v>
      </c>
      <c r="C145" s="89">
        <v>181.47749999999999</v>
      </c>
      <c r="D145" s="89">
        <v>165.33449999999999</v>
      </c>
      <c r="E145" s="89">
        <v>80.010000000000005</v>
      </c>
      <c r="F145" s="89">
        <v>498.56400000000002</v>
      </c>
      <c r="G145" s="89">
        <v>202.06800000000001</v>
      </c>
      <c r="H145" s="89">
        <v>566.94600000000003</v>
      </c>
      <c r="I145" s="89">
        <v>446.83199999999999</v>
      </c>
      <c r="J145" s="18">
        <v>206.76599999999999</v>
      </c>
      <c r="K145" s="18">
        <v>54.72</v>
      </c>
      <c r="L145" s="18">
        <v>5.2380000000000004</v>
      </c>
      <c r="M145" s="18">
        <v>50.634</v>
      </c>
      <c r="N145" s="56">
        <f t="shared" si="61"/>
        <v>2618.1284999999998</v>
      </c>
      <c r="O145" s="3">
        <f t="shared" si="64"/>
        <v>1794.42</v>
      </c>
      <c r="P145" s="39">
        <f t="shared" ref="P145:P149" si="66">E145+F145+G145+H145+I145+J145</f>
        <v>2001.1860000000001</v>
      </c>
      <c r="Q145" s="39">
        <f t="shared" ref="Q145:Q150" si="67">L145+M145+B146</f>
        <v>91.061999999999998</v>
      </c>
      <c r="R145" s="38">
        <f t="shared" si="65"/>
        <v>251.71200000000002</v>
      </c>
    </row>
    <row r="146" spans="1:18" x14ac:dyDescent="0.2">
      <c r="A146" s="56" t="s">
        <v>129</v>
      </c>
      <c r="B146" s="89">
        <v>35.19</v>
      </c>
      <c r="C146" s="89">
        <v>2.8079999999999998</v>
      </c>
      <c r="D146" s="89">
        <v>157.84200000000001</v>
      </c>
      <c r="E146" s="89">
        <v>177.804</v>
      </c>
      <c r="F146" s="89">
        <v>447.06599999999997</v>
      </c>
      <c r="G146" s="89">
        <v>109.026</v>
      </c>
      <c r="H146" s="89">
        <v>888.22799999999995</v>
      </c>
      <c r="I146" s="89">
        <v>553.78800000000001</v>
      </c>
      <c r="J146" s="134">
        <v>376.30799999999999</v>
      </c>
      <c r="K146" s="134">
        <v>197.55</v>
      </c>
      <c r="L146" s="134">
        <v>63.72</v>
      </c>
      <c r="M146" s="134">
        <v>58.823999999999998</v>
      </c>
      <c r="N146" s="56">
        <f t="shared" si="61"/>
        <v>3068.154</v>
      </c>
      <c r="O146" s="3">
        <f t="shared" si="64"/>
        <v>2175.9119999999998</v>
      </c>
      <c r="P146" s="39">
        <f t="shared" si="66"/>
        <v>2552.2199999999998</v>
      </c>
      <c r="Q146" s="39">
        <f t="shared" si="67"/>
        <v>189.57599999999999</v>
      </c>
      <c r="R146" s="38">
        <f>L146+M146+B147+C147+D147</f>
        <v>658.87200000000007</v>
      </c>
    </row>
    <row r="147" spans="1:18" x14ac:dyDescent="0.2">
      <c r="A147" s="56" t="s">
        <v>137</v>
      </c>
      <c r="B147" s="89">
        <v>67.031999999999996</v>
      </c>
      <c r="C147" s="89">
        <v>235.04400000000001</v>
      </c>
      <c r="D147" s="89">
        <v>234.25200000000001</v>
      </c>
      <c r="E147" s="89">
        <v>193.32</v>
      </c>
      <c r="F147" s="89">
        <v>460.76400000000001</v>
      </c>
      <c r="G147" s="89">
        <v>419.41800000000001</v>
      </c>
      <c r="H147" s="89">
        <v>771.40800000000002</v>
      </c>
      <c r="I147" s="89">
        <v>660.31200000000001</v>
      </c>
      <c r="J147" s="18">
        <v>687.52800000000002</v>
      </c>
      <c r="K147" s="18">
        <v>808.452</v>
      </c>
      <c r="L147" s="18">
        <v>495.91800000000001</v>
      </c>
      <c r="M147" s="18">
        <v>688.12199999999996</v>
      </c>
      <c r="N147" s="56">
        <f t="shared" si="61"/>
        <v>5721.57</v>
      </c>
      <c r="O147" s="3">
        <f t="shared" si="64"/>
        <v>2505.2219999999998</v>
      </c>
      <c r="P147" s="39">
        <f t="shared" si="66"/>
        <v>3192.75</v>
      </c>
      <c r="Q147" s="39">
        <f t="shared" si="67"/>
        <v>1289.3219999999999</v>
      </c>
      <c r="R147" s="38">
        <f>L147+M147+B148+C148+D148</f>
        <v>1526.508</v>
      </c>
    </row>
    <row r="148" spans="1:18" x14ac:dyDescent="0.2">
      <c r="A148" s="56" t="s">
        <v>140</v>
      </c>
      <c r="B148" s="89">
        <v>105.282</v>
      </c>
      <c r="C148" s="89">
        <v>87.245999999999995</v>
      </c>
      <c r="D148" s="89">
        <v>149.94</v>
      </c>
      <c r="E148" s="89">
        <v>284.47199999999998</v>
      </c>
      <c r="F148" s="89">
        <v>347.346</v>
      </c>
      <c r="G148" s="89">
        <v>528.10199999999998</v>
      </c>
      <c r="H148" s="89">
        <v>685.78200000000004</v>
      </c>
      <c r="I148" s="89">
        <v>603.32399999999996</v>
      </c>
      <c r="J148" s="18">
        <v>772.99199999999996</v>
      </c>
      <c r="K148" s="18">
        <v>488.16</v>
      </c>
      <c r="L148" s="18">
        <v>275.83199999999999</v>
      </c>
      <c r="M148" s="18">
        <v>82.188000000000002</v>
      </c>
      <c r="N148" s="56">
        <f t="shared" si="61"/>
        <v>4410.6660000000002</v>
      </c>
      <c r="O148" s="3">
        <f t="shared" si="64"/>
        <v>2449.0260000000003</v>
      </c>
      <c r="P148" s="39">
        <f t="shared" si="66"/>
        <v>3222.018</v>
      </c>
      <c r="Q148" s="39">
        <f t="shared" si="67"/>
        <v>897.49799999999993</v>
      </c>
      <c r="R148" s="38">
        <f>L148+M148+B149+C149+D149</f>
        <v>1492.5239999999999</v>
      </c>
    </row>
    <row r="149" spans="1:18" x14ac:dyDescent="0.2">
      <c r="A149" s="56" t="s">
        <v>143</v>
      </c>
      <c r="B149" s="89">
        <v>539.47799999999995</v>
      </c>
      <c r="C149" s="89">
        <v>183.58199999999999</v>
      </c>
      <c r="D149" s="89">
        <v>411.44400000000002</v>
      </c>
      <c r="E149" s="89">
        <v>507.07799999999997</v>
      </c>
      <c r="F149" s="89">
        <v>544.51800000000003</v>
      </c>
      <c r="G149" s="89">
        <v>445.77</v>
      </c>
      <c r="H149" s="89">
        <v>506.286</v>
      </c>
      <c r="I149" s="89">
        <v>477.36</v>
      </c>
      <c r="J149" s="18">
        <v>162.16200000000001</v>
      </c>
      <c r="K149" s="18">
        <v>244.83600000000001</v>
      </c>
      <c r="L149" s="18">
        <v>31.95</v>
      </c>
      <c r="M149" s="18">
        <v>33.281999999999996</v>
      </c>
      <c r="N149" s="56">
        <f t="shared" si="61"/>
        <v>4087.7460000000001</v>
      </c>
      <c r="O149" s="3">
        <f t="shared" si="64"/>
        <v>2481.0120000000002</v>
      </c>
      <c r="P149" s="39">
        <f t="shared" si="66"/>
        <v>2643.174</v>
      </c>
      <c r="Q149" s="39">
        <f t="shared" si="67"/>
        <v>107.244</v>
      </c>
      <c r="R149" s="38">
        <f>L149+M149+B150+C150+D150</f>
        <v>760.10399999999993</v>
      </c>
    </row>
    <row r="150" spans="1:18" x14ac:dyDescent="0.2">
      <c r="A150" s="56" t="s">
        <v>149</v>
      </c>
      <c r="B150" s="89">
        <v>42.012</v>
      </c>
      <c r="C150" s="89">
        <v>60.497999999999998</v>
      </c>
      <c r="D150" s="89">
        <v>592.36199999999997</v>
      </c>
      <c r="E150" s="89">
        <v>428.32799999999997</v>
      </c>
      <c r="F150" s="89">
        <v>618.91200000000003</v>
      </c>
      <c r="G150" s="89">
        <v>728.02800000000002</v>
      </c>
      <c r="H150" s="89">
        <v>755.56799999999998</v>
      </c>
      <c r="I150" s="89">
        <v>429.42599999999999</v>
      </c>
      <c r="J150" s="63">
        <v>267.786</v>
      </c>
      <c r="K150" s="63">
        <v>6.1740000000000004</v>
      </c>
      <c r="L150" s="63">
        <v>45.881999999999998</v>
      </c>
      <c r="M150" s="63">
        <v>80.567999999999998</v>
      </c>
      <c r="N150" s="56">
        <f>SUM(B150:M150)</f>
        <v>4055.5439999999999</v>
      </c>
      <c r="O150" s="3">
        <f t="shared" si="64"/>
        <v>2960.2620000000002</v>
      </c>
      <c r="P150" s="39">
        <f>E150+F150+G150+H150+I150+J150</f>
        <v>3228.0480000000002</v>
      </c>
      <c r="Q150" s="165">
        <f t="shared" si="67"/>
        <v>256.77</v>
      </c>
      <c r="R150" s="71">
        <f>L150+M150+B151+C151+D151</f>
        <v>509.81399999999996</v>
      </c>
    </row>
    <row r="151" spans="1:18" x14ac:dyDescent="0.2">
      <c r="A151" s="18" t="s">
        <v>158</v>
      </c>
      <c r="B151" s="167">
        <v>130.32</v>
      </c>
      <c r="C151" s="18">
        <v>93.096000000000004</v>
      </c>
      <c r="D151" s="18">
        <v>159.94800000000001</v>
      </c>
      <c r="E151" s="18">
        <v>797.65200000000004</v>
      </c>
      <c r="F151" s="18">
        <v>385.03800000000001</v>
      </c>
      <c r="G151" s="18">
        <v>910.99800000000005</v>
      </c>
      <c r="H151" s="18">
        <v>690.75</v>
      </c>
      <c r="I151" s="18">
        <v>617.25599999999997</v>
      </c>
      <c r="J151" s="18"/>
      <c r="K151" s="18"/>
      <c r="L151" s="18"/>
      <c r="M151" s="18"/>
      <c r="N151" s="18">
        <f>SUM(B151:M151)</f>
        <v>3785.058</v>
      </c>
      <c r="O151" s="3">
        <f t="shared" ref="O151" si="68">E151+F151+G151+H151+I151</f>
        <v>3401.694</v>
      </c>
      <c r="P151" s="39">
        <f>E151+F151+G151+H151+I151+J151</f>
        <v>3401.694</v>
      </c>
    </row>
    <row r="152" spans="1:18" x14ac:dyDescent="0.2">
      <c r="A152" s="58"/>
      <c r="B152" s="58"/>
      <c r="C152" s="58"/>
      <c r="D152" s="58"/>
      <c r="E152" s="59"/>
      <c r="F152" s="59"/>
      <c r="G152" s="59"/>
      <c r="H152" s="59"/>
      <c r="I152" s="59"/>
      <c r="J152" s="58"/>
      <c r="K152" s="60"/>
      <c r="L152" s="60"/>
      <c r="M152" s="60"/>
      <c r="N152" s="58"/>
      <c r="O152" s="24">
        <f>AVERAGE(O146:O150)</f>
        <v>2514.2868000000003</v>
      </c>
      <c r="P152" s="24">
        <f>AVERAGE(P146:P150)</f>
        <v>2967.6420000000003</v>
      </c>
      <c r="Q152" s="24">
        <f>AVERAGE(Q146:Q150)</f>
        <v>548.08199999999999</v>
      </c>
      <c r="R152" s="24">
        <f>AVERAGE(R146:R150)</f>
        <v>989.56439999999998</v>
      </c>
    </row>
    <row r="153" spans="1:18" x14ac:dyDescent="0.2">
      <c r="A153" s="40" t="s">
        <v>28</v>
      </c>
      <c r="F153" s="61" t="s">
        <v>60</v>
      </c>
      <c r="M153" s="40" t="s">
        <v>3</v>
      </c>
      <c r="P153" s="1"/>
    </row>
    <row r="154" spans="1:18" x14ac:dyDescent="0.2">
      <c r="A154" s="18"/>
      <c r="B154" s="18" t="s">
        <v>4</v>
      </c>
      <c r="C154" s="18" t="s">
        <v>5</v>
      </c>
      <c r="D154" s="18" t="s">
        <v>6</v>
      </c>
      <c r="E154" s="18" t="s">
        <v>7</v>
      </c>
      <c r="F154" s="18" t="s">
        <v>8</v>
      </c>
      <c r="G154" s="18" t="s">
        <v>9</v>
      </c>
      <c r="H154" s="18" t="s">
        <v>10</v>
      </c>
      <c r="I154" s="18" t="s">
        <v>11</v>
      </c>
      <c r="J154" s="18" t="s">
        <v>12</v>
      </c>
      <c r="K154" s="18" t="s">
        <v>13</v>
      </c>
      <c r="L154" s="18" t="s">
        <v>14</v>
      </c>
      <c r="M154" s="18" t="s">
        <v>15</v>
      </c>
      <c r="N154" s="18" t="s">
        <v>16</v>
      </c>
    </row>
    <row r="155" spans="1:18" x14ac:dyDescent="0.2">
      <c r="A155" s="18" t="s">
        <v>17</v>
      </c>
      <c r="B155" s="18">
        <v>104.2</v>
      </c>
      <c r="C155" s="18">
        <v>9</v>
      </c>
      <c r="D155" s="18"/>
      <c r="E155" s="18">
        <v>49.2</v>
      </c>
      <c r="F155" s="18">
        <v>35.1</v>
      </c>
      <c r="G155" s="18">
        <v>107.3</v>
      </c>
      <c r="H155" s="18">
        <v>115.8</v>
      </c>
      <c r="I155" s="18">
        <v>39.299999999999997</v>
      </c>
      <c r="J155" s="18">
        <v>20</v>
      </c>
      <c r="K155" s="18">
        <v>17.7</v>
      </c>
      <c r="L155" s="18">
        <v>268.2</v>
      </c>
      <c r="M155" s="18">
        <v>46.1</v>
      </c>
      <c r="N155" s="18">
        <f t="shared" ref="N155:N167" si="69">SUM(B155:M155)</f>
        <v>811.9</v>
      </c>
    </row>
    <row r="156" spans="1:18" x14ac:dyDescent="0.2">
      <c r="A156" s="18" t="s">
        <v>18</v>
      </c>
      <c r="B156" s="18">
        <v>6.1</v>
      </c>
      <c r="C156" s="18">
        <v>19.899999999999999</v>
      </c>
      <c r="D156" s="18">
        <v>27</v>
      </c>
      <c r="E156" s="18">
        <v>57.1</v>
      </c>
      <c r="F156" s="18">
        <v>8.6</v>
      </c>
      <c r="G156" s="18">
        <v>120.2</v>
      </c>
      <c r="H156" s="18">
        <v>40.799999999999997</v>
      </c>
      <c r="I156" s="18">
        <v>7.4</v>
      </c>
      <c r="J156" s="18">
        <v>9.3000000000000007</v>
      </c>
      <c r="K156" s="18">
        <v>11.1</v>
      </c>
      <c r="L156" s="18">
        <v>1.5</v>
      </c>
      <c r="M156" s="18">
        <v>1.1000000000000001</v>
      </c>
      <c r="N156" s="18">
        <f t="shared" si="69"/>
        <v>310.10000000000002</v>
      </c>
    </row>
    <row r="157" spans="1:18" x14ac:dyDescent="0.2">
      <c r="A157" s="18" t="s">
        <v>19</v>
      </c>
      <c r="B157" s="18">
        <v>0.9</v>
      </c>
      <c r="C157" s="18">
        <v>1</v>
      </c>
      <c r="D157" s="18">
        <v>2.4</v>
      </c>
      <c r="E157" s="18">
        <v>28.5</v>
      </c>
      <c r="F157" s="18">
        <v>20</v>
      </c>
      <c r="G157" s="18">
        <v>16.2</v>
      </c>
      <c r="H157" s="18">
        <v>51.5</v>
      </c>
      <c r="I157" s="18">
        <v>22.4</v>
      </c>
      <c r="J157" s="18">
        <v>44.3</v>
      </c>
      <c r="K157" s="18">
        <v>13.3</v>
      </c>
      <c r="L157" s="18">
        <v>23.8</v>
      </c>
      <c r="M157" s="18">
        <v>0</v>
      </c>
      <c r="N157" s="18">
        <f t="shared" si="69"/>
        <v>224.3</v>
      </c>
    </row>
    <row r="158" spans="1:18" x14ac:dyDescent="0.2">
      <c r="A158" s="18" t="s">
        <v>20</v>
      </c>
      <c r="B158" s="18">
        <v>18.100000000000001</v>
      </c>
      <c r="C158" s="18">
        <v>10.7</v>
      </c>
      <c r="D158" s="18">
        <v>42.1</v>
      </c>
      <c r="E158" s="18">
        <v>8</v>
      </c>
      <c r="F158" s="18">
        <v>5.4</v>
      </c>
      <c r="G158" s="18">
        <v>28.6</v>
      </c>
      <c r="H158" s="18">
        <v>78.7</v>
      </c>
      <c r="I158" s="18">
        <v>81.099999999999994</v>
      </c>
      <c r="J158" s="18">
        <v>58</v>
      </c>
      <c r="K158" s="18">
        <v>19.7</v>
      </c>
      <c r="L158" s="18">
        <v>20.8</v>
      </c>
      <c r="M158" s="18">
        <v>12.3</v>
      </c>
      <c r="N158" s="18">
        <f t="shared" si="69"/>
        <v>383.50000000000006</v>
      </c>
    </row>
    <row r="159" spans="1:18" x14ac:dyDescent="0.2">
      <c r="A159" s="18" t="s">
        <v>21</v>
      </c>
      <c r="B159" s="18">
        <v>41.4</v>
      </c>
      <c r="C159" s="18">
        <v>69.599999999999994</v>
      </c>
      <c r="D159" s="18">
        <v>78.900000000000006</v>
      </c>
      <c r="E159" s="18">
        <v>0</v>
      </c>
      <c r="F159" s="18">
        <v>0</v>
      </c>
      <c r="G159" s="18">
        <v>71</v>
      </c>
      <c r="H159" s="18">
        <v>172.3</v>
      </c>
      <c r="I159" s="18">
        <v>46.4</v>
      </c>
      <c r="J159" s="18">
        <v>83.2</v>
      </c>
      <c r="K159" s="18">
        <v>3.3</v>
      </c>
      <c r="L159" s="18">
        <v>7</v>
      </c>
      <c r="M159" s="18">
        <v>2.2000000000000002</v>
      </c>
      <c r="N159" s="18">
        <f t="shared" si="69"/>
        <v>575.29999999999995</v>
      </c>
    </row>
    <row r="160" spans="1:18" x14ac:dyDescent="0.2">
      <c r="A160" s="18" t="s">
        <v>22</v>
      </c>
      <c r="B160" s="18">
        <v>0</v>
      </c>
      <c r="C160" s="18">
        <v>0.7</v>
      </c>
      <c r="D160" s="18">
        <v>555.4</v>
      </c>
      <c r="E160" s="18">
        <v>66.8</v>
      </c>
      <c r="F160" s="18">
        <v>5.9</v>
      </c>
      <c r="G160" s="18">
        <v>63.3</v>
      </c>
      <c r="H160" s="18">
        <v>52.8</v>
      </c>
      <c r="I160" s="18">
        <v>75.400000000000006</v>
      </c>
      <c r="J160" s="18">
        <v>6.9</v>
      </c>
      <c r="K160" s="18">
        <v>27.4</v>
      </c>
      <c r="L160" s="18">
        <v>338.7</v>
      </c>
      <c r="M160" s="18">
        <v>114.2</v>
      </c>
      <c r="N160" s="18">
        <f t="shared" si="69"/>
        <v>1307.4999999999998</v>
      </c>
      <c r="O160" s="4" t="s">
        <v>43</v>
      </c>
      <c r="P160" s="40" t="s">
        <v>82</v>
      </c>
      <c r="Q160" s="40" t="s">
        <v>83</v>
      </c>
      <c r="R160" s="40" t="s">
        <v>85</v>
      </c>
    </row>
    <row r="161" spans="1:24" x14ac:dyDescent="0.2">
      <c r="A161" s="18" t="s">
        <v>23</v>
      </c>
      <c r="B161" s="18">
        <v>50.2</v>
      </c>
      <c r="C161" s="18">
        <v>166.5</v>
      </c>
      <c r="D161" s="18">
        <v>205.8</v>
      </c>
      <c r="E161" s="18">
        <v>155.4</v>
      </c>
      <c r="F161" s="18">
        <v>30.5</v>
      </c>
      <c r="G161" s="18">
        <v>23</v>
      </c>
      <c r="H161" s="18">
        <v>102.9</v>
      </c>
      <c r="I161" s="18">
        <v>241</v>
      </c>
      <c r="J161" s="18">
        <v>3.1</v>
      </c>
      <c r="K161" s="18">
        <v>25.1</v>
      </c>
      <c r="L161" s="18">
        <v>10.199999999999999</v>
      </c>
      <c r="M161" s="18">
        <v>22.6</v>
      </c>
      <c r="N161" s="18">
        <f t="shared" si="69"/>
        <v>1036.3</v>
      </c>
      <c r="O161" s="3">
        <f t="shared" ref="O161:O173" si="70">E161+F161+G161+H161+I161</f>
        <v>552.79999999999995</v>
      </c>
      <c r="P161" s="87">
        <f>E161+F161+G161+H161+I161+J161</f>
        <v>555.9</v>
      </c>
      <c r="Q161" s="87">
        <f>L161+M161+B162</f>
        <v>36.199999999999996</v>
      </c>
      <c r="R161" s="87">
        <f>L161+M161+B162+C162+D162</f>
        <v>827.80000000000007</v>
      </c>
      <c r="S161" s="38"/>
    </row>
    <row r="162" spans="1:24" x14ac:dyDescent="0.2">
      <c r="A162" s="18" t="s">
        <v>32</v>
      </c>
      <c r="B162" s="18">
        <v>3.4</v>
      </c>
      <c r="C162" s="18">
        <v>689.2</v>
      </c>
      <c r="D162" s="18">
        <v>102.4</v>
      </c>
      <c r="E162" s="18">
        <v>1.3</v>
      </c>
      <c r="F162" s="18">
        <v>7.1</v>
      </c>
      <c r="G162" s="18">
        <v>167.9</v>
      </c>
      <c r="H162" s="18">
        <v>199.9</v>
      </c>
      <c r="I162" s="18">
        <v>43</v>
      </c>
      <c r="J162" s="18">
        <v>113.5</v>
      </c>
      <c r="K162" s="18">
        <v>115.3</v>
      </c>
      <c r="L162" s="18">
        <v>77.7</v>
      </c>
      <c r="M162" s="18">
        <v>33.200000000000003</v>
      </c>
      <c r="N162" s="18">
        <f t="shared" si="69"/>
        <v>1553.9</v>
      </c>
      <c r="O162" s="3">
        <f t="shared" si="70"/>
        <v>419.20000000000005</v>
      </c>
      <c r="P162" s="87">
        <f t="shared" ref="P162:P168" si="71">E162+F162+G162+H162+I162+J162</f>
        <v>532.70000000000005</v>
      </c>
      <c r="Q162" s="87">
        <f>L162+M162+B163</f>
        <v>110.9</v>
      </c>
      <c r="R162" s="87">
        <f t="shared" ref="R162:R169" si="72">L162+M162+B163+C163+D163</f>
        <v>721.2</v>
      </c>
      <c r="S162" s="38"/>
    </row>
    <row r="163" spans="1:24" x14ac:dyDescent="0.2">
      <c r="A163" s="18" t="s">
        <v>33</v>
      </c>
      <c r="B163" s="18">
        <v>0</v>
      </c>
      <c r="C163" s="18">
        <v>137.69999999999999</v>
      </c>
      <c r="D163" s="18">
        <v>472.6</v>
      </c>
      <c r="E163" s="18">
        <v>67.7</v>
      </c>
      <c r="F163" s="18">
        <v>37.200000000000003</v>
      </c>
      <c r="G163" s="18">
        <v>68.099999999999994</v>
      </c>
      <c r="H163" s="18">
        <v>76.400000000000006</v>
      </c>
      <c r="I163" s="18">
        <v>154.19999999999999</v>
      </c>
      <c r="J163" s="18">
        <v>23.2</v>
      </c>
      <c r="K163" s="18">
        <v>23.9</v>
      </c>
      <c r="L163" s="18">
        <v>105.7</v>
      </c>
      <c r="M163" s="18">
        <v>69.5</v>
      </c>
      <c r="N163" s="18">
        <f t="shared" si="69"/>
        <v>1236.2000000000003</v>
      </c>
      <c r="O163" s="3">
        <f t="shared" si="70"/>
        <v>403.6</v>
      </c>
      <c r="P163" s="87">
        <f t="shared" si="71"/>
        <v>426.8</v>
      </c>
      <c r="Q163" s="87">
        <f t="shared" ref="Q163:Q170" si="73">L163+M163+B164</f>
        <v>175.2</v>
      </c>
      <c r="R163" s="87">
        <f t="shared" si="72"/>
        <v>181.5</v>
      </c>
      <c r="S163" s="38"/>
      <c r="V163" s="75"/>
    </row>
    <row r="164" spans="1:24" x14ac:dyDescent="0.2">
      <c r="A164" s="18" t="s">
        <v>34</v>
      </c>
      <c r="B164" s="18">
        <v>0</v>
      </c>
      <c r="C164" s="18">
        <v>0</v>
      </c>
      <c r="D164" s="18">
        <v>6.3</v>
      </c>
      <c r="E164" s="18">
        <v>2.4</v>
      </c>
      <c r="F164" s="18">
        <v>98.8</v>
      </c>
      <c r="G164" s="18">
        <v>118.3</v>
      </c>
      <c r="H164" s="18">
        <v>286.89999999999998</v>
      </c>
      <c r="I164" s="18">
        <v>38.9</v>
      </c>
      <c r="J164" s="18">
        <v>18.5</v>
      </c>
      <c r="K164" s="18">
        <v>0</v>
      </c>
      <c r="L164" s="18">
        <v>0</v>
      </c>
      <c r="M164" s="18">
        <v>0</v>
      </c>
      <c r="N164" s="18">
        <f t="shared" si="69"/>
        <v>570.1</v>
      </c>
      <c r="O164" s="3">
        <f t="shared" si="70"/>
        <v>545.29999999999995</v>
      </c>
      <c r="P164" s="87">
        <f t="shared" si="71"/>
        <v>563.79999999999995</v>
      </c>
      <c r="Q164" s="87">
        <f t="shared" si="73"/>
        <v>0</v>
      </c>
      <c r="R164" s="87">
        <f t="shared" si="72"/>
        <v>125.1</v>
      </c>
      <c r="S164" s="38"/>
      <c r="V164" s="75"/>
    </row>
    <row r="165" spans="1:24" x14ac:dyDescent="0.2">
      <c r="A165" s="18" t="s">
        <v>35</v>
      </c>
      <c r="B165" s="18">
        <v>0</v>
      </c>
      <c r="C165" s="18">
        <v>0</v>
      </c>
      <c r="D165" s="18">
        <v>125.1</v>
      </c>
      <c r="E165" s="18">
        <v>273.84199999999998</v>
      </c>
      <c r="F165" s="18">
        <v>21.773</v>
      </c>
      <c r="G165" s="18">
        <v>64.561999999999998</v>
      </c>
      <c r="H165" s="18">
        <v>106.88200000000001</v>
      </c>
      <c r="I165" s="18">
        <v>22.748000000000001</v>
      </c>
      <c r="J165" s="18">
        <v>1.6E-2</v>
      </c>
      <c r="K165" s="18">
        <v>0</v>
      </c>
      <c r="L165" s="18">
        <v>0</v>
      </c>
      <c r="M165" s="18">
        <v>0</v>
      </c>
      <c r="N165" s="18">
        <f t="shared" si="69"/>
        <v>614.92300000000012</v>
      </c>
      <c r="O165" s="3">
        <f t="shared" si="70"/>
        <v>489.80700000000002</v>
      </c>
      <c r="P165" s="87">
        <f t="shared" si="71"/>
        <v>489.82300000000004</v>
      </c>
      <c r="Q165" s="87">
        <f t="shared" si="73"/>
        <v>0</v>
      </c>
      <c r="R165" s="87">
        <f t="shared" si="72"/>
        <v>70.53</v>
      </c>
      <c r="S165" s="38"/>
      <c r="U165" s="75"/>
      <c r="V165" s="75"/>
      <c r="W165" s="75"/>
      <c r="X165" s="75"/>
    </row>
    <row r="166" spans="1:24" x14ac:dyDescent="0.2">
      <c r="A166" s="18" t="s">
        <v>37</v>
      </c>
      <c r="B166" s="18">
        <v>0</v>
      </c>
      <c r="C166" s="18">
        <v>19.198</v>
      </c>
      <c r="D166" s="18">
        <v>51.331999999999994</v>
      </c>
      <c r="E166" s="18">
        <v>53</v>
      </c>
      <c r="F166" s="18">
        <v>81.7</v>
      </c>
      <c r="G166" s="18">
        <v>154.80000000000001</v>
      </c>
      <c r="H166" s="18">
        <v>100.4</v>
      </c>
      <c r="I166" s="18">
        <v>41.4</v>
      </c>
      <c r="J166" s="18">
        <v>12</v>
      </c>
      <c r="K166" s="18">
        <v>11.9</v>
      </c>
      <c r="L166" s="18">
        <v>0.2</v>
      </c>
      <c r="M166" s="18">
        <v>0</v>
      </c>
      <c r="N166" s="18">
        <f t="shared" si="69"/>
        <v>525.93000000000006</v>
      </c>
      <c r="O166" s="3">
        <f t="shared" si="70"/>
        <v>431.29999999999995</v>
      </c>
      <c r="P166" s="87">
        <f>E166+F166+G166+H166+I166+J166</f>
        <v>443.29999999999995</v>
      </c>
      <c r="Q166" s="87">
        <f t="shared" si="73"/>
        <v>0.2</v>
      </c>
      <c r="R166" s="87">
        <f t="shared" si="72"/>
        <v>278.30799999999999</v>
      </c>
      <c r="S166" s="38"/>
      <c r="U166" s="75"/>
      <c r="V166" s="75"/>
      <c r="W166" s="75"/>
      <c r="X166" s="75"/>
    </row>
    <row r="167" spans="1:24" x14ac:dyDescent="0.2">
      <c r="A167" s="18" t="s">
        <v>39</v>
      </c>
      <c r="B167" s="18">
        <v>0</v>
      </c>
      <c r="C167" s="18">
        <v>208.13799999999998</v>
      </c>
      <c r="D167" s="18">
        <v>69.97</v>
      </c>
      <c r="E167" s="18">
        <v>83.591000000000008</v>
      </c>
      <c r="F167" s="18">
        <v>46.384</v>
      </c>
      <c r="G167" s="18">
        <v>18.143999999999998</v>
      </c>
      <c r="H167" s="18">
        <v>46.53</v>
      </c>
      <c r="I167" s="18">
        <v>35.207999999999998</v>
      </c>
      <c r="J167" s="18">
        <v>24.533999999999999</v>
      </c>
      <c r="K167" s="58">
        <v>11.178000000000001</v>
      </c>
      <c r="L167" s="58">
        <v>10.157999999999999</v>
      </c>
      <c r="M167" s="58">
        <v>0</v>
      </c>
      <c r="N167" s="18">
        <f t="shared" si="69"/>
        <v>553.83499999999992</v>
      </c>
      <c r="O167" s="3">
        <f t="shared" si="70"/>
        <v>229.85700000000003</v>
      </c>
      <c r="P167" s="87">
        <f t="shared" si="71"/>
        <v>254.39100000000002</v>
      </c>
      <c r="Q167" s="87">
        <f t="shared" si="73"/>
        <v>210.31800000000001</v>
      </c>
      <c r="R167" s="87">
        <f t="shared" si="72"/>
        <v>757.15899999999999</v>
      </c>
      <c r="S167" s="38"/>
      <c r="U167" s="75"/>
      <c r="V167" s="75"/>
      <c r="W167" s="75"/>
      <c r="X167" s="75"/>
    </row>
    <row r="168" spans="1:24" x14ac:dyDescent="0.2">
      <c r="A168" s="18" t="s">
        <v>40</v>
      </c>
      <c r="B168" s="62">
        <v>200.16000000000003</v>
      </c>
      <c r="C168" s="62">
        <v>355.06799999999998</v>
      </c>
      <c r="D168" s="18">
        <v>191.773</v>
      </c>
      <c r="E168" s="18">
        <v>249.39000000000001</v>
      </c>
      <c r="F168" s="18">
        <v>29.7</v>
      </c>
      <c r="G168" s="18">
        <v>19.161999999999999</v>
      </c>
      <c r="H168" s="18">
        <v>1.1160000000000001</v>
      </c>
      <c r="I168" s="18">
        <v>12.474</v>
      </c>
      <c r="J168" s="18">
        <v>5.4180000000000001</v>
      </c>
      <c r="K168" s="18">
        <v>21.87</v>
      </c>
      <c r="L168" s="18">
        <v>0</v>
      </c>
      <c r="M168" s="18">
        <v>0.126</v>
      </c>
      <c r="N168" s="18">
        <f t="shared" ref="N168:N179" si="74">SUM(B168:M168)</f>
        <v>1086.2569999999998</v>
      </c>
      <c r="O168" s="3">
        <f t="shared" si="70"/>
        <v>311.84199999999998</v>
      </c>
      <c r="P168" s="87">
        <f t="shared" si="71"/>
        <v>317.26</v>
      </c>
      <c r="Q168" s="87">
        <f t="shared" si="73"/>
        <v>178.19</v>
      </c>
      <c r="R168" s="87">
        <f t="shared" si="72"/>
        <v>388.48400000000004</v>
      </c>
      <c r="S168" s="38"/>
      <c r="U168" s="75"/>
      <c r="V168" s="75"/>
      <c r="W168" s="75"/>
      <c r="X168" s="75"/>
    </row>
    <row r="169" spans="1:24" x14ac:dyDescent="0.2">
      <c r="A169" s="18" t="s">
        <v>41</v>
      </c>
      <c r="B169" s="56">
        <v>178.06399999999999</v>
      </c>
      <c r="C169" s="56">
        <v>124.66800000000001</v>
      </c>
      <c r="D169" s="18">
        <v>85.626000000000005</v>
      </c>
      <c r="E169" s="18">
        <v>6.3719999999999999</v>
      </c>
      <c r="F169" s="18">
        <v>14.247999999999999</v>
      </c>
      <c r="G169" s="18">
        <v>47.124000000000002</v>
      </c>
      <c r="H169" s="18">
        <v>77.453999999999994</v>
      </c>
      <c r="I169" s="18">
        <v>93.238</v>
      </c>
      <c r="J169" s="18">
        <v>72.41</v>
      </c>
      <c r="K169" s="18">
        <v>65.034000000000006</v>
      </c>
      <c r="L169" s="18">
        <v>4.8600000000000003</v>
      </c>
      <c r="M169" s="18">
        <v>0</v>
      </c>
      <c r="N169" s="18">
        <f t="shared" si="74"/>
        <v>769.09799999999984</v>
      </c>
      <c r="O169" s="3">
        <f t="shared" si="70"/>
        <v>238.43599999999998</v>
      </c>
      <c r="P169" s="87">
        <f t="shared" ref="P169:P174" si="75">E169+F169+G169+H169+I169+J169</f>
        <v>310.846</v>
      </c>
      <c r="Q169" s="87">
        <f>L169+M169+B170</f>
        <v>437.178</v>
      </c>
      <c r="R169" s="87">
        <f t="shared" si="72"/>
        <v>612.51800000000003</v>
      </c>
      <c r="S169" s="38"/>
      <c r="U169" s="75"/>
      <c r="V169" s="75"/>
      <c r="W169" s="75"/>
      <c r="X169" s="75"/>
    </row>
    <row r="170" spans="1:24" x14ac:dyDescent="0.2">
      <c r="A170" s="18" t="s">
        <v>45</v>
      </c>
      <c r="B170" s="56">
        <v>432.31799999999998</v>
      </c>
      <c r="C170" s="56">
        <v>115.542</v>
      </c>
      <c r="D170" s="18">
        <v>59.798000000000002</v>
      </c>
      <c r="E170" s="18">
        <v>184.54400000000001</v>
      </c>
      <c r="F170" s="18">
        <v>34.786999999999999</v>
      </c>
      <c r="G170" s="18">
        <v>121.021</v>
      </c>
      <c r="H170" s="18">
        <v>201.749</v>
      </c>
      <c r="I170" s="18">
        <v>123.98399999999999</v>
      </c>
      <c r="J170" s="18">
        <v>302.84100000000001</v>
      </c>
      <c r="K170" s="18">
        <v>6.4619999999999997</v>
      </c>
      <c r="L170" s="18">
        <v>73.763999999999996</v>
      </c>
      <c r="M170" s="18">
        <v>0</v>
      </c>
      <c r="N170" s="18">
        <f t="shared" si="74"/>
        <v>1656.8099999999997</v>
      </c>
      <c r="O170" s="3">
        <f t="shared" si="70"/>
        <v>666.08500000000004</v>
      </c>
      <c r="P170" s="87">
        <f t="shared" si="75"/>
        <v>968.92600000000004</v>
      </c>
      <c r="Q170" s="87">
        <f t="shared" si="73"/>
        <v>86.31</v>
      </c>
      <c r="R170" s="87">
        <f t="shared" ref="R170:R178" si="76">L170+M170+B171+C171+D171</f>
        <v>1694.0340000000001</v>
      </c>
      <c r="S170" s="38"/>
      <c r="T170" s="64"/>
      <c r="U170" s="75"/>
      <c r="V170" s="75"/>
      <c r="W170" s="75"/>
      <c r="X170" s="75"/>
    </row>
    <row r="171" spans="1:24" x14ac:dyDescent="0.2">
      <c r="A171" s="42" t="s">
        <v>46</v>
      </c>
      <c r="B171" s="65">
        <v>12.545999999999999</v>
      </c>
      <c r="C171" s="65">
        <v>675.41199999999992</v>
      </c>
      <c r="D171" s="65">
        <v>932.31200000000001</v>
      </c>
      <c r="E171" s="65">
        <v>210.06799999999998</v>
      </c>
      <c r="F171" s="65">
        <v>246.31199999999998</v>
      </c>
      <c r="G171" s="65">
        <v>513.41200000000003</v>
      </c>
      <c r="H171" s="65">
        <v>551.26800000000003</v>
      </c>
      <c r="I171" s="65">
        <v>322.09199999999998</v>
      </c>
      <c r="J171" s="65">
        <v>123.026</v>
      </c>
      <c r="K171" s="65">
        <v>3.69</v>
      </c>
      <c r="L171" s="65">
        <v>0</v>
      </c>
      <c r="M171" s="65">
        <v>0</v>
      </c>
      <c r="N171" s="65">
        <f t="shared" si="74"/>
        <v>3590.1379999999999</v>
      </c>
      <c r="O171" s="3">
        <f t="shared" si="70"/>
        <v>1843.152</v>
      </c>
      <c r="P171" s="87">
        <f t="shared" si="75"/>
        <v>1966.1780000000001</v>
      </c>
      <c r="Q171" s="87">
        <f t="shared" ref="Q171:Q176" si="77">L171+M171+B172</f>
        <v>2.0699999999999998</v>
      </c>
      <c r="R171" s="87">
        <f t="shared" si="76"/>
        <v>2.0699999999999998</v>
      </c>
      <c r="S171" s="38"/>
      <c r="U171" s="75"/>
      <c r="V171" s="75"/>
      <c r="W171" s="75"/>
      <c r="X171" s="75"/>
    </row>
    <row r="172" spans="1:24" x14ac:dyDescent="0.2">
      <c r="A172" s="18" t="s">
        <v>56</v>
      </c>
      <c r="B172" s="66">
        <v>2.0699999999999998</v>
      </c>
      <c r="C172" s="66">
        <v>0</v>
      </c>
      <c r="D172" s="65">
        <v>0</v>
      </c>
      <c r="E172" s="65">
        <v>0.89600000000000002</v>
      </c>
      <c r="F172" s="65">
        <v>118.008</v>
      </c>
      <c r="G172" s="65">
        <v>85.266000000000005</v>
      </c>
      <c r="H172" s="65">
        <v>167.00399999999999</v>
      </c>
      <c r="I172" s="65">
        <v>83.195999999999998</v>
      </c>
      <c r="J172" s="65">
        <v>5.6159999999999997</v>
      </c>
      <c r="K172" s="65">
        <v>7.74</v>
      </c>
      <c r="L172" s="65">
        <v>135.96299999999999</v>
      </c>
      <c r="M172" s="65">
        <v>1.1879999999999999</v>
      </c>
      <c r="N172" s="65">
        <f t="shared" si="74"/>
        <v>606.947</v>
      </c>
      <c r="O172" s="3">
        <f t="shared" si="70"/>
        <v>454.37</v>
      </c>
      <c r="P172" s="87">
        <f t="shared" si="75"/>
        <v>459.98599999999999</v>
      </c>
      <c r="Q172" s="87">
        <f t="shared" si="77"/>
        <v>137.34899999999999</v>
      </c>
      <c r="R172" s="87">
        <f t="shared" si="76"/>
        <v>645.96199999999999</v>
      </c>
      <c r="U172" s="75"/>
      <c r="V172" s="75"/>
      <c r="W172" s="75"/>
      <c r="X172" s="75"/>
    </row>
    <row r="173" spans="1:24" x14ac:dyDescent="0.2">
      <c r="A173" s="18" t="s">
        <v>92</v>
      </c>
      <c r="B173" s="18">
        <v>0.19800000000000001</v>
      </c>
      <c r="C173" s="18">
        <v>486.07400000000001</v>
      </c>
      <c r="D173" s="18">
        <v>22.539000000000001</v>
      </c>
      <c r="E173" s="18">
        <v>1.08</v>
      </c>
      <c r="F173" s="18">
        <v>15.622</v>
      </c>
      <c r="G173" s="18">
        <v>532.92000000000007</v>
      </c>
      <c r="H173" s="18">
        <v>515.48199999999997</v>
      </c>
      <c r="I173" s="18">
        <v>154.32799999999997</v>
      </c>
      <c r="J173" s="18">
        <v>105.253</v>
      </c>
      <c r="K173" s="18">
        <v>102.24</v>
      </c>
      <c r="L173" s="18">
        <v>2.34</v>
      </c>
      <c r="M173" s="18">
        <v>0</v>
      </c>
      <c r="N173" s="65">
        <f t="shared" si="74"/>
        <v>1938.0759999999998</v>
      </c>
      <c r="O173" s="3">
        <f t="shared" si="70"/>
        <v>1219.432</v>
      </c>
      <c r="P173" s="87">
        <f t="shared" si="75"/>
        <v>1324.6849999999999</v>
      </c>
      <c r="Q173" s="87">
        <f t="shared" si="77"/>
        <v>2.34</v>
      </c>
      <c r="R173" s="87">
        <f t="shared" si="76"/>
        <v>3.87</v>
      </c>
      <c r="U173" s="75"/>
      <c r="V173" s="75"/>
      <c r="W173" s="75"/>
      <c r="X173" s="75"/>
    </row>
    <row r="174" spans="1:24" x14ac:dyDescent="0.2">
      <c r="A174" s="18" t="s">
        <v>103</v>
      </c>
      <c r="B174" s="18">
        <v>0</v>
      </c>
      <c r="C174" s="18">
        <v>1.53</v>
      </c>
      <c r="D174" s="56">
        <v>0</v>
      </c>
      <c r="E174" s="18">
        <v>5.8680000000000003</v>
      </c>
      <c r="F174" s="18">
        <v>354.58000000000004</v>
      </c>
      <c r="G174" s="18">
        <v>239.57999999999998</v>
      </c>
      <c r="H174" s="18">
        <v>152.72400000000002</v>
      </c>
      <c r="I174" s="18">
        <v>262.81400000000002</v>
      </c>
      <c r="J174" s="18">
        <v>61.747999999999998</v>
      </c>
      <c r="K174" s="18">
        <v>11.280000000000001</v>
      </c>
      <c r="L174" s="18">
        <v>7.1260000000000003</v>
      </c>
      <c r="M174" s="18">
        <v>4.3920000000000003</v>
      </c>
      <c r="N174" s="65">
        <f t="shared" si="74"/>
        <v>1101.6420000000001</v>
      </c>
      <c r="O174" s="3">
        <f t="shared" ref="O174:O179" si="78">E174+F174+G174+H174+I174</f>
        <v>1015.566</v>
      </c>
      <c r="P174" s="87">
        <f t="shared" si="75"/>
        <v>1077.3140000000001</v>
      </c>
      <c r="Q174" s="87">
        <f t="shared" si="77"/>
        <v>18.052</v>
      </c>
      <c r="R174" s="87">
        <f t="shared" si="76"/>
        <v>83.949999999999989</v>
      </c>
      <c r="U174" s="75"/>
      <c r="V174" s="75"/>
      <c r="W174" s="75"/>
      <c r="X174" s="75"/>
    </row>
    <row r="175" spans="1:24" x14ac:dyDescent="0.2">
      <c r="A175" s="18" t="s">
        <v>121</v>
      </c>
      <c r="B175" s="18">
        <v>6.5339999999999998</v>
      </c>
      <c r="C175" s="18">
        <v>8.3879999999999999</v>
      </c>
      <c r="D175" s="56">
        <v>57.51</v>
      </c>
      <c r="E175" s="18">
        <v>224.39699999999999</v>
      </c>
      <c r="F175" s="18">
        <v>33.865000000000002</v>
      </c>
      <c r="G175" s="18">
        <v>130.18600000000001</v>
      </c>
      <c r="H175" s="18">
        <v>145.67599999999999</v>
      </c>
      <c r="I175" s="18">
        <v>30.345000000000002</v>
      </c>
      <c r="J175" s="18">
        <v>311.61099999999999</v>
      </c>
      <c r="K175" s="18">
        <v>177.69299999999998</v>
      </c>
      <c r="L175" s="18">
        <v>63.787999999999997</v>
      </c>
      <c r="M175" s="18">
        <v>6.7679999999999998</v>
      </c>
      <c r="N175" s="65">
        <f t="shared" si="74"/>
        <v>1196.761</v>
      </c>
      <c r="O175" s="3">
        <f t="shared" si="78"/>
        <v>564.46900000000005</v>
      </c>
      <c r="P175" s="87">
        <f t="shared" ref="P175:P180" si="79">E175+F175+G175+H175+I175+J175</f>
        <v>876.08</v>
      </c>
      <c r="Q175" s="87">
        <f>L175+M175+B176</f>
        <v>72.823999999999998</v>
      </c>
      <c r="R175" s="87">
        <f t="shared" si="76"/>
        <v>124.786</v>
      </c>
      <c r="U175" s="75"/>
      <c r="V175" s="75"/>
      <c r="W175" s="75"/>
      <c r="X175" s="75"/>
    </row>
    <row r="176" spans="1:24" x14ac:dyDescent="0.2">
      <c r="A176" s="18" t="s">
        <v>129</v>
      </c>
      <c r="B176" s="18">
        <v>2.2679999999999998</v>
      </c>
      <c r="C176" s="18">
        <v>1.6739999999999999</v>
      </c>
      <c r="D176" s="56">
        <v>50.287999999999997</v>
      </c>
      <c r="E176" s="18">
        <v>38.826000000000001</v>
      </c>
      <c r="F176" s="18">
        <v>455.98599999999999</v>
      </c>
      <c r="G176" s="18">
        <v>1382.2930000000001</v>
      </c>
      <c r="H176" s="18">
        <v>662.51699999999994</v>
      </c>
      <c r="I176" s="18">
        <v>393.55</v>
      </c>
      <c r="J176" s="18">
        <v>171.858</v>
      </c>
      <c r="K176" s="18">
        <v>207.64800000000002</v>
      </c>
      <c r="L176" s="18">
        <v>8.5820000000000007</v>
      </c>
      <c r="M176" s="18">
        <v>13.401</v>
      </c>
      <c r="N176" s="65">
        <f t="shared" si="74"/>
        <v>3388.8910000000001</v>
      </c>
      <c r="O176" s="3">
        <f t="shared" si="78"/>
        <v>2933.172</v>
      </c>
      <c r="P176" s="87">
        <f t="shared" si="79"/>
        <v>3105.03</v>
      </c>
      <c r="Q176" s="87">
        <f t="shared" si="77"/>
        <v>41.567</v>
      </c>
      <c r="R176" s="87">
        <f t="shared" si="76"/>
        <v>339.07600000000002</v>
      </c>
      <c r="U176" s="75"/>
      <c r="V176" s="75"/>
      <c r="W176" s="75"/>
      <c r="X176" s="75"/>
    </row>
    <row r="177" spans="1:24" x14ac:dyDescent="0.2">
      <c r="A177" s="18" t="s">
        <v>136</v>
      </c>
      <c r="B177" s="18">
        <v>19.584</v>
      </c>
      <c r="C177" s="18">
        <v>145.11199999999999</v>
      </c>
      <c r="D177" s="56">
        <v>152.39699999999999</v>
      </c>
      <c r="E177" s="18">
        <v>21.654</v>
      </c>
      <c r="F177" s="18">
        <v>76.783999999999992</v>
      </c>
      <c r="G177" s="18">
        <v>692.77300000000002</v>
      </c>
      <c r="H177" s="18">
        <v>788.30799999999999</v>
      </c>
      <c r="I177" s="18">
        <v>685.01800000000003</v>
      </c>
      <c r="J177" s="18">
        <v>1238.625</v>
      </c>
      <c r="K177" s="18">
        <v>2462.8450000000003</v>
      </c>
      <c r="L177" s="18">
        <v>1866.7929999999999</v>
      </c>
      <c r="M177" s="18">
        <v>1996.252</v>
      </c>
      <c r="N177" s="65">
        <f t="shared" si="74"/>
        <v>10146.145</v>
      </c>
      <c r="O177" s="3">
        <f t="shared" si="78"/>
        <v>2264.5370000000003</v>
      </c>
      <c r="P177" s="87">
        <f t="shared" si="79"/>
        <v>3503.1620000000003</v>
      </c>
      <c r="Q177" s="87">
        <f>L177+M177+B178</f>
        <v>4048.1390000000001</v>
      </c>
      <c r="R177" s="87">
        <f t="shared" si="76"/>
        <v>4145.2669999999998</v>
      </c>
      <c r="U177" s="75"/>
      <c r="V177" s="75"/>
      <c r="W177" s="75"/>
      <c r="X177" s="75"/>
    </row>
    <row r="178" spans="1:24" x14ac:dyDescent="0.2">
      <c r="A178" s="18" t="s">
        <v>140</v>
      </c>
      <c r="B178" s="18">
        <v>185.09399999999999</v>
      </c>
      <c r="C178" s="18">
        <v>23.417999999999999</v>
      </c>
      <c r="D178" s="56">
        <v>73.709999999999994</v>
      </c>
      <c r="E178" s="18">
        <v>101.916</v>
      </c>
      <c r="F178" s="18">
        <v>113.43600000000001</v>
      </c>
      <c r="G178" s="18">
        <v>617.85900000000004</v>
      </c>
      <c r="H178" s="18">
        <v>664.5630000000001</v>
      </c>
      <c r="I178" s="18">
        <v>586.62199999999996</v>
      </c>
      <c r="J178" s="18">
        <v>212.935</v>
      </c>
      <c r="K178" s="18">
        <v>35.676000000000002</v>
      </c>
      <c r="L178" s="18">
        <v>497.09100000000001</v>
      </c>
      <c r="M178" s="18">
        <v>498.93299999999999</v>
      </c>
      <c r="N178" s="65">
        <f t="shared" si="74"/>
        <v>3611.2529999999997</v>
      </c>
      <c r="O178" s="3">
        <f t="shared" si="78"/>
        <v>2084.3960000000002</v>
      </c>
      <c r="P178" s="87">
        <f t="shared" si="79"/>
        <v>2297.3310000000001</v>
      </c>
      <c r="Q178" s="87">
        <f>L178+M178+B179</f>
        <v>1733.403</v>
      </c>
      <c r="R178" s="87">
        <f t="shared" si="76"/>
        <v>3177.3589999999999</v>
      </c>
      <c r="U178" s="75"/>
      <c r="V178" s="75"/>
      <c r="W178" s="75"/>
      <c r="X178" s="75"/>
    </row>
    <row r="179" spans="1:24" x14ac:dyDescent="0.2">
      <c r="A179" s="18" t="s">
        <v>143</v>
      </c>
      <c r="B179" s="18">
        <v>737.37900000000002</v>
      </c>
      <c r="C179" s="18">
        <v>398.12200000000001</v>
      </c>
      <c r="D179" s="56">
        <v>1045.8339999999998</v>
      </c>
      <c r="E179" s="18">
        <v>520.66800000000001</v>
      </c>
      <c r="F179" s="18">
        <v>389.05000000000007</v>
      </c>
      <c r="G179" s="18">
        <v>658.11900000000003</v>
      </c>
      <c r="H179" s="18">
        <v>767.42000000000007</v>
      </c>
      <c r="I179" s="18">
        <v>250.25</v>
      </c>
      <c r="J179" s="18">
        <v>408.00200000000001</v>
      </c>
      <c r="K179" s="18">
        <v>431.476</v>
      </c>
      <c r="L179" s="18">
        <v>224.83600000000001</v>
      </c>
      <c r="M179" s="18">
        <v>255.154</v>
      </c>
      <c r="N179" s="65">
        <f t="shared" si="74"/>
        <v>6086.3100000000013</v>
      </c>
      <c r="O179" s="3">
        <f t="shared" si="78"/>
        <v>2585.5070000000001</v>
      </c>
      <c r="P179" s="87">
        <f t="shared" si="79"/>
        <v>2993.509</v>
      </c>
      <c r="Q179" s="87">
        <f>L179+M179+B180</f>
        <v>498.01</v>
      </c>
      <c r="R179" s="87">
        <f>L179+M179+B180+C180+D180</f>
        <v>1278.7550000000001</v>
      </c>
      <c r="U179" s="75"/>
      <c r="V179" s="75"/>
      <c r="W179" s="75"/>
      <c r="X179" s="75"/>
    </row>
    <row r="180" spans="1:24" x14ac:dyDescent="0.2">
      <c r="A180" s="18" t="s">
        <v>149</v>
      </c>
      <c r="B180" s="18">
        <v>18.02</v>
      </c>
      <c r="C180" s="18">
        <v>170.67599999999999</v>
      </c>
      <c r="D180" s="56">
        <v>610.06900000000007</v>
      </c>
      <c r="E180" s="18">
        <v>286.05699999999996</v>
      </c>
      <c r="F180" s="18">
        <v>821.78</v>
      </c>
      <c r="G180" s="18">
        <v>622.202</v>
      </c>
      <c r="H180" s="18">
        <v>697.24800000000005</v>
      </c>
      <c r="I180" s="18">
        <v>121.752</v>
      </c>
      <c r="J180" s="63">
        <v>12.337999999999999</v>
      </c>
      <c r="K180" s="63">
        <v>1.101</v>
      </c>
      <c r="L180" s="63">
        <v>0</v>
      </c>
      <c r="M180" s="63">
        <v>0</v>
      </c>
      <c r="N180" s="65">
        <f>SUM(B180:M180)</f>
        <v>3361.2430000000004</v>
      </c>
      <c r="O180" s="3">
        <f>E180+F180+G180+H180+I180</f>
        <v>2549.0390000000002</v>
      </c>
      <c r="P180" s="87">
        <f t="shared" si="79"/>
        <v>2561.3770000000004</v>
      </c>
      <c r="Q180" s="168">
        <f>L180+M180+B181</f>
        <v>0</v>
      </c>
      <c r="R180" s="168">
        <f>L180+M180+B181+C181+D181</f>
        <v>0</v>
      </c>
      <c r="U180" s="75"/>
      <c r="V180" s="75"/>
      <c r="W180" s="75"/>
      <c r="X180" s="75"/>
    </row>
    <row r="181" spans="1:24" x14ac:dyDescent="0.2">
      <c r="A181" s="18" t="s">
        <v>158</v>
      </c>
      <c r="B181" s="183">
        <v>0</v>
      </c>
      <c r="C181" s="18">
        <v>0</v>
      </c>
      <c r="D181" s="18">
        <v>0</v>
      </c>
      <c r="E181" s="18">
        <v>268.38</v>
      </c>
      <c r="F181" s="18">
        <v>111.587</v>
      </c>
      <c r="G181" s="18">
        <v>540.77500000000009</v>
      </c>
      <c r="H181" s="18">
        <v>193.28800000000001</v>
      </c>
      <c r="I181" s="18">
        <v>63.36</v>
      </c>
      <c r="J181" s="18">
        <v>35.567999999999998</v>
      </c>
      <c r="K181" s="18"/>
      <c r="L181" s="18"/>
      <c r="M181" s="18"/>
      <c r="N181" s="18">
        <f>SUM(B181:M181)</f>
        <v>1212.9580000000001</v>
      </c>
      <c r="O181" s="3">
        <f>E181+F181+G181+H181+I181</f>
        <v>1177.3900000000001</v>
      </c>
      <c r="P181" s="87">
        <f t="shared" ref="P181" si="80">E181+F181+G181+H181+I181+J181</f>
        <v>1212.9580000000001</v>
      </c>
      <c r="Q181" s="87"/>
      <c r="R181" s="87"/>
      <c r="U181" s="75"/>
      <c r="V181" s="75"/>
      <c r="W181" s="75"/>
      <c r="X181" s="75"/>
    </row>
    <row r="182" spans="1:24" x14ac:dyDescent="0.2">
      <c r="A182" s="54"/>
      <c r="B182" s="67"/>
      <c r="C182" s="67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24">
        <f>AVERAGE(O176:O180)</f>
        <v>2483.3302000000003</v>
      </c>
      <c r="P182" s="24">
        <f>AVERAGE(P176:P180)</f>
        <v>2892.0818000000004</v>
      </c>
      <c r="Q182" s="24">
        <f>AVERAGE(Q176:Q180)</f>
        <v>1264.2238000000002</v>
      </c>
      <c r="R182" s="24">
        <f>AVERAGE(R176:R180)</f>
        <v>1788.0913999999998</v>
      </c>
      <c r="U182" s="75"/>
      <c r="V182" s="75"/>
      <c r="W182" s="75"/>
    </row>
    <row r="183" spans="1:24" x14ac:dyDescent="0.2">
      <c r="A183" s="71" t="s">
        <v>117</v>
      </c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24" x14ac:dyDescent="0.2">
      <c r="A184" s="42"/>
      <c r="B184" s="42" t="s">
        <v>4</v>
      </c>
      <c r="C184" s="42" t="s">
        <v>5</v>
      </c>
      <c r="D184" s="42" t="s">
        <v>6</v>
      </c>
      <c r="E184" s="42" t="s">
        <v>7</v>
      </c>
      <c r="F184" s="42" t="s">
        <v>8</v>
      </c>
      <c r="G184" s="42" t="s">
        <v>9</v>
      </c>
      <c r="H184" s="42" t="s">
        <v>10</v>
      </c>
      <c r="I184" s="42" t="s">
        <v>11</v>
      </c>
      <c r="J184" s="42" t="s">
        <v>12</v>
      </c>
      <c r="K184" s="42" t="s">
        <v>13</v>
      </c>
      <c r="L184" s="42" t="s">
        <v>14</v>
      </c>
      <c r="M184" s="42" t="s">
        <v>15</v>
      </c>
      <c r="N184" s="42" t="s">
        <v>16</v>
      </c>
      <c r="O184" s="1" t="s">
        <v>43</v>
      </c>
    </row>
    <row r="185" spans="1:24" x14ac:dyDescent="0.2">
      <c r="A185" s="42" t="s">
        <v>17</v>
      </c>
      <c r="B185" s="42">
        <f t="shared" ref="B185:M185" si="81">B155+B125+B95+B65+B35+B5</f>
        <v>1852.4950000000001</v>
      </c>
      <c r="C185" s="42">
        <f t="shared" si="81"/>
        <v>927.98500000000001</v>
      </c>
      <c r="D185" s="42">
        <f t="shared" si="81"/>
        <v>585.70000000000005</v>
      </c>
      <c r="E185" s="42">
        <f t="shared" si="81"/>
        <v>998.21500000000003</v>
      </c>
      <c r="F185" s="42">
        <f t="shared" si="81"/>
        <v>1212.4850000000001</v>
      </c>
      <c r="G185" s="42">
        <f t="shared" si="81"/>
        <v>1937.2329999999999</v>
      </c>
      <c r="H185" s="42">
        <f t="shared" si="81"/>
        <v>2063.27</v>
      </c>
      <c r="I185" s="42">
        <f t="shared" si="81"/>
        <v>1444.8459999999998</v>
      </c>
      <c r="J185" s="42">
        <f t="shared" si="81"/>
        <v>846.24</v>
      </c>
      <c r="K185" s="42">
        <f t="shared" si="81"/>
        <v>747.00499999999988</v>
      </c>
      <c r="L185" s="42">
        <f t="shared" si="81"/>
        <v>3434.085</v>
      </c>
      <c r="M185" s="42">
        <f t="shared" si="81"/>
        <v>1649.846</v>
      </c>
      <c r="N185" s="42">
        <f>SUM(B185:M185)</f>
        <v>17699.405000000002</v>
      </c>
      <c r="O185" s="3">
        <f t="shared" ref="O185:O203" si="82">E185+F185+G185+H185+I185</f>
        <v>7656.0489999999991</v>
      </c>
    </row>
    <row r="186" spans="1:24" x14ac:dyDescent="0.2">
      <c r="A186" s="42" t="s">
        <v>18</v>
      </c>
      <c r="B186" s="42">
        <f t="shared" ref="B186:M186" si="83">B156+B126+B96+B66+B36+B6</f>
        <v>510.03499999999997</v>
      </c>
      <c r="C186" s="42">
        <f t="shared" si="83"/>
        <v>478.27</v>
      </c>
      <c r="D186" s="42">
        <f t="shared" si="83"/>
        <v>261.58300000000003</v>
      </c>
      <c r="E186" s="42">
        <f t="shared" si="83"/>
        <v>985.03300000000002</v>
      </c>
      <c r="F186" s="42">
        <f t="shared" si="83"/>
        <v>1185.0300000000002</v>
      </c>
      <c r="G186" s="42">
        <f t="shared" si="83"/>
        <v>2411.4879999999998</v>
      </c>
      <c r="H186" s="42">
        <f t="shared" si="83"/>
        <v>1314.9449999999999</v>
      </c>
      <c r="I186" s="42">
        <f t="shared" si="83"/>
        <v>1278.713</v>
      </c>
      <c r="J186" s="42">
        <f t="shared" si="83"/>
        <v>1225.5230000000001</v>
      </c>
      <c r="K186" s="42">
        <f t="shared" si="83"/>
        <v>1275.7150000000001</v>
      </c>
      <c r="L186" s="42">
        <f t="shared" si="83"/>
        <v>1609.88</v>
      </c>
      <c r="M186" s="42">
        <f t="shared" si="83"/>
        <v>2117.6949999999997</v>
      </c>
      <c r="N186" s="42">
        <f t="shared" ref="N186:N201" si="84">SUM(B186:M186)</f>
        <v>14653.91</v>
      </c>
      <c r="O186" s="3">
        <f t="shared" si="82"/>
        <v>7175.2089999999989</v>
      </c>
    </row>
    <row r="187" spans="1:24" x14ac:dyDescent="0.2">
      <c r="A187" s="42" t="s">
        <v>19</v>
      </c>
      <c r="B187" s="42">
        <f t="shared" ref="B187:M187" si="85">B157+B127+B97+B67+B37+B7</f>
        <v>2093.87</v>
      </c>
      <c r="C187" s="42">
        <f t="shared" si="85"/>
        <v>137.97999999999999</v>
      </c>
      <c r="D187" s="42">
        <f t="shared" si="85"/>
        <v>132.833</v>
      </c>
      <c r="E187" s="42">
        <f t="shared" si="85"/>
        <v>294.08</v>
      </c>
      <c r="F187" s="42">
        <f t="shared" si="85"/>
        <v>556.47</v>
      </c>
      <c r="G187" s="42">
        <f t="shared" si="85"/>
        <v>626.67999999999995</v>
      </c>
      <c r="H187" s="42">
        <f t="shared" si="85"/>
        <v>1092.2550000000001</v>
      </c>
      <c r="I187" s="42">
        <f t="shared" si="85"/>
        <v>1011.0980000000001</v>
      </c>
      <c r="J187" s="42">
        <f t="shared" si="85"/>
        <v>388.12799999999999</v>
      </c>
      <c r="K187" s="42">
        <f t="shared" si="85"/>
        <v>1885.7249999999999</v>
      </c>
      <c r="L187" s="42">
        <f t="shared" si="85"/>
        <v>1439.2350000000001</v>
      </c>
      <c r="M187" s="42">
        <f t="shared" si="85"/>
        <v>523.505</v>
      </c>
      <c r="N187" s="42">
        <f t="shared" si="84"/>
        <v>10181.858999999999</v>
      </c>
      <c r="O187" s="3">
        <f t="shared" si="82"/>
        <v>3580.5830000000001</v>
      </c>
    </row>
    <row r="188" spans="1:24" x14ac:dyDescent="0.2">
      <c r="A188" s="42" t="s">
        <v>20</v>
      </c>
      <c r="B188" s="42">
        <f t="shared" ref="B188:M188" si="86">B158+B128+B98+B68+B38+B8</f>
        <v>113.38499999999999</v>
      </c>
      <c r="C188" s="42">
        <f t="shared" si="86"/>
        <v>234.245</v>
      </c>
      <c r="D188" s="42">
        <f t="shared" si="86"/>
        <v>1394.7149999999999</v>
      </c>
      <c r="E188" s="42">
        <f t="shared" si="86"/>
        <v>938.76300000000003</v>
      </c>
      <c r="F188" s="42">
        <f t="shared" si="86"/>
        <v>374.54800000000006</v>
      </c>
      <c r="G188" s="42">
        <f t="shared" si="86"/>
        <v>2285.9059999999999</v>
      </c>
      <c r="H188" s="42">
        <f t="shared" si="86"/>
        <v>2562.6309999999999</v>
      </c>
      <c r="I188" s="42">
        <f t="shared" si="86"/>
        <v>2812.625</v>
      </c>
      <c r="J188" s="42">
        <f t="shared" si="86"/>
        <v>706.13299999999992</v>
      </c>
      <c r="K188" s="42">
        <f t="shared" si="86"/>
        <v>717.81</v>
      </c>
      <c r="L188" s="42">
        <f t="shared" si="86"/>
        <v>1916.9399999999998</v>
      </c>
      <c r="M188" s="42">
        <f t="shared" si="86"/>
        <v>1794.3</v>
      </c>
      <c r="N188" s="42">
        <f t="shared" si="84"/>
        <v>15852.000999999998</v>
      </c>
      <c r="O188" s="3">
        <f t="shared" si="82"/>
        <v>8974.473</v>
      </c>
    </row>
    <row r="189" spans="1:24" x14ac:dyDescent="0.2">
      <c r="A189" s="42" t="s">
        <v>21</v>
      </c>
      <c r="B189" s="42">
        <f t="shared" ref="B189:M189" si="87">B159+B129+B99+B69+B39+B9</f>
        <v>2335.3599999999997</v>
      </c>
      <c r="C189" s="42">
        <f t="shared" si="87"/>
        <v>4700.472999999999</v>
      </c>
      <c r="D189" s="42">
        <f t="shared" si="87"/>
        <v>1179.25</v>
      </c>
      <c r="E189" s="42">
        <f t="shared" si="87"/>
        <v>785.755</v>
      </c>
      <c r="F189" s="42">
        <f t="shared" si="87"/>
        <v>602.15300000000013</v>
      </c>
      <c r="G189" s="42">
        <f t="shared" si="87"/>
        <v>3201.3809999999999</v>
      </c>
      <c r="H189" s="42">
        <f t="shared" si="87"/>
        <v>5068.1950000000006</v>
      </c>
      <c r="I189" s="42">
        <f t="shared" si="87"/>
        <v>2467.9630000000002</v>
      </c>
      <c r="J189" s="42">
        <f t="shared" si="87"/>
        <v>1392.5150000000001</v>
      </c>
      <c r="K189" s="42">
        <f t="shared" si="87"/>
        <v>806.4</v>
      </c>
      <c r="L189" s="42">
        <f t="shared" si="87"/>
        <v>638.9</v>
      </c>
      <c r="M189" s="42">
        <f t="shared" si="87"/>
        <v>116.52000000000001</v>
      </c>
      <c r="N189" s="42">
        <f t="shared" si="84"/>
        <v>23294.865000000002</v>
      </c>
      <c r="O189" s="3">
        <f t="shared" si="82"/>
        <v>12125.447</v>
      </c>
    </row>
    <row r="190" spans="1:24" x14ac:dyDescent="0.2">
      <c r="A190" s="42" t="s">
        <v>22</v>
      </c>
      <c r="B190" s="42">
        <f t="shared" ref="B190:M190" si="88">B160+B130+B100+B70+B40+B10</f>
        <v>36.354999999999997</v>
      </c>
      <c r="C190" s="42">
        <f t="shared" si="88"/>
        <v>220.81</v>
      </c>
      <c r="D190" s="42">
        <f t="shared" si="88"/>
        <v>985.36500000000001</v>
      </c>
      <c r="E190" s="42">
        <f t="shared" si="88"/>
        <v>253.33800000000002</v>
      </c>
      <c r="F190" s="42">
        <f t="shared" si="88"/>
        <v>314.8</v>
      </c>
      <c r="G190" s="42">
        <f t="shared" si="88"/>
        <v>4584.0760000000009</v>
      </c>
      <c r="H190" s="42">
        <f t="shared" si="88"/>
        <v>5863.8249999999998</v>
      </c>
      <c r="I190" s="42">
        <f t="shared" si="88"/>
        <v>3114.89</v>
      </c>
      <c r="J190" s="42">
        <f t="shared" si="88"/>
        <v>545.803</v>
      </c>
      <c r="K190" s="42">
        <f t="shared" si="88"/>
        <v>931.94500000000005</v>
      </c>
      <c r="L190" s="42">
        <f t="shared" si="88"/>
        <v>4379.99</v>
      </c>
      <c r="M190" s="42">
        <f t="shared" si="88"/>
        <v>1753.0550000000003</v>
      </c>
      <c r="N190" s="42">
        <f t="shared" si="84"/>
        <v>22984.252</v>
      </c>
      <c r="O190" s="3">
        <f t="shared" si="82"/>
        <v>14130.929</v>
      </c>
      <c r="P190" s="40" t="s">
        <v>44</v>
      </c>
      <c r="Q190" s="40" t="s">
        <v>83</v>
      </c>
      <c r="R190" s="40" t="s">
        <v>42</v>
      </c>
    </row>
    <row r="191" spans="1:24" x14ac:dyDescent="0.2">
      <c r="A191" s="42" t="s">
        <v>23</v>
      </c>
      <c r="B191" s="42">
        <f t="shared" ref="B191:M191" si="89">B161+B131+B101+B71+B41+B11</f>
        <v>233.52000000000004</v>
      </c>
      <c r="C191" s="42">
        <f t="shared" si="89"/>
        <v>1428.1529999999998</v>
      </c>
      <c r="D191" s="42">
        <f t="shared" si="89"/>
        <v>2389.585</v>
      </c>
      <c r="E191" s="42">
        <f t="shared" si="89"/>
        <v>2035.34</v>
      </c>
      <c r="F191" s="42">
        <f t="shared" si="89"/>
        <v>1298.4830000000002</v>
      </c>
      <c r="G191" s="42">
        <f t="shared" si="89"/>
        <v>2174.56</v>
      </c>
      <c r="H191" s="42">
        <f t="shared" si="89"/>
        <v>4781.95</v>
      </c>
      <c r="I191" s="42">
        <f t="shared" si="89"/>
        <v>2644.52</v>
      </c>
      <c r="J191" s="42">
        <f t="shared" si="89"/>
        <v>778.16</v>
      </c>
      <c r="K191" s="42">
        <f t="shared" si="89"/>
        <v>499.67500000000007</v>
      </c>
      <c r="L191" s="42">
        <f t="shared" si="89"/>
        <v>974.38000000000011</v>
      </c>
      <c r="M191" s="42">
        <f t="shared" si="89"/>
        <v>1078.32</v>
      </c>
      <c r="N191" s="42">
        <f t="shared" si="84"/>
        <v>20316.646000000001</v>
      </c>
      <c r="O191" s="3">
        <f t="shared" si="82"/>
        <v>12934.852999999999</v>
      </c>
      <c r="P191" s="38">
        <f>E191+F191+G191+H191+I191+J191</f>
        <v>13713.012999999999</v>
      </c>
      <c r="Q191" s="40">
        <f>L191+M191+B192</f>
        <v>2573.14</v>
      </c>
      <c r="R191" s="40">
        <f t="shared" ref="R191:R198" si="90">L191+M191+B192+C192+D192</f>
        <v>5192.1080000000002</v>
      </c>
    </row>
    <row r="192" spans="1:24" x14ac:dyDescent="0.2">
      <c r="A192" s="42" t="s">
        <v>32</v>
      </c>
      <c r="B192" s="42">
        <f t="shared" ref="B192:M192" si="91">B162+B132+B102+B72+B42+B12</f>
        <v>520.44000000000005</v>
      </c>
      <c r="C192" s="42">
        <f t="shared" si="91"/>
        <v>1323.9700000000003</v>
      </c>
      <c r="D192" s="42">
        <f t="shared" si="91"/>
        <v>1294.998</v>
      </c>
      <c r="E192" s="42">
        <f t="shared" si="91"/>
        <v>210.458</v>
      </c>
      <c r="F192" s="42">
        <f t="shared" si="91"/>
        <v>3311.2180000000003</v>
      </c>
      <c r="G192" s="42">
        <f t="shared" si="91"/>
        <v>5933.5620000000008</v>
      </c>
      <c r="H192" s="42">
        <f t="shared" si="91"/>
        <v>3881.33</v>
      </c>
      <c r="I192" s="42">
        <f t="shared" si="91"/>
        <v>1554.421</v>
      </c>
      <c r="J192" s="42">
        <f t="shared" si="91"/>
        <v>994.21299999999997</v>
      </c>
      <c r="K192" s="42">
        <f t="shared" si="91"/>
        <v>260</v>
      </c>
      <c r="L192" s="42">
        <f t="shared" si="91"/>
        <v>881.31000000000006</v>
      </c>
      <c r="M192" s="42">
        <f t="shared" si="91"/>
        <v>1326.019</v>
      </c>
      <c r="N192" s="42">
        <f t="shared" si="84"/>
        <v>21491.939000000002</v>
      </c>
      <c r="O192" s="3">
        <f t="shared" si="82"/>
        <v>14890.989000000001</v>
      </c>
      <c r="P192" s="38">
        <f t="shared" ref="P192:P199" si="92">E192+F192+G192+H192+I192+J192</f>
        <v>15885.202000000001</v>
      </c>
      <c r="Q192" s="40">
        <f>L192+M192+B193</f>
        <v>4124.2960000000003</v>
      </c>
      <c r="R192" s="40">
        <f t="shared" si="90"/>
        <v>5363.3810000000003</v>
      </c>
    </row>
    <row r="193" spans="1:18" x14ac:dyDescent="0.2">
      <c r="A193" s="42" t="s">
        <v>33</v>
      </c>
      <c r="B193" s="42">
        <f t="shared" ref="B193:M193" si="93">B163+B133+B103+B73+B43+B13</f>
        <v>1916.9669999999999</v>
      </c>
      <c r="C193" s="42">
        <f t="shared" si="93"/>
        <v>492.04999999999995</v>
      </c>
      <c r="D193" s="42">
        <f t="shared" si="93"/>
        <v>747.03499999999997</v>
      </c>
      <c r="E193" s="42">
        <f t="shared" si="93"/>
        <v>194.13</v>
      </c>
      <c r="F193" s="42">
        <f t="shared" si="93"/>
        <v>1749.7180000000003</v>
      </c>
      <c r="G193" s="42">
        <f t="shared" si="93"/>
        <v>2951.9290000000001</v>
      </c>
      <c r="H193" s="42">
        <f t="shared" si="93"/>
        <v>3377.6950000000002</v>
      </c>
      <c r="I193" s="42">
        <f t="shared" si="93"/>
        <v>3082.8159999999998</v>
      </c>
      <c r="J193" s="42">
        <f t="shared" si="93"/>
        <v>488.31200000000001</v>
      </c>
      <c r="K193" s="42">
        <f t="shared" si="93"/>
        <v>529.12</v>
      </c>
      <c r="L193" s="42">
        <f t="shared" si="93"/>
        <v>1531.2950000000001</v>
      </c>
      <c r="M193" s="42">
        <f t="shared" si="93"/>
        <v>1908.9099999999999</v>
      </c>
      <c r="N193" s="42">
        <f t="shared" si="84"/>
        <v>18969.977000000003</v>
      </c>
      <c r="O193" s="3">
        <f t="shared" si="82"/>
        <v>11356.288</v>
      </c>
      <c r="P193" s="38">
        <f t="shared" si="92"/>
        <v>11844.6</v>
      </c>
      <c r="Q193" s="40">
        <f t="shared" ref="Q193:Q198" si="94">L193+M193+B194</f>
        <v>4347.652</v>
      </c>
      <c r="R193" s="40">
        <f t="shared" si="90"/>
        <v>5575.6890000000003</v>
      </c>
    </row>
    <row r="194" spans="1:18" x14ac:dyDescent="0.2">
      <c r="A194" s="42" t="s">
        <v>34</v>
      </c>
      <c r="B194" s="42">
        <f t="shared" ref="B194:M194" si="95">B164+B134+B104+B74+B44+B14</f>
        <v>907.44700000000012</v>
      </c>
      <c r="C194" s="42">
        <f t="shared" si="95"/>
        <v>689.54700000000003</v>
      </c>
      <c r="D194" s="42">
        <f t="shared" si="95"/>
        <v>538.49</v>
      </c>
      <c r="E194" s="42">
        <f t="shared" si="95"/>
        <v>1563.8530000000001</v>
      </c>
      <c r="F194" s="42">
        <f t="shared" si="95"/>
        <v>2855.6110000000003</v>
      </c>
      <c r="G194" s="42">
        <f t="shared" si="95"/>
        <v>3696.585</v>
      </c>
      <c r="H194" s="42">
        <f t="shared" si="95"/>
        <v>6265.8919999999998</v>
      </c>
      <c r="I194" s="42">
        <f t="shared" si="95"/>
        <v>2572.3699999999994</v>
      </c>
      <c r="J194" s="42">
        <f t="shared" si="95"/>
        <v>729.18000000000006</v>
      </c>
      <c r="K194" s="42">
        <f t="shared" si="95"/>
        <v>142.75</v>
      </c>
      <c r="L194" s="42">
        <f t="shared" si="95"/>
        <v>292.20999999999998</v>
      </c>
      <c r="M194" s="42">
        <f t="shared" si="95"/>
        <v>212.55399999999997</v>
      </c>
      <c r="N194" s="42">
        <f t="shared" si="84"/>
        <v>20466.488999999998</v>
      </c>
      <c r="O194" s="3">
        <f t="shared" si="82"/>
        <v>16954.310999999998</v>
      </c>
      <c r="P194" s="38">
        <f t="shared" si="92"/>
        <v>17683.490999999998</v>
      </c>
      <c r="Q194" s="40">
        <f t="shared" si="94"/>
        <v>545.16300000000001</v>
      </c>
      <c r="R194" s="40">
        <f t="shared" si="90"/>
        <v>854.755</v>
      </c>
    </row>
    <row r="195" spans="1:18" x14ac:dyDescent="0.2">
      <c r="A195" s="42" t="s">
        <v>35</v>
      </c>
      <c r="B195" s="42">
        <f t="shared" ref="B195:M195" si="96">B165+B135+B105+B75+B45+B15</f>
        <v>40.399000000000001</v>
      </c>
      <c r="C195" s="42">
        <f t="shared" si="96"/>
        <v>45.451999999999998</v>
      </c>
      <c r="D195" s="42">
        <f t="shared" si="96"/>
        <v>264.14</v>
      </c>
      <c r="E195" s="42">
        <f t="shared" si="96"/>
        <v>616.26</v>
      </c>
      <c r="F195" s="42">
        <f t="shared" si="96"/>
        <v>952.84199999999998</v>
      </c>
      <c r="G195" s="42">
        <f t="shared" si="96"/>
        <v>2226.9070000000002</v>
      </c>
      <c r="H195" s="42">
        <f t="shared" si="96"/>
        <v>6991.0725000000002</v>
      </c>
      <c r="I195" s="42">
        <f t="shared" si="96"/>
        <v>2966.8044999999997</v>
      </c>
      <c r="J195" s="42">
        <f t="shared" si="96"/>
        <v>1158.8125000000002</v>
      </c>
      <c r="K195" s="42">
        <f t="shared" si="96"/>
        <v>170.5</v>
      </c>
      <c r="L195" s="42">
        <f t="shared" si="96"/>
        <v>174.39499999999998</v>
      </c>
      <c r="M195" s="42">
        <f t="shared" si="96"/>
        <v>200.50500000000002</v>
      </c>
      <c r="N195" s="42">
        <f t="shared" si="84"/>
        <v>15808.0895</v>
      </c>
      <c r="O195" s="3">
        <f t="shared" si="82"/>
        <v>13753.886</v>
      </c>
      <c r="P195" s="38">
        <f t="shared" si="92"/>
        <v>14912.6985</v>
      </c>
      <c r="Q195" s="40">
        <f t="shared" si="94"/>
        <v>728.63599999999997</v>
      </c>
      <c r="R195" s="40">
        <f t="shared" si="90"/>
        <v>3046.3470000000002</v>
      </c>
    </row>
    <row r="196" spans="1:18" x14ac:dyDescent="0.2">
      <c r="A196" s="42" t="s">
        <v>37</v>
      </c>
      <c r="B196" s="42">
        <f t="shared" ref="B196:M196" si="97">B166+B136+B106+B76+B46+B16</f>
        <v>353.73599999999999</v>
      </c>
      <c r="C196" s="42">
        <f t="shared" si="97"/>
        <v>515.34199999999998</v>
      </c>
      <c r="D196" s="42">
        <f t="shared" si="97"/>
        <v>1802.3690000000001</v>
      </c>
      <c r="E196" s="42">
        <f t="shared" si="97"/>
        <v>1782.3910000000001</v>
      </c>
      <c r="F196" s="42">
        <f t="shared" si="97"/>
        <v>2580.4850000000006</v>
      </c>
      <c r="G196" s="42">
        <f t="shared" si="97"/>
        <v>4000.9510000000005</v>
      </c>
      <c r="H196" s="42">
        <f t="shared" si="97"/>
        <v>2926.3964000000001</v>
      </c>
      <c r="I196" s="42">
        <f t="shared" si="97"/>
        <v>1537.77</v>
      </c>
      <c r="J196" s="42">
        <f t="shared" si="97"/>
        <v>937.82300000000009</v>
      </c>
      <c r="K196" s="42">
        <f t="shared" si="97"/>
        <v>424.745</v>
      </c>
      <c r="L196" s="42">
        <f t="shared" si="97"/>
        <v>890.625</v>
      </c>
      <c r="M196" s="42">
        <f t="shared" si="97"/>
        <v>536.46950000000004</v>
      </c>
      <c r="N196" s="42">
        <f t="shared" si="84"/>
        <v>18289.102899999998</v>
      </c>
      <c r="O196" s="3">
        <f t="shared" si="82"/>
        <v>12827.993400000001</v>
      </c>
      <c r="P196" s="38">
        <f t="shared" si="92"/>
        <v>13765.816400000002</v>
      </c>
      <c r="Q196" s="40">
        <f t="shared" si="94"/>
        <v>1693.9480000000001</v>
      </c>
      <c r="R196" s="40">
        <f t="shared" si="90"/>
        <v>4400.1795000000002</v>
      </c>
    </row>
    <row r="197" spans="1:18" x14ac:dyDescent="0.2">
      <c r="A197" s="42" t="s">
        <v>39</v>
      </c>
      <c r="B197" s="42">
        <f t="shared" ref="B197:M197" si="98">B167+B137+B107+B77+B47+B17</f>
        <v>266.8535</v>
      </c>
      <c r="C197" s="42">
        <f t="shared" si="98"/>
        <v>932.24300000000005</v>
      </c>
      <c r="D197" s="42">
        <f t="shared" si="98"/>
        <v>1773.9884999999999</v>
      </c>
      <c r="E197" s="42">
        <f t="shared" si="98"/>
        <v>846.91800000000001</v>
      </c>
      <c r="F197" s="42">
        <f t="shared" si="98"/>
        <v>1327.2369999999999</v>
      </c>
      <c r="G197" s="42">
        <f t="shared" si="98"/>
        <v>5606.9944999999989</v>
      </c>
      <c r="H197" s="42">
        <f t="shared" si="98"/>
        <v>3992.4360000000001</v>
      </c>
      <c r="I197" s="42">
        <f t="shared" si="98"/>
        <v>861.75149999999985</v>
      </c>
      <c r="J197" s="42">
        <f t="shared" si="98"/>
        <v>38.8735</v>
      </c>
      <c r="K197" s="42">
        <f t="shared" si="98"/>
        <v>395.01699999999994</v>
      </c>
      <c r="L197" s="42">
        <f t="shared" si="98"/>
        <v>612.97299999999996</v>
      </c>
      <c r="M197" s="42">
        <f t="shared" si="98"/>
        <v>568.57000000000005</v>
      </c>
      <c r="N197" s="42">
        <f t="shared" si="84"/>
        <v>17223.855499999998</v>
      </c>
      <c r="O197" s="3">
        <f t="shared" si="82"/>
        <v>12635.337</v>
      </c>
      <c r="P197" s="38">
        <f t="shared" si="92"/>
        <v>12674.210499999999</v>
      </c>
      <c r="Q197" s="40">
        <f t="shared" si="94"/>
        <v>3671.4730000000004</v>
      </c>
      <c r="R197" s="40">
        <f t="shared" si="90"/>
        <v>11225.559499999999</v>
      </c>
    </row>
    <row r="198" spans="1:18" x14ac:dyDescent="0.2">
      <c r="A198" s="42" t="s">
        <v>40</v>
      </c>
      <c r="B198" s="42">
        <f t="shared" ref="B198:M198" si="99">B168+B138+B108+B78+B48+B18</f>
        <v>2489.9300000000003</v>
      </c>
      <c r="C198" s="42">
        <f t="shared" si="99"/>
        <v>4161.2605000000003</v>
      </c>
      <c r="D198" s="42">
        <f t="shared" si="99"/>
        <v>3392.826</v>
      </c>
      <c r="E198" s="42">
        <f t="shared" si="99"/>
        <v>3181.453</v>
      </c>
      <c r="F198" s="42">
        <f t="shared" si="99"/>
        <v>3401.2402999999999</v>
      </c>
      <c r="G198" s="42">
        <f t="shared" si="99"/>
        <v>3451.2359999999999</v>
      </c>
      <c r="H198" s="42">
        <f t="shared" si="99"/>
        <v>3402.0055000000002</v>
      </c>
      <c r="I198" s="42">
        <f t="shared" si="99"/>
        <v>3009.6259999999997</v>
      </c>
      <c r="J198" s="42">
        <f t="shared" si="99"/>
        <v>417.17349999999999</v>
      </c>
      <c r="K198" s="42">
        <f t="shared" si="99"/>
        <v>611.66750000000002</v>
      </c>
      <c r="L198" s="42">
        <f t="shared" si="99"/>
        <v>435.32600000000002</v>
      </c>
      <c r="M198" s="42">
        <f t="shared" si="99"/>
        <v>221.71150000000003</v>
      </c>
      <c r="N198" s="42">
        <f t="shared" si="84"/>
        <v>28175.455800000003</v>
      </c>
      <c r="O198" s="3">
        <f t="shared" si="82"/>
        <v>16445.560799999999</v>
      </c>
      <c r="P198" s="38">
        <f t="shared" si="92"/>
        <v>16862.7343</v>
      </c>
      <c r="Q198" s="40">
        <f t="shared" si="94"/>
        <v>3959.16</v>
      </c>
      <c r="R198" s="40">
        <f t="shared" si="90"/>
        <v>4935.0459999999994</v>
      </c>
    </row>
    <row r="199" spans="1:18" x14ac:dyDescent="0.2">
      <c r="A199" s="42" t="s">
        <v>41</v>
      </c>
      <c r="B199" s="42">
        <f t="shared" ref="B199:M199" si="100">B169+B139+B109+B79+B49+B19</f>
        <v>3302.1224999999999</v>
      </c>
      <c r="C199" s="42">
        <f t="shared" si="100"/>
        <v>700.99900000000002</v>
      </c>
      <c r="D199" s="42">
        <f t="shared" si="100"/>
        <v>274.88699999999994</v>
      </c>
      <c r="E199" s="42">
        <f t="shared" si="100"/>
        <v>500.00699999999995</v>
      </c>
      <c r="F199" s="42">
        <f t="shared" si="100"/>
        <v>2543.3685</v>
      </c>
      <c r="G199" s="42">
        <f t="shared" si="100"/>
        <v>5025.9859999999999</v>
      </c>
      <c r="H199" s="42">
        <f t="shared" si="100"/>
        <v>4097.9645</v>
      </c>
      <c r="I199" s="42">
        <f t="shared" si="100"/>
        <v>1946.2830000000001</v>
      </c>
      <c r="J199" s="42">
        <f t="shared" si="100"/>
        <v>347.88400000000001</v>
      </c>
      <c r="K199" s="42">
        <f t="shared" si="100"/>
        <v>527.64699999999993</v>
      </c>
      <c r="L199" s="42">
        <f t="shared" si="100"/>
        <v>473.202</v>
      </c>
      <c r="M199" s="42">
        <f t="shared" si="100"/>
        <v>295.33499999999992</v>
      </c>
      <c r="N199" s="42">
        <f t="shared" si="84"/>
        <v>20035.6855</v>
      </c>
      <c r="O199" s="3">
        <f t="shared" si="82"/>
        <v>14113.609</v>
      </c>
      <c r="P199" s="38">
        <f t="shared" si="92"/>
        <v>14461.493</v>
      </c>
      <c r="Q199" s="40">
        <f t="shared" ref="Q199:Q206" si="101">L199+M199+B200</f>
        <v>6119.7784999999994</v>
      </c>
      <c r="R199" s="40">
        <f t="shared" ref="R199:R204" si="102">L199+M199+B200+C200+D200</f>
        <v>10737.121499999999</v>
      </c>
    </row>
    <row r="200" spans="1:18" x14ac:dyDescent="0.2">
      <c r="A200" s="42" t="s">
        <v>45</v>
      </c>
      <c r="B200" s="42">
        <f t="shared" ref="B200:M200" si="103">B170+B140+B110+B80+B50+B20</f>
        <v>5351.2414999999992</v>
      </c>
      <c r="C200" s="42">
        <f t="shared" si="103"/>
        <v>2153.9775</v>
      </c>
      <c r="D200" s="42">
        <f t="shared" si="103"/>
        <v>2463.3654999999999</v>
      </c>
      <c r="E200" s="42">
        <f t="shared" si="103"/>
        <v>1453.0810000000001</v>
      </c>
      <c r="F200" s="42">
        <f t="shared" si="103"/>
        <v>1552.5724999999998</v>
      </c>
      <c r="G200" s="42">
        <f t="shared" si="103"/>
        <v>4250.2605000000003</v>
      </c>
      <c r="H200" s="42">
        <f t="shared" si="103"/>
        <v>4318.6869999999999</v>
      </c>
      <c r="I200" s="42">
        <f t="shared" si="103"/>
        <v>2788.4810000000002</v>
      </c>
      <c r="J200" s="42">
        <f t="shared" si="103"/>
        <v>1325.5340000000001</v>
      </c>
      <c r="K200" s="42">
        <f t="shared" si="103"/>
        <v>507.01749999999998</v>
      </c>
      <c r="L200" s="42">
        <f t="shared" si="103"/>
        <v>550.95900000000006</v>
      </c>
      <c r="M200" s="42">
        <f t="shared" si="103"/>
        <v>953.26199999999994</v>
      </c>
      <c r="N200" s="42">
        <f t="shared" si="84"/>
        <v>27668.438999999998</v>
      </c>
      <c r="O200" s="3">
        <f t="shared" si="82"/>
        <v>14363.082</v>
      </c>
      <c r="P200" s="38">
        <f t="shared" ref="P200:P205" si="104">E200+F200+G200+H200+I200+J200</f>
        <v>15688.616</v>
      </c>
      <c r="Q200" s="40">
        <f t="shared" si="101"/>
        <v>4690.4930000000004</v>
      </c>
      <c r="R200" s="40">
        <f t="shared" si="102"/>
        <v>18305.512500000001</v>
      </c>
    </row>
    <row r="201" spans="1:18" x14ac:dyDescent="0.2">
      <c r="A201" s="18" t="s">
        <v>46</v>
      </c>
      <c r="B201" s="42">
        <f t="shared" ref="B201:M201" si="105">B171+B141+B111+B81+B51+B21</f>
        <v>3186.2719999999999</v>
      </c>
      <c r="C201" s="42">
        <f t="shared" si="105"/>
        <v>6169.6244999999999</v>
      </c>
      <c r="D201" s="42">
        <f t="shared" si="105"/>
        <v>7445.3949999999995</v>
      </c>
      <c r="E201" s="42">
        <f t="shared" si="105"/>
        <v>3092.5750000000003</v>
      </c>
      <c r="F201" s="42">
        <f t="shared" si="105"/>
        <v>2486.6871999999998</v>
      </c>
      <c r="G201" s="42">
        <f t="shared" si="105"/>
        <v>3598.0717999999997</v>
      </c>
      <c r="H201" s="42">
        <f t="shared" si="105"/>
        <v>4560.8359999999993</v>
      </c>
      <c r="I201" s="42">
        <f t="shared" si="105"/>
        <v>2359.7154</v>
      </c>
      <c r="J201" s="42">
        <f t="shared" si="105"/>
        <v>1409.2325000000001</v>
      </c>
      <c r="K201" s="42">
        <f t="shared" si="105"/>
        <v>820.48900000000003</v>
      </c>
      <c r="L201" s="42">
        <f t="shared" si="105"/>
        <v>125.55840000000001</v>
      </c>
      <c r="M201" s="42">
        <f t="shared" si="105"/>
        <v>55.967599999999997</v>
      </c>
      <c r="N201" s="42">
        <f t="shared" si="84"/>
        <v>35310.424400000004</v>
      </c>
      <c r="O201" s="3">
        <f t="shared" si="82"/>
        <v>16097.885399999999</v>
      </c>
      <c r="P201" s="38">
        <f t="shared" si="104"/>
        <v>17507.117899999997</v>
      </c>
      <c r="Q201" s="40">
        <f t="shared" si="101"/>
        <v>251.13900000000001</v>
      </c>
      <c r="R201" s="40">
        <f t="shared" si="102"/>
        <v>394.22719999999998</v>
      </c>
    </row>
    <row r="202" spans="1:18" x14ac:dyDescent="0.2">
      <c r="A202" s="18" t="s">
        <v>57</v>
      </c>
      <c r="B202" s="42">
        <f t="shared" ref="B202:M202" si="106">B172+B142+B112+B82+B52+B22</f>
        <v>69.612999999999985</v>
      </c>
      <c r="C202" s="42">
        <f t="shared" si="106"/>
        <v>31.188200000000002</v>
      </c>
      <c r="D202" s="42">
        <f t="shared" si="106"/>
        <v>111.89999999999999</v>
      </c>
      <c r="E202" s="42">
        <f t="shared" si="106"/>
        <v>52.147999999999996</v>
      </c>
      <c r="F202" s="42">
        <f t="shared" si="106"/>
        <v>637.92380000000003</v>
      </c>
      <c r="G202" s="42">
        <f t="shared" si="106"/>
        <v>2630.806</v>
      </c>
      <c r="H202" s="42">
        <f t="shared" si="106"/>
        <v>3676.5688000000005</v>
      </c>
      <c r="I202" s="42">
        <f t="shared" si="106"/>
        <v>2470.9610000000002</v>
      </c>
      <c r="J202" s="42">
        <f t="shared" si="106"/>
        <v>221.18700000000001</v>
      </c>
      <c r="K202" s="42">
        <f t="shared" si="106"/>
        <v>267.89300000000003</v>
      </c>
      <c r="L202" s="42">
        <f t="shared" si="106"/>
        <v>428.68649999999991</v>
      </c>
      <c r="M202" s="42">
        <f t="shared" si="106"/>
        <v>152.92699999999999</v>
      </c>
      <c r="N202" s="42">
        <f t="shared" ref="N202:N208" si="107">SUM(B202:M202)</f>
        <v>10751.802300000001</v>
      </c>
      <c r="O202" s="3">
        <f t="shared" si="82"/>
        <v>9468.4076000000023</v>
      </c>
      <c r="P202" s="38">
        <f t="shared" si="104"/>
        <v>9689.5946000000022</v>
      </c>
      <c r="Q202" s="40">
        <f t="shared" si="101"/>
        <v>1864.5014999999999</v>
      </c>
      <c r="R202" s="40">
        <f t="shared" si="102"/>
        <v>3661.8235</v>
      </c>
    </row>
    <row r="203" spans="1:18" x14ac:dyDescent="0.2">
      <c r="A203" s="18" t="s">
        <v>92</v>
      </c>
      <c r="B203" s="42">
        <f t="shared" ref="B203:M203" si="108">B173+B143+B113+B83+B53+B23</f>
        <v>1282.8879999999999</v>
      </c>
      <c r="C203" s="42">
        <f t="shared" si="108"/>
        <v>1448.7429999999999</v>
      </c>
      <c r="D203" s="42">
        <f t="shared" si="108"/>
        <v>348.57900000000001</v>
      </c>
      <c r="E203" s="42">
        <f t="shared" si="108"/>
        <v>73.166000000000011</v>
      </c>
      <c r="F203" s="42">
        <f t="shared" si="108"/>
        <v>718.91300000000001</v>
      </c>
      <c r="G203" s="42">
        <f t="shared" si="108"/>
        <v>4739.7808000000005</v>
      </c>
      <c r="H203" s="42">
        <f t="shared" si="108"/>
        <v>4094.9659999999994</v>
      </c>
      <c r="I203" s="42">
        <f t="shared" si="108"/>
        <v>1294.9501</v>
      </c>
      <c r="J203" s="42">
        <f t="shared" si="108"/>
        <v>371.20460000000003</v>
      </c>
      <c r="K203" s="42">
        <f t="shared" si="108"/>
        <v>266.30700000000002</v>
      </c>
      <c r="L203" s="42">
        <f t="shared" si="108"/>
        <v>662.05349999999999</v>
      </c>
      <c r="M203" s="42">
        <f t="shared" si="108"/>
        <v>194.89550000000003</v>
      </c>
      <c r="N203" s="42">
        <f t="shared" si="107"/>
        <v>15496.446500000002</v>
      </c>
      <c r="O203" s="3">
        <f t="shared" si="82"/>
        <v>10921.775899999999</v>
      </c>
      <c r="P203" s="38">
        <f t="shared" si="104"/>
        <v>11292.980499999998</v>
      </c>
      <c r="Q203" s="40">
        <f t="shared" si="101"/>
        <v>1496.4513999999999</v>
      </c>
      <c r="R203" s="40">
        <f t="shared" si="102"/>
        <v>4206.8343000000004</v>
      </c>
    </row>
    <row r="204" spans="1:18" x14ac:dyDescent="0.2">
      <c r="A204" s="18" t="s">
        <v>103</v>
      </c>
      <c r="B204" s="42">
        <f t="shared" ref="B204:B211" si="109">B174+B144+B114+B84+B54+B24</f>
        <v>639.50239999999997</v>
      </c>
      <c r="C204" s="42">
        <f t="shared" ref="C204:M204" si="110">C174+C144+C114+C84+C54+C24</f>
        <v>1596.1839</v>
      </c>
      <c r="D204" s="42">
        <f t="shared" si="110"/>
        <v>1114.1990000000001</v>
      </c>
      <c r="E204" s="42">
        <f t="shared" si="110"/>
        <v>1532.7709999999997</v>
      </c>
      <c r="F204" s="42">
        <f t="shared" si="110"/>
        <v>862.36800000000017</v>
      </c>
      <c r="G204" s="42">
        <f t="shared" si="110"/>
        <v>1963.8380000000002</v>
      </c>
      <c r="H204" s="42">
        <f t="shared" si="110"/>
        <v>3615.8354000000004</v>
      </c>
      <c r="I204" s="42">
        <f t="shared" si="110"/>
        <v>3074.6401000000005</v>
      </c>
      <c r="J204" s="42">
        <f t="shared" si="110"/>
        <v>779.78599999999994</v>
      </c>
      <c r="K204" s="42">
        <f t="shared" si="110"/>
        <v>184.08080000000001</v>
      </c>
      <c r="L204" s="42">
        <f t="shared" si="110"/>
        <v>329.79274999999996</v>
      </c>
      <c r="M204" s="42">
        <f t="shared" si="110"/>
        <v>166.05050000000003</v>
      </c>
      <c r="N204" s="42">
        <f t="shared" si="107"/>
        <v>15859.047850000001</v>
      </c>
      <c r="O204" s="3">
        <f t="shared" ref="O204:O209" si="111">E204+F204+G204+H204+I204</f>
        <v>11049.452500000001</v>
      </c>
      <c r="P204" s="38">
        <f t="shared" si="104"/>
        <v>11829.238500000001</v>
      </c>
      <c r="Q204" s="40">
        <f t="shared" si="101"/>
        <v>1777.0627500000001</v>
      </c>
      <c r="R204" s="40">
        <f t="shared" si="102"/>
        <v>2596.4110500000002</v>
      </c>
    </row>
    <row r="205" spans="1:18" x14ac:dyDescent="0.2">
      <c r="A205" s="18" t="s">
        <v>121</v>
      </c>
      <c r="B205" s="42">
        <f t="shared" si="109"/>
        <v>1281.2195000000002</v>
      </c>
      <c r="C205" s="42">
        <f t="shared" ref="C205:M205" si="112">C175+C145+C115+C85+C55+C25</f>
        <v>358.11899999999997</v>
      </c>
      <c r="D205" s="42">
        <f t="shared" si="112"/>
        <v>461.22930000000002</v>
      </c>
      <c r="E205" s="42">
        <f t="shared" si="112"/>
        <v>662.39750000000004</v>
      </c>
      <c r="F205" s="42">
        <f t="shared" si="112"/>
        <v>992.92099999999994</v>
      </c>
      <c r="G205" s="42">
        <f t="shared" si="112"/>
        <v>1140.8645000000001</v>
      </c>
      <c r="H205" s="42">
        <f t="shared" si="112"/>
        <v>2401.15175</v>
      </c>
      <c r="I205" s="42">
        <f t="shared" si="112"/>
        <v>1316.0412000000001</v>
      </c>
      <c r="J205" s="42">
        <f t="shared" si="112"/>
        <v>618.11099999999988</v>
      </c>
      <c r="K205" s="42">
        <f t="shared" si="112"/>
        <v>581.04299999999989</v>
      </c>
      <c r="L205" s="42">
        <f t="shared" si="112"/>
        <v>561.51</v>
      </c>
      <c r="M205" s="42">
        <f t="shared" si="112"/>
        <v>308.28949999999998</v>
      </c>
      <c r="N205" s="42">
        <f t="shared" si="107"/>
        <v>10682.89725</v>
      </c>
      <c r="O205" s="3">
        <f t="shared" si="111"/>
        <v>6513.3759499999996</v>
      </c>
      <c r="P205" s="38">
        <f t="shared" si="104"/>
        <v>7131.4869499999995</v>
      </c>
      <c r="Q205" s="40">
        <f t="shared" si="101"/>
        <v>1138.1785</v>
      </c>
      <c r="R205" s="40">
        <f t="shared" ref="R205:R210" si="113">L205+M205+B206+C206+D206</f>
        <v>2061.7325000000001</v>
      </c>
    </row>
    <row r="206" spans="1:18" x14ac:dyDescent="0.2">
      <c r="A206" s="18" t="s">
        <v>129</v>
      </c>
      <c r="B206" s="42">
        <f t="shared" si="109"/>
        <v>268.37900000000002</v>
      </c>
      <c r="C206" s="42">
        <f t="shared" ref="C206:M206" si="114">C176+C146+C116+C86+C56+C26</f>
        <v>196.27300000000002</v>
      </c>
      <c r="D206" s="42">
        <f t="shared" si="114"/>
        <v>727.28100000000006</v>
      </c>
      <c r="E206" s="42">
        <f t="shared" si="114"/>
        <v>1141.8920000000001</v>
      </c>
      <c r="F206" s="42">
        <f t="shared" si="114"/>
        <v>2354.3119999999999</v>
      </c>
      <c r="G206" s="42">
        <f t="shared" si="114"/>
        <v>3674.2520000000004</v>
      </c>
      <c r="H206" s="42">
        <f t="shared" si="114"/>
        <v>2622.4007000000001</v>
      </c>
      <c r="I206" s="42">
        <f t="shared" si="114"/>
        <v>1307.9269999999999</v>
      </c>
      <c r="J206" s="42">
        <f t="shared" si="114"/>
        <v>608.85309999999993</v>
      </c>
      <c r="K206" s="42">
        <f t="shared" si="114"/>
        <v>830.92550000000006</v>
      </c>
      <c r="L206" s="42">
        <f t="shared" si="114"/>
        <v>465.14599999999996</v>
      </c>
      <c r="M206" s="42">
        <f t="shared" si="114"/>
        <v>355.154</v>
      </c>
      <c r="N206" s="42">
        <f t="shared" si="107"/>
        <v>14552.7953</v>
      </c>
      <c r="O206" s="3">
        <f t="shared" si="111"/>
        <v>11100.7837</v>
      </c>
      <c r="P206" s="38">
        <f t="shared" ref="P206:P211" si="115">E206+F206+G206+H206+I206+J206</f>
        <v>11709.6368</v>
      </c>
      <c r="Q206" s="40">
        <f t="shared" si="101"/>
        <v>2051.7669999999998</v>
      </c>
      <c r="R206" s="40">
        <f t="shared" si="113"/>
        <v>4967.984919999999</v>
      </c>
    </row>
    <row r="207" spans="1:18" x14ac:dyDescent="0.2">
      <c r="A207" s="18" t="s">
        <v>136</v>
      </c>
      <c r="B207" s="42">
        <f t="shared" si="109"/>
        <v>1231.4669999999999</v>
      </c>
      <c r="C207" s="42">
        <f t="shared" ref="C207:M207" si="116">C177+C147+C117+C87+C57+C27</f>
        <v>1630.2609999999997</v>
      </c>
      <c r="D207" s="42">
        <f t="shared" si="116"/>
        <v>1285.9569200000001</v>
      </c>
      <c r="E207" s="42">
        <f t="shared" si="116"/>
        <v>2042.0409999999999</v>
      </c>
      <c r="F207" s="42">
        <f t="shared" si="116"/>
        <v>1384.0490000000002</v>
      </c>
      <c r="G207" s="42">
        <f t="shared" si="116"/>
        <v>3072.462</v>
      </c>
      <c r="H207" s="42">
        <f t="shared" si="116"/>
        <v>3822.7739999999994</v>
      </c>
      <c r="I207" s="42">
        <f t="shared" si="116"/>
        <v>2540.0309999999999</v>
      </c>
      <c r="J207" s="42">
        <f t="shared" si="116"/>
        <v>3726.1349999999998</v>
      </c>
      <c r="K207" s="42">
        <f t="shared" si="116"/>
        <v>3655.6510000000007</v>
      </c>
      <c r="L207" s="42">
        <f t="shared" si="116"/>
        <v>2622.7549999999997</v>
      </c>
      <c r="M207" s="42">
        <f t="shared" si="116"/>
        <v>2893.4753999999998</v>
      </c>
      <c r="N207" s="42">
        <f t="shared" si="107"/>
        <v>29907.05832</v>
      </c>
      <c r="O207" s="3">
        <f t="shared" si="111"/>
        <v>12861.357</v>
      </c>
      <c r="P207" s="38">
        <f t="shared" si="115"/>
        <v>16587.491999999998</v>
      </c>
      <c r="Q207" s="40">
        <f>L207+M207+B208</f>
        <v>6049.4259999999995</v>
      </c>
      <c r="R207" s="40">
        <f t="shared" si="113"/>
        <v>7313.1519999999991</v>
      </c>
    </row>
    <row r="208" spans="1:18" x14ac:dyDescent="0.2">
      <c r="A208" s="18" t="s">
        <v>140</v>
      </c>
      <c r="B208" s="42">
        <f t="shared" si="109"/>
        <v>533.19560000000001</v>
      </c>
      <c r="C208" s="42">
        <f t="shared" ref="C208:I208" si="117">C178+C148+C118+C88+C58+C28</f>
        <v>445.97299999999996</v>
      </c>
      <c r="D208" s="42">
        <f t="shared" si="117"/>
        <v>817.75299999999993</v>
      </c>
      <c r="E208" s="42">
        <f t="shared" si="117"/>
        <v>915.26</v>
      </c>
      <c r="F208" s="42">
        <f t="shared" si="117"/>
        <v>1643.1279999999999</v>
      </c>
      <c r="G208" s="42">
        <f t="shared" si="117"/>
        <v>2319.9989999999998</v>
      </c>
      <c r="H208" s="42">
        <f t="shared" si="117"/>
        <v>3402.3070000000007</v>
      </c>
      <c r="I208" s="42">
        <f t="shared" si="117"/>
        <v>2146.79</v>
      </c>
      <c r="J208" s="42">
        <f t="shared" ref="J208:M209" si="118">J178+J148+J118+J88+J58+J28</f>
        <v>1709.434</v>
      </c>
      <c r="K208" s="42">
        <f t="shared" si="118"/>
        <v>2246.7510000000002</v>
      </c>
      <c r="L208" s="42">
        <f t="shared" si="118"/>
        <v>1531.7432000000001</v>
      </c>
      <c r="M208" s="42">
        <f t="shared" si="118"/>
        <v>880.32999999999993</v>
      </c>
      <c r="N208" s="42">
        <f t="shared" si="107"/>
        <v>18592.663800000002</v>
      </c>
      <c r="O208" s="3">
        <f t="shared" si="111"/>
        <v>10427.484</v>
      </c>
      <c r="P208" s="38">
        <f t="shared" si="115"/>
        <v>12136.918</v>
      </c>
      <c r="Q208" s="40">
        <f>L208+M208+B209</f>
        <v>3840.0676999999996</v>
      </c>
      <c r="R208" s="40">
        <f t="shared" si="113"/>
        <v>6944.5749999999989</v>
      </c>
    </row>
    <row r="209" spans="1:19" x14ac:dyDescent="0.2">
      <c r="A209" s="18" t="s">
        <v>143</v>
      </c>
      <c r="B209" s="42">
        <f t="shared" si="109"/>
        <v>1427.9945</v>
      </c>
      <c r="C209" s="42">
        <f t="shared" ref="C209:I211" si="119">C179+C149+C119+C89+C59+C29</f>
        <v>959.61979999999983</v>
      </c>
      <c r="D209" s="42">
        <f t="shared" si="119"/>
        <v>2144.8874999999998</v>
      </c>
      <c r="E209" s="42">
        <f t="shared" si="119"/>
        <v>1951.5140000000001</v>
      </c>
      <c r="F209" s="42">
        <f t="shared" si="119"/>
        <v>1734.3030000000001</v>
      </c>
      <c r="G209" s="42">
        <f t="shared" si="119"/>
        <v>2927.2179999999998</v>
      </c>
      <c r="H209" s="42">
        <f t="shared" si="119"/>
        <v>3103.308</v>
      </c>
      <c r="I209" s="42">
        <f t="shared" si="119"/>
        <v>1680.885</v>
      </c>
      <c r="J209" s="42">
        <f t="shared" si="118"/>
        <v>1435.912</v>
      </c>
      <c r="K209" s="42">
        <f t="shared" si="118"/>
        <v>1292.3610000000001</v>
      </c>
      <c r="L209" s="42">
        <f t="shared" si="118"/>
        <v>539.34699999999998</v>
      </c>
      <c r="M209" s="42">
        <f t="shared" si="118"/>
        <v>633.45799999999997</v>
      </c>
      <c r="N209" s="42">
        <f>SUM(B209:M209)</f>
        <v>19830.807800000002</v>
      </c>
      <c r="O209" s="3">
        <f t="shared" si="111"/>
        <v>11397.228000000001</v>
      </c>
      <c r="P209" s="38">
        <f t="shared" si="115"/>
        <v>12833.140000000001</v>
      </c>
      <c r="Q209" s="40">
        <f>L209+M209+B210</f>
        <v>1462.4499999999998</v>
      </c>
      <c r="R209" s="40">
        <f t="shared" si="113"/>
        <v>4240.0239999999994</v>
      </c>
    </row>
    <row r="210" spans="1:19" x14ac:dyDescent="0.2">
      <c r="A210" s="18" t="s">
        <v>149</v>
      </c>
      <c r="B210" s="42">
        <f t="shared" si="109"/>
        <v>289.64500000000004</v>
      </c>
      <c r="C210" s="42">
        <f t="shared" si="119"/>
        <v>705.48799999999994</v>
      </c>
      <c r="D210" s="42">
        <f t="shared" si="119"/>
        <v>2072.0860000000002</v>
      </c>
      <c r="E210" s="42">
        <f t="shared" si="119"/>
        <v>1516.345</v>
      </c>
      <c r="F210" s="42">
        <f t="shared" si="119"/>
        <v>2981.319</v>
      </c>
      <c r="G210" s="42">
        <f t="shared" si="119"/>
        <v>3410.5540000000001</v>
      </c>
      <c r="H210" s="42">
        <f t="shared" si="119"/>
        <v>3295.8977499999996</v>
      </c>
      <c r="I210" s="42">
        <f t="shared" si="119"/>
        <v>1822.3719999999998</v>
      </c>
      <c r="J210" s="173">
        <f t="shared" ref="J210:M211" si="120">J180+J150+J120+J90+J60+J30</f>
        <v>406.21600000000001</v>
      </c>
      <c r="K210" s="173">
        <f t="shared" si="120"/>
        <v>274.02699999999999</v>
      </c>
      <c r="L210" s="173">
        <f t="shared" si="120"/>
        <v>342.036</v>
      </c>
      <c r="M210" s="173">
        <f t="shared" si="120"/>
        <v>256.01599999999996</v>
      </c>
      <c r="N210" s="42">
        <f>SUM(B210:M210)</f>
        <v>17372.001749999996</v>
      </c>
      <c r="O210" s="3">
        <f>E210+F210+G210+H210+I210</f>
        <v>13026.487749999998</v>
      </c>
      <c r="P210" s="38">
        <f t="shared" si="115"/>
        <v>13432.703749999999</v>
      </c>
      <c r="Q210" s="61">
        <f>L210+M210+B211</f>
        <v>1070.2849999999999</v>
      </c>
      <c r="R210" s="61">
        <f t="shared" si="113"/>
        <v>2344.9274999999998</v>
      </c>
    </row>
    <row r="211" spans="1:19" x14ac:dyDescent="0.2">
      <c r="A211" s="18" t="s">
        <v>158</v>
      </c>
      <c r="B211" s="173">
        <f t="shared" si="109"/>
        <v>472.23300000000006</v>
      </c>
      <c r="C211" s="42">
        <f t="shared" si="119"/>
        <v>679.35199999999998</v>
      </c>
      <c r="D211" s="42">
        <f t="shared" si="119"/>
        <v>595.29049999999995</v>
      </c>
      <c r="E211" s="42">
        <f t="shared" si="119"/>
        <v>2254.5345000000002</v>
      </c>
      <c r="F211" s="42">
        <f t="shared" si="119"/>
        <v>1434.51575</v>
      </c>
      <c r="G211" s="42">
        <f t="shared" si="119"/>
        <v>3140.5032500000007</v>
      </c>
      <c r="H211" s="42">
        <f t="shared" si="119"/>
        <v>2519.6620000000003</v>
      </c>
      <c r="I211" s="42">
        <f t="shared" si="119"/>
        <v>1413.184</v>
      </c>
      <c r="J211" s="173">
        <f t="shared" si="120"/>
        <v>35.567999999999998</v>
      </c>
      <c r="K211" s="173">
        <f t="shared" si="120"/>
        <v>0</v>
      </c>
      <c r="L211" s="173">
        <f t="shared" si="120"/>
        <v>0</v>
      </c>
      <c r="M211" s="173">
        <f t="shared" si="120"/>
        <v>0</v>
      </c>
      <c r="N211" s="18">
        <f>SUM(B211:M211)</f>
        <v>12544.842999999999</v>
      </c>
      <c r="O211" s="3">
        <f>E211+F211+G211+H211+I211</f>
        <v>10762.399500000001</v>
      </c>
      <c r="P211" s="38">
        <f t="shared" si="115"/>
        <v>10797.967500000001</v>
      </c>
      <c r="Q211" s="61">
        <f>L211+M211+B212</f>
        <v>0</v>
      </c>
      <c r="R211" s="61">
        <f t="shared" ref="R211" si="121">L211+M211+B212+C212+D212</f>
        <v>0</v>
      </c>
    </row>
    <row r="212" spans="1:19" x14ac:dyDescent="0.2">
      <c r="O212" s="24">
        <f>AVERAGE(O206:O210)</f>
        <v>11762.668090000001</v>
      </c>
      <c r="P212" s="24">
        <f>AVERAGE(P206:P210)</f>
        <v>13339.97811</v>
      </c>
      <c r="Q212" s="24">
        <f>AVERAGE(Q206:Q210)</f>
        <v>2894.7991400000001</v>
      </c>
      <c r="R212" s="24">
        <f>AVERAGE(R206:R210)</f>
        <v>5162.1326839999983</v>
      </c>
      <c r="S212" s="40" t="s">
        <v>161</v>
      </c>
    </row>
  </sheetData>
  <phoneticPr fontId="2"/>
  <printOptions gridLines="1" gridLinesSet="0"/>
  <pageMargins left="0.78700000000000003" right="0.78700000000000003" top="0.98399999999999999" bottom="0.98399999999999999" header="0.5" footer="0.5"/>
  <pageSetup paperSize="9" scale="46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F49" sqref="F49"/>
    </sheetView>
  </sheetViews>
  <sheetFormatPr baseColWidth="10" defaultRowHeight="18" x14ac:dyDescent="0.25"/>
  <sheetData>
    <row r="2" spans="1:9" ht="19" thickBot="1" x14ac:dyDescent="0.3">
      <c r="A2" t="s">
        <v>205</v>
      </c>
      <c r="B2" t="s">
        <v>225</v>
      </c>
      <c r="E2" s="505"/>
      <c r="F2" s="505"/>
      <c r="G2" s="506" t="s">
        <v>380</v>
      </c>
      <c r="H2" s="505"/>
      <c r="I2" s="505"/>
    </row>
    <row r="3" spans="1:9" x14ac:dyDescent="0.25">
      <c r="A3">
        <v>1</v>
      </c>
      <c r="B3" s="512">
        <v>0</v>
      </c>
      <c r="D3" s="514"/>
      <c r="E3" s="507" t="s">
        <v>381</v>
      </c>
      <c r="F3" s="508"/>
      <c r="G3" s="508"/>
      <c r="H3" s="508"/>
      <c r="I3" s="508"/>
    </row>
    <row r="4" spans="1:9" x14ac:dyDescent="0.25">
      <c r="A4">
        <v>2</v>
      </c>
      <c r="B4" s="512">
        <v>0</v>
      </c>
      <c r="D4" s="515" t="s">
        <v>387</v>
      </c>
      <c r="E4" s="509" t="s">
        <v>382</v>
      </c>
      <c r="F4" s="510" t="s">
        <v>383</v>
      </c>
      <c r="G4" s="510" t="s">
        <v>384</v>
      </c>
      <c r="H4" s="510" t="s">
        <v>385</v>
      </c>
      <c r="I4" s="511" t="s">
        <v>386</v>
      </c>
    </row>
    <row r="5" spans="1:9" ht="19" thickBot="1" x14ac:dyDescent="0.3">
      <c r="A5">
        <v>3</v>
      </c>
      <c r="B5" s="513">
        <v>0</v>
      </c>
      <c r="D5" s="516">
        <v>29.4</v>
      </c>
      <c r="E5" s="512">
        <v>285.30099999999999</v>
      </c>
      <c r="F5" s="512">
        <v>0.75600000000000001</v>
      </c>
      <c r="G5" s="512">
        <v>0</v>
      </c>
      <c r="H5" s="512">
        <v>0</v>
      </c>
      <c r="I5" s="512">
        <v>286.05699999999996</v>
      </c>
    </row>
    <row r="6" spans="1:9" x14ac:dyDescent="0.25">
      <c r="A6">
        <v>4</v>
      </c>
      <c r="B6" s="512">
        <v>268.38</v>
      </c>
      <c r="D6" s="516">
        <v>29.5</v>
      </c>
      <c r="E6" s="512">
        <v>622.55600000000004</v>
      </c>
      <c r="F6" s="512">
        <v>199.22399999999999</v>
      </c>
      <c r="G6" s="512">
        <v>0</v>
      </c>
      <c r="H6" s="512">
        <v>0</v>
      </c>
      <c r="I6" s="512">
        <v>821.78</v>
      </c>
    </row>
    <row r="7" spans="1:9" x14ac:dyDescent="0.25">
      <c r="A7">
        <v>5</v>
      </c>
      <c r="B7" s="512">
        <v>111.587</v>
      </c>
      <c r="D7" s="516">
        <v>29.6</v>
      </c>
      <c r="E7" s="512">
        <v>417.34199999999998</v>
      </c>
      <c r="F7" s="512">
        <v>204.86</v>
      </c>
      <c r="G7" s="512">
        <v>0</v>
      </c>
      <c r="H7" s="512">
        <v>0</v>
      </c>
      <c r="I7" s="512">
        <v>622.202</v>
      </c>
    </row>
    <row r="8" spans="1:9" x14ac:dyDescent="0.25">
      <c r="A8">
        <v>6</v>
      </c>
      <c r="B8" s="512">
        <v>540.77500000000009</v>
      </c>
      <c r="D8" s="516">
        <v>29.7</v>
      </c>
      <c r="E8" s="512">
        <v>665.00900000000001</v>
      </c>
      <c r="F8" s="512">
        <v>20.538</v>
      </c>
      <c r="G8" s="512">
        <v>0</v>
      </c>
      <c r="H8" s="512">
        <v>11.701000000000001</v>
      </c>
      <c r="I8" s="512">
        <v>697.24800000000005</v>
      </c>
    </row>
    <row r="9" spans="1:9" x14ac:dyDescent="0.25">
      <c r="A9">
        <v>7</v>
      </c>
      <c r="B9" s="512">
        <v>193.28800000000001</v>
      </c>
      <c r="D9" s="516">
        <v>29.8</v>
      </c>
      <c r="E9" s="512">
        <v>121.752</v>
      </c>
      <c r="F9" s="512">
        <v>0</v>
      </c>
      <c r="G9" s="512">
        <v>0</v>
      </c>
      <c r="H9" s="512">
        <v>0</v>
      </c>
      <c r="I9" s="512">
        <v>121.752</v>
      </c>
    </row>
    <row r="10" spans="1:9" x14ac:dyDescent="0.25">
      <c r="A10">
        <v>8</v>
      </c>
      <c r="B10" s="512">
        <v>63.36</v>
      </c>
      <c r="D10" s="516">
        <v>29.9</v>
      </c>
      <c r="E10" s="512">
        <v>12.337999999999999</v>
      </c>
      <c r="F10" s="512">
        <v>0</v>
      </c>
      <c r="G10" s="512">
        <v>0</v>
      </c>
      <c r="H10" s="512">
        <v>0</v>
      </c>
      <c r="I10" s="512">
        <v>12.337999999999999</v>
      </c>
    </row>
    <row r="11" spans="1:9" x14ac:dyDescent="0.25">
      <c r="A11">
        <v>9</v>
      </c>
      <c r="B11" s="512">
        <v>35.567999999999998</v>
      </c>
      <c r="D11" s="517">
        <v>29.1</v>
      </c>
      <c r="E11" s="512">
        <v>1.101</v>
      </c>
      <c r="F11" s="512">
        <v>0</v>
      </c>
      <c r="G11" s="512">
        <v>0</v>
      </c>
      <c r="H11" s="512">
        <v>0</v>
      </c>
      <c r="I11" s="512">
        <v>1.101</v>
      </c>
    </row>
    <row r="12" spans="1:9" x14ac:dyDescent="0.25">
      <c r="A12">
        <v>10</v>
      </c>
      <c r="B12" s="512"/>
      <c r="D12" s="517">
        <v>29.11</v>
      </c>
      <c r="E12" s="512">
        <v>0</v>
      </c>
      <c r="F12" s="512">
        <v>0</v>
      </c>
      <c r="G12" s="512">
        <v>0</v>
      </c>
      <c r="H12" s="512">
        <v>0</v>
      </c>
      <c r="I12" s="512">
        <v>0</v>
      </c>
    </row>
    <row r="13" spans="1:9" x14ac:dyDescent="0.25">
      <c r="A13">
        <v>11</v>
      </c>
      <c r="B13" s="512"/>
      <c r="D13" s="517">
        <v>29.12</v>
      </c>
      <c r="E13" s="512">
        <v>0</v>
      </c>
      <c r="F13" s="512">
        <v>0</v>
      </c>
      <c r="G13" s="512">
        <v>0</v>
      </c>
      <c r="H13" s="512">
        <v>0</v>
      </c>
      <c r="I13" s="512">
        <v>0</v>
      </c>
    </row>
    <row r="14" spans="1:9" x14ac:dyDescent="0.25">
      <c r="A14">
        <v>12</v>
      </c>
      <c r="B14" s="512"/>
      <c r="D14" s="516">
        <v>30.1</v>
      </c>
      <c r="E14" s="512">
        <v>0</v>
      </c>
      <c r="F14" s="512">
        <v>0</v>
      </c>
      <c r="G14" s="512">
        <v>0</v>
      </c>
      <c r="H14" s="512">
        <v>0</v>
      </c>
      <c r="I14" s="512">
        <v>0</v>
      </c>
    </row>
    <row r="15" spans="1:9" x14ac:dyDescent="0.25">
      <c r="B15" s="512"/>
      <c r="D15" s="516">
        <v>30.2</v>
      </c>
      <c r="E15" s="512">
        <v>0</v>
      </c>
      <c r="F15" s="512">
        <v>0</v>
      </c>
      <c r="G15" s="512">
        <v>0</v>
      </c>
      <c r="H15" s="512">
        <v>0</v>
      </c>
      <c r="I15" s="512">
        <v>0</v>
      </c>
    </row>
    <row r="16" spans="1:9" ht="19" thickBot="1" x14ac:dyDescent="0.3">
      <c r="B16" s="512"/>
      <c r="D16" s="518">
        <v>30.3</v>
      </c>
      <c r="E16" s="513">
        <v>0</v>
      </c>
      <c r="F16" s="513">
        <v>0</v>
      </c>
      <c r="G16" s="513">
        <v>0</v>
      </c>
      <c r="H16" s="513">
        <v>0</v>
      </c>
      <c r="I16" s="513">
        <v>0</v>
      </c>
    </row>
    <row r="17" spans="2:9" ht="19" thickBot="1" x14ac:dyDescent="0.3">
      <c r="B17" s="513"/>
      <c r="D17" s="514"/>
      <c r="E17" s="507" t="s">
        <v>381</v>
      </c>
      <c r="F17" s="508"/>
      <c r="G17" s="508"/>
      <c r="H17" s="508"/>
      <c r="I17" s="508"/>
    </row>
    <row r="18" spans="2:9" x14ac:dyDescent="0.25">
      <c r="D18" s="515" t="s">
        <v>387</v>
      </c>
      <c r="E18" s="509" t="s">
        <v>382</v>
      </c>
      <c r="F18" s="510" t="s">
        <v>383</v>
      </c>
      <c r="G18" s="510" t="s">
        <v>384</v>
      </c>
      <c r="H18" s="510" t="s">
        <v>385</v>
      </c>
      <c r="I18" s="511" t="s">
        <v>386</v>
      </c>
    </row>
    <row r="19" spans="2:9" x14ac:dyDescent="0.25">
      <c r="D19" s="516">
        <v>30.4</v>
      </c>
      <c r="E19" s="512">
        <v>268.38</v>
      </c>
      <c r="F19" s="512">
        <v>0</v>
      </c>
      <c r="G19" s="512">
        <v>0</v>
      </c>
      <c r="H19" s="512">
        <v>0</v>
      </c>
      <c r="I19" s="512">
        <v>268.38</v>
      </c>
    </row>
    <row r="20" spans="2:9" x14ac:dyDescent="0.25">
      <c r="D20" s="516">
        <v>30.5</v>
      </c>
      <c r="E20" s="512">
        <v>111.587</v>
      </c>
      <c r="F20" s="512">
        <v>0</v>
      </c>
      <c r="G20" s="512">
        <v>0</v>
      </c>
      <c r="H20" s="512">
        <v>0</v>
      </c>
      <c r="I20" s="512">
        <v>111.587</v>
      </c>
    </row>
    <row r="21" spans="2:9" x14ac:dyDescent="0.25">
      <c r="D21" s="516">
        <v>30.6</v>
      </c>
      <c r="E21" s="512">
        <v>538.36300000000006</v>
      </c>
      <c r="F21" s="512">
        <v>2.4119999999999999</v>
      </c>
      <c r="G21" s="512">
        <v>0</v>
      </c>
      <c r="H21" s="512">
        <v>0</v>
      </c>
      <c r="I21" s="512">
        <v>540.77500000000009</v>
      </c>
    </row>
    <row r="22" spans="2:9" x14ac:dyDescent="0.25">
      <c r="D22" s="516">
        <v>30.7</v>
      </c>
      <c r="E22" s="512">
        <v>186.673</v>
      </c>
      <c r="F22" s="512">
        <v>6.6150000000000002</v>
      </c>
      <c r="G22" s="512">
        <v>0</v>
      </c>
      <c r="H22" s="512">
        <v>0</v>
      </c>
      <c r="I22" s="512">
        <v>193.28800000000001</v>
      </c>
    </row>
    <row r="23" spans="2:9" x14ac:dyDescent="0.25">
      <c r="D23" s="516">
        <v>30.8</v>
      </c>
      <c r="E23" s="512">
        <v>63.36</v>
      </c>
      <c r="F23" s="512">
        <v>0</v>
      </c>
      <c r="G23" s="512">
        <v>0</v>
      </c>
      <c r="H23" s="512">
        <v>0</v>
      </c>
      <c r="I23" s="512">
        <v>63.36</v>
      </c>
    </row>
    <row r="24" spans="2:9" x14ac:dyDescent="0.25">
      <c r="D24" s="516">
        <v>30.9</v>
      </c>
      <c r="E24" s="512">
        <v>35.567999999999998</v>
      </c>
      <c r="F24" s="512">
        <v>0</v>
      </c>
      <c r="G24" s="512">
        <v>0</v>
      </c>
      <c r="H24" s="512">
        <v>0</v>
      </c>
      <c r="I24" s="512">
        <v>35.567999999999998</v>
      </c>
    </row>
    <row r="25" spans="2:9" x14ac:dyDescent="0.25">
      <c r="D25" s="517">
        <v>30.1</v>
      </c>
      <c r="E25" s="512">
        <v>0</v>
      </c>
      <c r="F25" s="512">
        <v>0</v>
      </c>
      <c r="G25" s="512">
        <v>0</v>
      </c>
      <c r="H25" s="512">
        <v>0</v>
      </c>
      <c r="I25" s="512">
        <v>0</v>
      </c>
    </row>
    <row r="26" spans="2:9" x14ac:dyDescent="0.25">
      <c r="D26" s="517">
        <v>30.11</v>
      </c>
      <c r="E26" s="512">
        <v>0</v>
      </c>
      <c r="F26" s="512">
        <v>0</v>
      </c>
      <c r="G26" s="512">
        <v>0</v>
      </c>
      <c r="H26" s="512">
        <v>0</v>
      </c>
      <c r="I26" s="512">
        <v>0</v>
      </c>
    </row>
    <row r="27" spans="2:9" x14ac:dyDescent="0.25">
      <c r="D27" s="517">
        <v>30.12</v>
      </c>
      <c r="E27" s="512">
        <v>0</v>
      </c>
      <c r="F27" s="512">
        <v>0</v>
      </c>
      <c r="G27" s="512">
        <v>0</v>
      </c>
      <c r="H27" s="512">
        <v>0</v>
      </c>
      <c r="I27" s="512">
        <v>0</v>
      </c>
    </row>
    <row r="28" spans="2:9" x14ac:dyDescent="0.25">
      <c r="D28" s="516">
        <v>31.1</v>
      </c>
      <c r="E28" s="512">
        <v>0</v>
      </c>
      <c r="F28" s="512">
        <v>0</v>
      </c>
      <c r="G28" s="512">
        <v>0</v>
      </c>
      <c r="H28" s="512">
        <v>0</v>
      </c>
      <c r="I28" s="512">
        <v>0</v>
      </c>
    </row>
    <row r="29" spans="2:9" x14ac:dyDescent="0.25">
      <c r="D29" s="516">
        <v>31.2</v>
      </c>
      <c r="E29" s="512">
        <v>0</v>
      </c>
      <c r="F29" s="512">
        <v>0</v>
      </c>
      <c r="G29" s="512">
        <v>0</v>
      </c>
      <c r="H29" s="512">
        <v>0</v>
      </c>
      <c r="I29" s="512">
        <v>0</v>
      </c>
    </row>
    <row r="30" spans="2:9" ht="19" thickBot="1" x14ac:dyDescent="0.3">
      <c r="D30" s="518">
        <v>31.3</v>
      </c>
      <c r="E30" s="513">
        <v>0</v>
      </c>
      <c r="F30" s="513">
        <v>0</v>
      </c>
      <c r="G30" s="513">
        <v>0</v>
      </c>
      <c r="H30" s="513">
        <v>0</v>
      </c>
      <c r="I30" s="51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="75" workbookViewId="0">
      <selection activeCell="B4" sqref="B4:B11"/>
    </sheetView>
  </sheetViews>
  <sheetFormatPr baseColWidth="10" defaultRowHeight="18" x14ac:dyDescent="0.25"/>
  <sheetData>
    <row r="1" spans="1:22" ht="19" x14ac:dyDescent="0.25">
      <c r="E1" s="519" t="s">
        <v>366</v>
      </c>
      <c r="F1" s="519"/>
      <c r="G1" s="519"/>
      <c r="H1" s="519"/>
      <c r="I1" s="519"/>
      <c r="J1" s="519"/>
      <c r="K1" s="519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5" t="s">
        <v>367</v>
      </c>
    </row>
    <row r="2" spans="1:22" x14ac:dyDescent="0.25">
      <c r="E2" s="486"/>
      <c r="F2" s="486"/>
      <c r="G2" s="486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 t="s">
        <v>368</v>
      </c>
      <c r="U2" s="487" t="s">
        <v>369</v>
      </c>
      <c r="V2" s="487"/>
    </row>
    <row r="3" spans="1:22" x14ac:dyDescent="0.25">
      <c r="A3" t="s">
        <v>205</v>
      </c>
      <c r="B3" t="s">
        <v>225</v>
      </c>
      <c r="E3" s="486"/>
      <c r="F3" s="486"/>
      <c r="G3" s="486"/>
      <c r="H3" s="486">
        <v>4</v>
      </c>
      <c r="I3" s="486">
        <v>5</v>
      </c>
      <c r="J3" s="486">
        <v>6</v>
      </c>
      <c r="K3" s="486">
        <v>7</v>
      </c>
      <c r="L3" s="486">
        <v>8</v>
      </c>
      <c r="M3" s="486">
        <v>9</v>
      </c>
      <c r="N3" s="486">
        <v>10</v>
      </c>
      <c r="O3" s="486">
        <v>11</v>
      </c>
      <c r="P3" s="486">
        <v>12</v>
      </c>
      <c r="Q3" s="486">
        <v>1</v>
      </c>
      <c r="R3" s="486">
        <v>2</v>
      </c>
      <c r="S3" s="486">
        <v>3</v>
      </c>
      <c r="T3" s="486" t="s">
        <v>370</v>
      </c>
      <c r="U3" s="486" t="s">
        <v>371</v>
      </c>
      <c r="V3" s="486" t="s">
        <v>372</v>
      </c>
    </row>
    <row r="4" spans="1:22" x14ac:dyDescent="0.25">
      <c r="A4">
        <v>1</v>
      </c>
      <c r="B4">
        <v>130.32</v>
      </c>
      <c r="E4" s="520" t="s">
        <v>373</v>
      </c>
      <c r="F4" s="488" t="s">
        <v>336</v>
      </c>
      <c r="G4" s="488">
        <v>1989</v>
      </c>
      <c r="H4" s="489">
        <v>0.8</v>
      </c>
      <c r="I4" s="489">
        <v>0.6</v>
      </c>
      <c r="J4" s="489">
        <v>10.199999999999999</v>
      </c>
      <c r="K4" s="489">
        <v>3.3</v>
      </c>
      <c r="L4" s="489">
        <v>21.5</v>
      </c>
      <c r="M4" s="489">
        <v>0</v>
      </c>
      <c r="N4" s="489">
        <v>15.7</v>
      </c>
      <c r="O4" s="489">
        <v>32.299999999999997</v>
      </c>
      <c r="P4" s="489">
        <v>37.799999999999997</v>
      </c>
      <c r="Q4" s="489">
        <v>0</v>
      </c>
      <c r="R4" s="489">
        <v>0</v>
      </c>
      <c r="S4" s="489">
        <v>0</v>
      </c>
      <c r="T4" s="490">
        <f t="shared" ref="T4:T29" si="0">SUM(H4:M4)</f>
        <v>36.4</v>
      </c>
      <c r="U4" s="490">
        <f t="shared" ref="U4:U21" si="1">SUM(N4:S4)</f>
        <v>85.8</v>
      </c>
      <c r="V4" s="490">
        <f t="shared" ref="V4:V28" si="2">SUM(H4:S4)</f>
        <v>122.19999999999999</v>
      </c>
    </row>
    <row r="5" spans="1:22" x14ac:dyDescent="0.25">
      <c r="A5">
        <v>2</v>
      </c>
      <c r="B5">
        <v>93.096000000000004</v>
      </c>
      <c r="E5" s="521"/>
      <c r="F5" s="488" t="s">
        <v>337</v>
      </c>
      <c r="G5" s="488">
        <v>1990</v>
      </c>
      <c r="H5" s="489">
        <v>64.099999999999994</v>
      </c>
      <c r="I5" s="489">
        <v>275.89999999999998</v>
      </c>
      <c r="J5" s="489">
        <v>574.29999999999995</v>
      </c>
      <c r="K5" s="489">
        <v>11.7</v>
      </c>
      <c r="L5" s="489">
        <v>10.5</v>
      </c>
      <c r="M5" s="489">
        <v>31.7</v>
      </c>
      <c r="N5" s="489">
        <v>31</v>
      </c>
      <c r="O5" s="489">
        <v>0</v>
      </c>
      <c r="P5" s="489">
        <v>0</v>
      </c>
      <c r="Q5" s="489">
        <v>0</v>
      </c>
      <c r="R5" s="489">
        <v>0</v>
      </c>
      <c r="S5" s="489">
        <v>171.1</v>
      </c>
      <c r="T5" s="490">
        <f t="shared" si="0"/>
        <v>968.2</v>
      </c>
      <c r="U5" s="490">
        <f t="shared" si="1"/>
        <v>202.1</v>
      </c>
      <c r="V5" s="490">
        <f t="shared" si="2"/>
        <v>1170.3</v>
      </c>
    </row>
    <row r="6" spans="1:22" x14ac:dyDescent="0.25">
      <c r="A6">
        <v>3</v>
      </c>
      <c r="B6">
        <v>159.94800000000001</v>
      </c>
      <c r="E6" s="521"/>
      <c r="F6" s="488" t="s">
        <v>338</v>
      </c>
      <c r="G6" s="488">
        <v>1991</v>
      </c>
      <c r="H6" s="489">
        <v>97.2</v>
      </c>
      <c r="I6" s="489">
        <v>55.4</v>
      </c>
      <c r="J6" s="489">
        <v>99.7</v>
      </c>
      <c r="K6" s="489">
        <v>44.1</v>
      </c>
      <c r="L6" s="489">
        <v>47.4</v>
      </c>
      <c r="M6" s="489">
        <v>56.7</v>
      </c>
      <c r="N6" s="489">
        <v>0.1</v>
      </c>
      <c r="O6" s="489">
        <v>0</v>
      </c>
      <c r="P6" s="489">
        <v>0</v>
      </c>
      <c r="Q6" s="489">
        <v>8.8000000000000007</v>
      </c>
      <c r="R6" s="489">
        <v>1.9</v>
      </c>
      <c r="S6" s="489">
        <v>0</v>
      </c>
      <c r="T6" s="490">
        <f t="shared" si="0"/>
        <v>400.5</v>
      </c>
      <c r="U6" s="490">
        <f t="shared" si="1"/>
        <v>10.8</v>
      </c>
      <c r="V6" s="490">
        <f t="shared" si="2"/>
        <v>411.3</v>
      </c>
    </row>
    <row r="7" spans="1:22" x14ac:dyDescent="0.25">
      <c r="A7">
        <v>4</v>
      </c>
      <c r="B7">
        <v>797.65200000000004</v>
      </c>
      <c r="E7" s="521"/>
      <c r="F7" s="488" t="s">
        <v>339</v>
      </c>
      <c r="G7" s="488">
        <v>1992</v>
      </c>
      <c r="H7" s="489">
        <v>0</v>
      </c>
      <c r="I7" s="489">
        <v>86.688000000000002</v>
      </c>
      <c r="J7" s="489">
        <v>45.414000000000001</v>
      </c>
      <c r="K7" s="489">
        <v>0</v>
      </c>
      <c r="L7" s="489">
        <v>0</v>
      </c>
      <c r="M7" s="489">
        <v>0</v>
      </c>
      <c r="N7" s="489">
        <v>129.80000000000001</v>
      </c>
      <c r="O7" s="489">
        <v>1257.7</v>
      </c>
      <c r="P7" s="489">
        <v>573</v>
      </c>
      <c r="Q7" s="489">
        <v>0</v>
      </c>
      <c r="R7" s="489">
        <v>0</v>
      </c>
      <c r="S7" s="489">
        <v>0</v>
      </c>
      <c r="T7" s="490">
        <f t="shared" si="0"/>
        <v>132.102</v>
      </c>
      <c r="U7" s="490">
        <f t="shared" si="1"/>
        <v>1960.5</v>
      </c>
      <c r="V7" s="490">
        <f t="shared" si="2"/>
        <v>2092.6019999999999</v>
      </c>
    </row>
    <row r="8" spans="1:22" x14ac:dyDescent="0.25">
      <c r="A8">
        <v>5</v>
      </c>
      <c r="B8">
        <v>385.03800000000001</v>
      </c>
      <c r="E8" s="521"/>
      <c r="F8" s="488" t="s">
        <v>340</v>
      </c>
      <c r="G8" s="488">
        <v>1993</v>
      </c>
      <c r="H8" s="489">
        <v>21.42</v>
      </c>
      <c r="I8" s="489">
        <v>0</v>
      </c>
      <c r="J8" s="489">
        <v>282.13200000000001</v>
      </c>
      <c r="K8" s="489">
        <v>97.688000000000002</v>
      </c>
      <c r="L8" s="489">
        <v>4.968</v>
      </c>
      <c r="M8" s="489">
        <v>12.114000000000001</v>
      </c>
      <c r="N8" s="489">
        <v>0</v>
      </c>
      <c r="O8" s="489">
        <v>229.91399999999999</v>
      </c>
      <c r="P8" s="489">
        <v>1227.0930000000001</v>
      </c>
      <c r="Q8" s="489">
        <v>568.49400000000003</v>
      </c>
      <c r="R8" s="489">
        <v>0</v>
      </c>
      <c r="S8" s="489">
        <v>0</v>
      </c>
      <c r="T8" s="490">
        <f t="shared" si="0"/>
        <v>418.322</v>
      </c>
      <c r="U8" s="490">
        <f t="shared" si="1"/>
        <v>2025.5010000000002</v>
      </c>
      <c r="V8" s="490">
        <f t="shared" si="2"/>
        <v>2443.8230000000003</v>
      </c>
    </row>
    <row r="9" spans="1:22" x14ac:dyDescent="0.25">
      <c r="A9">
        <v>6</v>
      </c>
      <c r="B9">
        <v>910.99800000000005</v>
      </c>
      <c r="E9" s="521"/>
      <c r="F9" s="488" t="s">
        <v>341</v>
      </c>
      <c r="G9" s="488">
        <v>1994</v>
      </c>
      <c r="H9" s="491">
        <v>54.125999999999998</v>
      </c>
      <c r="I9" s="491">
        <v>89.171999999999997</v>
      </c>
      <c r="J9" s="491">
        <v>14.04</v>
      </c>
      <c r="K9" s="491">
        <v>70.488</v>
      </c>
      <c r="L9" s="491">
        <v>13.212</v>
      </c>
      <c r="M9" s="491">
        <v>0</v>
      </c>
      <c r="N9" s="491">
        <v>0</v>
      </c>
      <c r="O9" s="491">
        <v>92.7</v>
      </c>
      <c r="P9" s="491">
        <v>0</v>
      </c>
      <c r="Q9" s="491">
        <v>0</v>
      </c>
      <c r="R9" s="491">
        <v>0</v>
      </c>
      <c r="S9" s="491">
        <v>27</v>
      </c>
      <c r="T9" s="490">
        <f t="shared" si="0"/>
        <v>241.03799999999998</v>
      </c>
      <c r="U9" s="490">
        <f t="shared" si="1"/>
        <v>119.7</v>
      </c>
      <c r="V9" s="490">
        <f t="shared" si="2"/>
        <v>360.738</v>
      </c>
    </row>
    <row r="10" spans="1:22" x14ac:dyDescent="0.25">
      <c r="A10">
        <v>7</v>
      </c>
      <c r="B10">
        <v>690.75</v>
      </c>
      <c r="E10" s="521"/>
      <c r="F10" s="488" t="s">
        <v>342</v>
      </c>
      <c r="G10" s="488">
        <v>1995</v>
      </c>
      <c r="H10" s="491">
        <v>292.572</v>
      </c>
      <c r="I10" s="491">
        <v>139.93199999999999</v>
      </c>
      <c r="J10" s="491">
        <v>12.708</v>
      </c>
      <c r="K10" s="491">
        <v>10.368</v>
      </c>
      <c r="L10" s="491">
        <v>65.664000000000001</v>
      </c>
      <c r="M10" s="491">
        <v>0</v>
      </c>
      <c r="N10" s="491">
        <v>0</v>
      </c>
      <c r="O10" s="491">
        <v>8.5</v>
      </c>
      <c r="P10" s="491">
        <v>0</v>
      </c>
      <c r="Q10" s="491">
        <v>221.1</v>
      </c>
      <c r="R10" s="491">
        <v>249.6</v>
      </c>
      <c r="S10" s="491">
        <v>245.1</v>
      </c>
      <c r="T10" s="490">
        <f t="shared" si="0"/>
        <v>521.24400000000003</v>
      </c>
      <c r="U10" s="490">
        <f t="shared" si="1"/>
        <v>724.3</v>
      </c>
      <c r="V10" s="490">
        <f t="shared" si="2"/>
        <v>1245.5440000000001</v>
      </c>
    </row>
    <row r="11" spans="1:22" x14ac:dyDescent="0.25">
      <c r="A11">
        <v>8</v>
      </c>
      <c r="B11">
        <v>617.25599999999997</v>
      </c>
      <c r="E11" s="521"/>
      <c r="F11" s="488" t="s">
        <v>343</v>
      </c>
      <c r="G11" s="492" t="s">
        <v>374</v>
      </c>
      <c r="H11" s="491">
        <v>109.7</v>
      </c>
      <c r="I11" s="491">
        <v>101.1</v>
      </c>
      <c r="J11" s="491">
        <v>128.9</v>
      </c>
      <c r="K11" s="491">
        <v>446.9</v>
      </c>
      <c r="L11" s="491">
        <v>129</v>
      </c>
      <c r="M11" s="491">
        <v>664.7</v>
      </c>
      <c r="N11" s="491">
        <v>67</v>
      </c>
      <c r="O11" s="491">
        <v>338.5</v>
      </c>
      <c r="P11" s="491">
        <v>0</v>
      </c>
      <c r="Q11" s="491">
        <v>0</v>
      </c>
      <c r="R11" s="491">
        <v>0</v>
      </c>
      <c r="S11" s="491">
        <v>154.1</v>
      </c>
      <c r="T11" s="490">
        <f t="shared" si="0"/>
        <v>1580.3000000000002</v>
      </c>
      <c r="U11" s="490">
        <f t="shared" si="1"/>
        <v>559.6</v>
      </c>
      <c r="V11" s="490">
        <f t="shared" si="2"/>
        <v>2139.9</v>
      </c>
    </row>
    <row r="12" spans="1:22" x14ac:dyDescent="0.25">
      <c r="A12">
        <v>9</v>
      </c>
      <c r="E12" s="521"/>
      <c r="F12" s="488" t="s">
        <v>344</v>
      </c>
      <c r="G12" s="492">
        <v>1997</v>
      </c>
      <c r="H12" s="491">
        <v>0.1</v>
      </c>
      <c r="I12" s="491">
        <v>8.1999999999999993</v>
      </c>
      <c r="J12" s="491">
        <v>227.8</v>
      </c>
      <c r="K12" s="491">
        <v>219.9</v>
      </c>
      <c r="L12" s="491">
        <v>23.9</v>
      </c>
      <c r="M12" s="491">
        <v>0.2</v>
      </c>
      <c r="N12" s="491">
        <v>5.2</v>
      </c>
      <c r="O12" s="491">
        <v>601.1</v>
      </c>
      <c r="P12" s="491">
        <v>488.4</v>
      </c>
      <c r="Q12" s="491">
        <v>165.4</v>
      </c>
      <c r="R12" s="491">
        <v>299.10000000000002</v>
      </c>
      <c r="S12" s="491">
        <v>767.1</v>
      </c>
      <c r="T12" s="490">
        <f t="shared" si="0"/>
        <v>480.09999999999997</v>
      </c>
      <c r="U12" s="490">
        <f t="shared" si="1"/>
        <v>2326.3000000000002</v>
      </c>
      <c r="V12" s="490">
        <f t="shared" si="2"/>
        <v>2806.4</v>
      </c>
    </row>
    <row r="13" spans="1:22" x14ac:dyDescent="0.25">
      <c r="A13">
        <v>10</v>
      </c>
      <c r="E13" s="521"/>
      <c r="F13" s="488" t="s">
        <v>345</v>
      </c>
      <c r="G13" s="492">
        <v>1998</v>
      </c>
      <c r="H13" s="491">
        <v>653.20000000000005</v>
      </c>
      <c r="I13" s="491">
        <v>226.8</v>
      </c>
      <c r="J13" s="491">
        <v>8.9</v>
      </c>
      <c r="K13" s="491">
        <v>65.599999999999994</v>
      </c>
      <c r="L13" s="491">
        <v>92.9</v>
      </c>
      <c r="M13" s="491">
        <v>5.8</v>
      </c>
      <c r="N13" s="491">
        <v>0</v>
      </c>
      <c r="O13" s="491">
        <v>0</v>
      </c>
      <c r="P13" s="491">
        <v>87.8</v>
      </c>
      <c r="Q13" s="491">
        <v>53.1</v>
      </c>
      <c r="R13" s="491">
        <v>416.5</v>
      </c>
      <c r="S13" s="491">
        <v>208.6</v>
      </c>
      <c r="T13" s="490">
        <f t="shared" si="0"/>
        <v>1053.2</v>
      </c>
      <c r="U13" s="490">
        <f t="shared" si="1"/>
        <v>766</v>
      </c>
      <c r="V13" s="490">
        <f t="shared" si="2"/>
        <v>1819.1999999999998</v>
      </c>
    </row>
    <row r="14" spans="1:22" x14ac:dyDescent="0.25">
      <c r="A14">
        <v>11</v>
      </c>
      <c r="E14" s="521"/>
      <c r="F14" s="488" t="s">
        <v>346</v>
      </c>
      <c r="G14" s="492">
        <v>1999</v>
      </c>
      <c r="H14" s="491">
        <v>0.1</v>
      </c>
      <c r="I14" s="491">
        <v>85.3</v>
      </c>
      <c r="J14" s="491">
        <v>42.3</v>
      </c>
      <c r="K14" s="491">
        <v>3.9</v>
      </c>
      <c r="L14" s="491">
        <v>0</v>
      </c>
      <c r="M14" s="491">
        <v>0</v>
      </c>
      <c r="N14" s="491">
        <v>0</v>
      </c>
      <c r="O14" s="491">
        <v>0</v>
      </c>
      <c r="P14" s="491">
        <v>0</v>
      </c>
      <c r="Q14" s="491">
        <v>310.7</v>
      </c>
      <c r="R14" s="491">
        <v>102.4</v>
      </c>
      <c r="S14" s="491">
        <v>421.8</v>
      </c>
      <c r="T14" s="490">
        <f t="shared" si="0"/>
        <v>131.6</v>
      </c>
      <c r="U14" s="490">
        <f t="shared" si="1"/>
        <v>834.90000000000009</v>
      </c>
      <c r="V14" s="490">
        <f t="shared" si="2"/>
        <v>966.5</v>
      </c>
    </row>
    <row r="15" spans="1:22" x14ac:dyDescent="0.25">
      <c r="A15">
        <v>12</v>
      </c>
      <c r="E15" s="521"/>
      <c r="F15" s="488" t="s">
        <v>347</v>
      </c>
      <c r="G15" s="492">
        <v>2000</v>
      </c>
      <c r="H15" s="491">
        <v>441</v>
      </c>
      <c r="I15" s="491">
        <v>263.39999999999998</v>
      </c>
      <c r="J15" s="491">
        <v>17.3</v>
      </c>
      <c r="K15" s="491">
        <v>0</v>
      </c>
      <c r="L15" s="491">
        <v>0.4</v>
      </c>
      <c r="M15" s="491">
        <v>399.2</v>
      </c>
      <c r="N15" s="491">
        <v>62.4</v>
      </c>
      <c r="O15" s="491">
        <v>230.8</v>
      </c>
      <c r="P15" s="491">
        <v>1302.8</v>
      </c>
      <c r="Q15" s="491">
        <v>12.6</v>
      </c>
      <c r="R15" s="491">
        <v>4.5720000000000001</v>
      </c>
      <c r="S15" s="491">
        <v>0</v>
      </c>
      <c r="T15" s="490">
        <f t="shared" si="0"/>
        <v>1121.3</v>
      </c>
      <c r="U15" s="490">
        <f t="shared" si="1"/>
        <v>1613.1719999999998</v>
      </c>
      <c r="V15" s="490">
        <f t="shared" si="2"/>
        <v>2734.4720000000002</v>
      </c>
    </row>
    <row r="16" spans="1:22" x14ac:dyDescent="0.25">
      <c r="E16" s="521"/>
      <c r="F16" s="488" t="s">
        <v>348</v>
      </c>
      <c r="G16" s="492">
        <v>2001</v>
      </c>
      <c r="H16" s="491">
        <v>73.3</v>
      </c>
      <c r="I16" s="491">
        <v>1912.1</v>
      </c>
      <c r="J16" s="491">
        <v>1026.8</v>
      </c>
      <c r="K16" s="491">
        <v>447.5</v>
      </c>
      <c r="L16" s="491">
        <v>12.3</v>
      </c>
      <c r="M16" s="491">
        <v>8.7479999999999993</v>
      </c>
      <c r="N16" s="491">
        <v>0</v>
      </c>
      <c r="O16" s="491">
        <v>0</v>
      </c>
      <c r="P16" s="491">
        <v>0</v>
      </c>
      <c r="Q16" s="491">
        <v>0</v>
      </c>
      <c r="R16" s="491">
        <v>0</v>
      </c>
      <c r="S16" s="491">
        <v>62.981999999999999</v>
      </c>
      <c r="T16" s="490">
        <f t="shared" si="0"/>
        <v>3480.748</v>
      </c>
      <c r="U16" s="490">
        <f t="shared" si="1"/>
        <v>62.981999999999999</v>
      </c>
      <c r="V16" s="490">
        <f t="shared" si="2"/>
        <v>3543.73</v>
      </c>
    </row>
    <row r="17" spans="5:22" x14ac:dyDescent="0.25">
      <c r="E17" s="521"/>
      <c r="F17" s="488" t="s">
        <v>349</v>
      </c>
      <c r="G17" s="492">
        <v>2002</v>
      </c>
      <c r="H17" s="491">
        <v>153.018</v>
      </c>
      <c r="I17" s="491">
        <v>28.087</v>
      </c>
      <c r="J17" s="491">
        <f>2.088+4.5</f>
        <v>6.5880000000000001</v>
      </c>
      <c r="K17" s="491">
        <f>6.1125+27.2655</f>
        <v>33.378</v>
      </c>
      <c r="L17" s="491">
        <f>54.8805+23.3895</f>
        <v>78.27</v>
      </c>
      <c r="M17" s="491">
        <f>9.7185+5.0445</f>
        <v>14.763000000000002</v>
      </c>
      <c r="N17" s="491">
        <v>0</v>
      </c>
      <c r="O17" s="491">
        <v>0</v>
      </c>
      <c r="P17" s="491">
        <v>0</v>
      </c>
      <c r="Q17" s="491">
        <v>27.8</v>
      </c>
      <c r="R17" s="491">
        <v>375.5</v>
      </c>
      <c r="S17" s="491">
        <v>388.3</v>
      </c>
      <c r="T17" s="490">
        <f t="shared" si="0"/>
        <v>314.10399999999993</v>
      </c>
      <c r="U17" s="490">
        <f t="shared" si="1"/>
        <v>791.6</v>
      </c>
      <c r="V17" s="490">
        <f t="shared" si="2"/>
        <v>1105.704</v>
      </c>
    </row>
    <row r="18" spans="5:22" x14ac:dyDescent="0.25">
      <c r="E18" s="521"/>
      <c r="F18" s="488" t="s">
        <v>350</v>
      </c>
      <c r="G18" s="492">
        <v>2003</v>
      </c>
      <c r="H18" s="491">
        <v>661.6</v>
      </c>
      <c r="I18" s="491">
        <v>786</v>
      </c>
      <c r="J18" s="491">
        <v>182</v>
      </c>
      <c r="K18" s="491">
        <v>148.69999999999999</v>
      </c>
      <c r="L18" s="491">
        <v>71.8</v>
      </c>
      <c r="M18" s="491">
        <v>19.8</v>
      </c>
      <c r="N18" s="491">
        <v>16.3</v>
      </c>
      <c r="O18" s="491">
        <v>0</v>
      </c>
      <c r="P18" s="491">
        <v>0</v>
      </c>
      <c r="Q18" s="491">
        <v>0</v>
      </c>
      <c r="R18" s="491">
        <v>272.27100000000002</v>
      </c>
      <c r="S18" s="491">
        <v>328.54050000000001</v>
      </c>
      <c r="T18" s="490">
        <f t="shared" si="0"/>
        <v>1869.8999999999999</v>
      </c>
      <c r="U18" s="490">
        <f t="shared" si="1"/>
        <v>617.11149999999998</v>
      </c>
      <c r="V18" s="490">
        <f t="shared" si="2"/>
        <v>2487.0115000000001</v>
      </c>
    </row>
    <row r="19" spans="5:22" x14ac:dyDescent="0.25">
      <c r="E19" s="521"/>
      <c r="F19" s="488" t="s">
        <v>375</v>
      </c>
      <c r="G19" s="492">
        <v>2004</v>
      </c>
      <c r="H19" s="491">
        <v>344.05200000000002</v>
      </c>
      <c r="I19" s="491">
        <v>144.9</v>
      </c>
      <c r="J19" s="491">
        <v>174.97649999999999</v>
      </c>
      <c r="K19" s="491">
        <v>5.08</v>
      </c>
      <c r="L19" s="491">
        <v>1.0395000000000001</v>
      </c>
      <c r="M19" s="491">
        <v>0.90749999999999997</v>
      </c>
      <c r="N19" s="491">
        <v>0</v>
      </c>
      <c r="O19" s="491">
        <v>0</v>
      </c>
      <c r="P19" s="491">
        <v>0</v>
      </c>
      <c r="Q19" s="491">
        <v>248.886</v>
      </c>
      <c r="R19" s="491">
        <v>494.70749999999998</v>
      </c>
      <c r="S19" s="491">
        <v>330.435</v>
      </c>
      <c r="T19" s="490">
        <f t="shared" si="0"/>
        <v>670.95550000000003</v>
      </c>
      <c r="U19" s="490">
        <f t="shared" si="1"/>
        <v>1074.0284999999999</v>
      </c>
      <c r="V19" s="490">
        <f t="shared" si="2"/>
        <v>1744.9839999999999</v>
      </c>
    </row>
    <row r="20" spans="5:22" x14ac:dyDescent="0.25">
      <c r="E20" s="521"/>
      <c r="F20" s="488" t="s">
        <v>352</v>
      </c>
      <c r="G20" s="492">
        <v>2005</v>
      </c>
      <c r="H20" s="491">
        <v>747.09</v>
      </c>
      <c r="I20" s="491">
        <v>887.95749999999998</v>
      </c>
      <c r="J20" s="491">
        <v>31.869</v>
      </c>
      <c r="K20" s="491">
        <v>43.042499999999997</v>
      </c>
      <c r="L20" s="491">
        <v>18.986999999999998</v>
      </c>
      <c r="M20" s="491">
        <v>52.201500000000003</v>
      </c>
      <c r="N20" s="491">
        <v>303.93150000000003</v>
      </c>
      <c r="O20" s="491">
        <v>120.486</v>
      </c>
      <c r="P20" s="491">
        <v>96.232500000000002</v>
      </c>
      <c r="Q20" s="491">
        <v>982.33349999999996</v>
      </c>
      <c r="R20" s="491">
        <v>371.70299999999997</v>
      </c>
      <c r="S20" s="491">
        <v>106.206</v>
      </c>
      <c r="T20" s="490">
        <f t="shared" si="0"/>
        <v>1781.1475</v>
      </c>
      <c r="U20" s="490">
        <f t="shared" si="1"/>
        <v>1980.8924999999997</v>
      </c>
      <c r="V20" s="490">
        <f t="shared" si="2"/>
        <v>3762.0400000000004</v>
      </c>
    </row>
    <row r="21" spans="5:22" x14ac:dyDescent="0.25">
      <c r="E21" s="521"/>
      <c r="F21" s="488" t="s">
        <v>353</v>
      </c>
      <c r="G21" s="492">
        <v>2006</v>
      </c>
      <c r="H21" s="491">
        <v>11.933999999999999</v>
      </c>
      <c r="I21" s="491">
        <v>60.124499999999998</v>
      </c>
      <c r="J21" s="491">
        <v>46.262999999999998</v>
      </c>
      <c r="K21" s="491">
        <v>120.6555</v>
      </c>
      <c r="L21" s="491">
        <v>70.040999999999997</v>
      </c>
      <c r="M21" s="491">
        <v>55.067999999999998</v>
      </c>
      <c r="N21" s="491">
        <v>16.376999999999999</v>
      </c>
      <c r="O21" s="491">
        <v>6.2039999999999997</v>
      </c>
      <c r="P21" s="491">
        <v>56.679000000000002</v>
      </c>
      <c r="Q21" s="491">
        <v>525.53250000000003</v>
      </c>
      <c r="R21" s="491">
        <v>279.8415</v>
      </c>
      <c r="S21" s="491">
        <v>29.599499999999999</v>
      </c>
      <c r="T21" s="490">
        <f t="shared" si="0"/>
        <v>364.08599999999996</v>
      </c>
      <c r="U21" s="490">
        <f t="shared" si="1"/>
        <v>914.23350000000005</v>
      </c>
      <c r="V21" s="490">
        <f t="shared" si="2"/>
        <v>1278.3195000000001</v>
      </c>
    </row>
    <row r="22" spans="5:22" x14ac:dyDescent="0.25">
      <c r="E22" s="521"/>
      <c r="F22" s="488" t="s">
        <v>354</v>
      </c>
      <c r="G22" s="492">
        <v>2007</v>
      </c>
      <c r="H22" s="491">
        <v>146.76</v>
      </c>
      <c r="I22" s="491">
        <v>11.971500000000001</v>
      </c>
      <c r="J22" s="491">
        <v>241.11750000000001</v>
      </c>
      <c r="K22" s="491">
        <v>343.59300000000002</v>
      </c>
      <c r="L22" s="491">
        <v>386.238</v>
      </c>
      <c r="M22" s="491">
        <v>431.14499999999998</v>
      </c>
      <c r="N22" s="491">
        <v>184.04249999999999</v>
      </c>
      <c r="O22" s="491">
        <v>48.491999999999997</v>
      </c>
      <c r="P22" s="491">
        <v>0</v>
      </c>
      <c r="Q22" s="491">
        <f>107.7165+0.1485</f>
        <v>107.86499999999999</v>
      </c>
      <c r="R22" s="491">
        <v>390.06450000000001</v>
      </c>
      <c r="S22" s="491">
        <v>910.51800000000003</v>
      </c>
      <c r="T22" s="490">
        <f t="shared" si="0"/>
        <v>1560.825</v>
      </c>
      <c r="U22" s="490">
        <f t="shared" ref="U22:U28" si="3">SUM(N22:S22)</f>
        <v>1640.982</v>
      </c>
      <c r="V22" s="490">
        <f t="shared" si="2"/>
        <v>3201.8070000000002</v>
      </c>
    </row>
    <row r="23" spans="5:22" x14ac:dyDescent="0.25">
      <c r="E23" s="521"/>
      <c r="F23" s="488" t="s">
        <v>355</v>
      </c>
      <c r="G23" s="492">
        <v>2008</v>
      </c>
      <c r="H23" s="491">
        <v>221.76300000000001</v>
      </c>
      <c r="I23" s="491">
        <f>637.746+54.105</f>
        <v>691.851</v>
      </c>
      <c r="J23" s="491">
        <f>459.393+25.905</f>
        <v>485.298</v>
      </c>
      <c r="K23" s="491">
        <f>536.811+10.032</f>
        <v>546.84300000000007</v>
      </c>
      <c r="L23" s="491">
        <f>364.5015+0.8085</f>
        <v>365.31</v>
      </c>
      <c r="M23" s="491">
        <f>96.4425</f>
        <v>96.442499999999995</v>
      </c>
      <c r="N23" s="491">
        <f>2.5245+0.7425</f>
        <v>3.2670000000000003</v>
      </c>
      <c r="O23" s="491">
        <v>0</v>
      </c>
      <c r="P23" s="491">
        <v>0</v>
      </c>
      <c r="Q23" s="491">
        <v>0</v>
      </c>
      <c r="R23" s="491">
        <v>0</v>
      </c>
      <c r="S23" s="491">
        <v>0</v>
      </c>
      <c r="T23" s="490">
        <f t="shared" si="0"/>
        <v>2407.5075000000002</v>
      </c>
      <c r="U23" s="490">
        <f t="shared" si="3"/>
        <v>3.2670000000000003</v>
      </c>
      <c r="V23" s="490">
        <f t="shared" si="2"/>
        <v>2410.7745</v>
      </c>
    </row>
    <row r="24" spans="5:22" x14ac:dyDescent="0.25">
      <c r="E24" s="521"/>
      <c r="F24" s="488" t="s">
        <v>356</v>
      </c>
      <c r="G24" s="492">
        <v>2009</v>
      </c>
      <c r="H24" s="491">
        <v>0.68400000000000005</v>
      </c>
      <c r="I24" s="491">
        <v>376.59899999999999</v>
      </c>
      <c r="J24" s="491">
        <v>396.45600000000002</v>
      </c>
      <c r="K24" s="491">
        <v>399.166</v>
      </c>
      <c r="L24" s="491">
        <v>260.01900000000001</v>
      </c>
      <c r="M24" s="491">
        <v>59.006</v>
      </c>
      <c r="N24" s="491">
        <v>36.01</v>
      </c>
      <c r="O24" s="491">
        <v>129.19200000000001</v>
      </c>
      <c r="P24" s="491">
        <v>40.341999999999999</v>
      </c>
      <c r="Q24" s="491">
        <v>413.28899999999999</v>
      </c>
      <c r="R24" s="491">
        <v>949.86900000000003</v>
      </c>
      <c r="S24" s="491">
        <v>194.566</v>
      </c>
      <c r="T24" s="490">
        <f t="shared" si="0"/>
        <v>1491.93</v>
      </c>
      <c r="U24" s="490">
        <f t="shared" si="3"/>
        <v>1763.268</v>
      </c>
      <c r="V24" s="490">
        <f t="shared" si="2"/>
        <v>3255.1979999999999</v>
      </c>
    </row>
    <row r="25" spans="5:22" x14ac:dyDescent="0.25">
      <c r="E25" s="521"/>
      <c r="F25" s="488" t="s">
        <v>357</v>
      </c>
      <c r="G25" s="492">
        <v>2010</v>
      </c>
      <c r="H25" s="491">
        <v>7.8209999999999997</v>
      </c>
      <c r="I25" s="491">
        <v>192.43950000000001</v>
      </c>
      <c r="J25" s="491">
        <v>656.01149999999996</v>
      </c>
      <c r="K25" s="491">
        <v>413.553</v>
      </c>
      <c r="L25" s="491">
        <v>366.31650000000002</v>
      </c>
      <c r="M25" s="491">
        <v>125.944</v>
      </c>
      <c r="N25" s="491">
        <v>8.4809999999999999</v>
      </c>
      <c r="O25" s="491">
        <v>4.7355</v>
      </c>
      <c r="P25" s="491">
        <v>7.6725000000000003</v>
      </c>
      <c r="Q25" s="491">
        <v>0</v>
      </c>
      <c r="R25" s="491">
        <v>132.4425</v>
      </c>
      <c r="S25" s="491">
        <v>240.25800000000001</v>
      </c>
      <c r="T25" s="490">
        <f t="shared" si="0"/>
        <v>1762.0854999999997</v>
      </c>
      <c r="U25" s="490">
        <f t="shared" si="3"/>
        <v>393.58950000000004</v>
      </c>
      <c r="V25" s="490">
        <f t="shared" si="2"/>
        <v>2155.6749999999993</v>
      </c>
    </row>
    <row r="26" spans="5:22" x14ac:dyDescent="0.25">
      <c r="E26" s="521"/>
      <c r="F26" s="488" t="s">
        <v>358</v>
      </c>
      <c r="G26" s="492">
        <v>2011</v>
      </c>
      <c r="H26" s="491">
        <v>195.6</v>
      </c>
      <c r="I26" s="491">
        <v>213.13499999999999</v>
      </c>
      <c r="J26" s="491">
        <v>451.79399999999998</v>
      </c>
      <c r="K26" s="491">
        <v>697.62750000000005</v>
      </c>
      <c r="L26" s="491">
        <v>309.74549999999999</v>
      </c>
      <c r="M26" s="491">
        <v>137.65</v>
      </c>
      <c r="N26" s="491">
        <v>20.526</v>
      </c>
      <c r="O26" s="491">
        <v>31.276499999999999</v>
      </c>
      <c r="P26" s="491">
        <v>3.3000000000000002E-2</v>
      </c>
      <c r="Q26" s="491">
        <v>159.5385</v>
      </c>
      <c r="R26" s="491">
        <v>181.47749999999999</v>
      </c>
      <c r="S26" s="491">
        <v>165.33449999999999</v>
      </c>
      <c r="T26" s="490">
        <f t="shared" si="0"/>
        <v>2005.5520000000001</v>
      </c>
      <c r="U26" s="490">
        <f t="shared" si="3"/>
        <v>558.18599999999992</v>
      </c>
      <c r="V26" s="490">
        <f t="shared" si="2"/>
        <v>2563.7380000000003</v>
      </c>
    </row>
    <row r="27" spans="5:22" x14ac:dyDescent="0.25">
      <c r="E27" s="521"/>
      <c r="F27" s="488" t="s">
        <v>359</v>
      </c>
      <c r="G27" s="492">
        <v>2012</v>
      </c>
      <c r="H27" s="491">
        <v>80.010000000000005</v>
      </c>
      <c r="I27" s="491">
        <v>498.56400000000002</v>
      </c>
      <c r="J27" s="491">
        <v>202.06800000000001</v>
      </c>
      <c r="K27" s="491">
        <v>566.94600000000003</v>
      </c>
      <c r="L27" s="491">
        <v>446.83199999999999</v>
      </c>
      <c r="M27" s="491">
        <v>206.76599999999999</v>
      </c>
      <c r="N27" s="491">
        <v>54.72</v>
      </c>
      <c r="O27" s="491">
        <v>5.2380000000000004</v>
      </c>
      <c r="P27" s="491">
        <v>50.634</v>
      </c>
      <c r="Q27" s="491">
        <v>35.19</v>
      </c>
      <c r="R27" s="491">
        <v>2.8079999999999998</v>
      </c>
      <c r="S27" s="491">
        <v>157.84200000000001</v>
      </c>
      <c r="T27" s="490">
        <f t="shared" si="0"/>
        <v>2001.1860000000001</v>
      </c>
      <c r="U27" s="490">
        <f t="shared" si="3"/>
        <v>306.43200000000002</v>
      </c>
      <c r="V27" s="490">
        <f t="shared" si="2"/>
        <v>2307.6179999999999</v>
      </c>
    </row>
    <row r="28" spans="5:22" x14ac:dyDescent="0.25">
      <c r="E28" s="521"/>
      <c r="F28" s="488" t="s">
        <v>360</v>
      </c>
      <c r="G28" s="492">
        <v>2013</v>
      </c>
      <c r="H28" s="491">
        <v>177.804</v>
      </c>
      <c r="I28" s="491">
        <v>447.06599999999997</v>
      </c>
      <c r="J28" s="491">
        <v>109.026</v>
      </c>
      <c r="K28" s="491">
        <v>888.22799999999995</v>
      </c>
      <c r="L28" s="491">
        <v>553.78800000000001</v>
      </c>
      <c r="M28" s="491">
        <f>336.942+39.366</f>
        <v>376.30799999999999</v>
      </c>
      <c r="N28" s="491">
        <f>0.054+194.994+2.502</f>
        <v>197.55</v>
      </c>
      <c r="O28" s="491">
        <v>63.72</v>
      </c>
      <c r="P28" s="491">
        <v>58.823999999999998</v>
      </c>
      <c r="Q28" s="491">
        <v>67.031999999999996</v>
      </c>
      <c r="R28" s="491">
        <v>235.04400000000001</v>
      </c>
      <c r="S28" s="491">
        <v>234.25200000000001</v>
      </c>
      <c r="T28" s="490">
        <f t="shared" si="0"/>
        <v>2552.2199999999998</v>
      </c>
      <c r="U28" s="490">
        <f t="shared" si="3"/>
        <v>856.42200000000003</v>
      </c>
      <c r="V28" s="490">
        <f t="shared" si="2"/>
        <v>3408.6419999999998</v>
      </c>
    </row>
    <row r="29" spans="5:22" x14ac:dyDescent="0.25">
      <c r="E29" s="521"/>
      <c r="F29" s="488" t="s">
        <v>361</v>
      </c>
      <c r="G29" s="492">
        <v>2014</v>
      </c>
      <c r="H29" s="491">
        <v>193.32</v>
      </c>
      <c r="I29" s="491">
        <v>460.76400000000001</v>
      </c>
      <c r="J29" s="491">
        <v>419.41800000000001</v>
      </c>
      <c r="K29" s="491">
        <v>771.40800000000002</v>
      </c>
      <c r="L29" s="491">
        <v>660.31200000000001</v>
      </c>
      <c r="M29" s="491">
        <v>687.52800000000002</v>
      </c>
      <c r="N29" s="491">
        <v>808.452</v>
      </c>
      <c r="O29" s="491">
        <v>495.91800000000001</v>
      </c>
      <c r="P29" s="491">
        <v>688.12199999999996</v>
      </c>
      <c r="Q29" s="491">
        <v>105.282</v>
      </c>
      <c r="R29" s="491">
        <v>87.245999999999995</v>
      </c>
      <c r="S29" s="491">
        <v>149.94</v>
      </c>
      <c r="T29" s="490">
        <f t="shared" si="0"/>
        <v>3192.75</v>
      </c>
      <c r="U29" s="490">
        <f>SUM(N29:S29)</f>
        <v>2334.96</v>
      </c>
      <c r="V29" s="490">
        <f>SUM(H29:S29)</f>
        <v>5527.71</v>
      </c>
    </row>
    <row r="30" spans="5:22" x14ac:dyDescent="0.25">
      <c r="E30" s="521"/>
      <c r="F30" s="488" t="s">
        <v>362</v>
      </c>
      <c r="G30" s="492">
        <v>2015</v>
      </c>
      <c r="H30" s="491">
        <v>284.47199999999998</v>
      </c>
      <c r="I30" s="491">
        <v>347.346</v>
      </c>
      <c r="J30" s="491">
        <v>528.10199999999998</v>
      </c>
      <c r="K30" s="491">
        <v>685.78200000000004</v>
      </c>
      <c r="L30" s="491">
        <v>603.32399999999996</v>
      </c>
      <c r="M30" s="491">
        <v>772.99199999999996</v>
      </c>
      <c r="N30" s="491">
        <v>488.16</v>
      </c>
      <c r="O30" s="491">
        <v>275.83199999999999</v>
      </c>
      <c r="P30" s="491">
        <v>82.188000000000002</v>
      </c>
      <c r="Q30" s="491">
        <v>539.47799999999995</v>
      </c>
      <c r="R30" s="491">
        <v>183.58199999999999</v>
      </c>
      <c r="S30" s="491">
        <v>411.44400000000002</v>
      </c>
      <c r="T30" s="490">
        <f>SUM(H30:M30)</f>
        <v>3222.018</v>
      </c>
      <c r="U30" s="490">
        <f>SUM(N30:S30)</f>
        <v>1980.6839999999997</v>
      </c>
      <c r="V30" s="490">
        <f>SUM(H30:S30)</f>
        <v>5202.7020000000002</v>
      </c>
    </row>
    <row r="31" spans="5:22" x14ac:dyDescent="0.25">
      <c r="E31" s="521"/>
      <c r="F31" s="488" t="s">
        <v>363</v>
      </c>
      <c r="G31" s="492">
        <v>2016</v>
      </c>
      <c r="H31" s="491">
        <v>507.07799999999997</v>
      </c>
      <c r="I31" s="491">
        <v>544.51800000000003</v>
      </c>
      <c r="J31" s="491">
        <v>445.77</v>
      </c>
      <c r="K31" s="491">
        <v>506.286</v>
      </c>
      <c r="L31" s="491">
        <v>477.36</v>
      </c>
      <c r="M31" s="491">
        <v>162.16200000000001</v>
      </c>
      <c r="N31" s="491">
        <v>244.83600000000001</v>
      </c>
      <c r="O31" s="491">
        <v>31.95</v>
      </c>
      <c r="P31" s="491">
        <v>33.281999999999996</v>
      </c>
      <c r="Q31" s="491">
        <v>42.012</v>
      </c>
      <c r="R31" s="491">
        <v>60.497999999999998</v>
      </c>
      <c r="S31" s="491">
        <v>592.36199999999997</v>
      </c>
      <c r="T31" s="490">
        <f>SUM(H31:M31)</f>
        <v>2643.174</v>
      </c>
      <c r="U31" s="490">
        <f>SUM(N31:S31)</f>
        <v>1004.9399999999999</v>
      </c>
      <c r="V31" s="490">
        <f>SUM(H31:S31)</f>
        <v>3648.1140000000005</v>
      </c>
    </row>
    <row r="32" spans="5:22" x14ac:dyDescent="0.25">
      <c r="E32" s="521"/>
      <c r="F32" s="488" t="s">
        <v>364</v>
      </c>
      <c r="G32" s="492">
        <v>2017</v>
      </c>
      <c r="H32" s="491">
        <v>428.32799999999997</v>
      </c>
      <c r="I32" s="491">
        <v>618.91200000000003</v>
      </c>
      <c r="J32" s="491">
        <v>728.02800000000002</v>
      </c>
      <c r="K32" s="491">
        <v>755.56799999999998</v>
      </c>
      <c r="L32" s="491">
        <v>429.42599999999999</v>
      </c>
      <c r="M32" s="491">
        <v>267.786</v>
      </c>
      <c r="N32" s="491">
        <v>6.1740000000000004</v>
      </c>
      <c r="O32" s="491">
        <v>45.881999999999998</v>
      </c>
      <c r="P32" s="491">
        <v>80.567999999999998</v>
      </c>
      <c r="Q32" s="491">
        <v>130.32</v>
      </c>
      <c r="R32" s="491">
        <v>93.096000000000004</v>
      </c>
      <c r="S32" s="491">
        <v>159.94800000000001</v>
      </c>
      <c r="T32" s="490">
        <f>SUM(H32:M32)</f>
        <v>3228.0480000000002</v>
      </c>
      <c r="U32" s="490">
        <f>SUM(N32:S32)</f>
        <v>515.98799999999994</v>
      </c>
      <c r="V32" s="490">
        <f>SUM(H32:S32)</f>
        <v>3744.0360000000005</v>
      </c>
    </row>
    <row r="33" spans="5:22" x14ac:dyDescent="0.25">
      <c r="E33" s="521"/>
      <c r="F33" s="488" t="s">
        <v>376</v>
      </c>
      <c r="G33" s="492">
        <v>2018</v>
      </c>
      <c r="H33" s="491">
        <v>797.65200000000004</v>
      </c>
      <c r="I33" s="491">
        <v>385.03800000000001</v>
      </c>
      <c r="J33" s="491">
        <v>910.99800000000005</v>
      </c>
      <c r="K33" s="491">
        <v>690.75</v>
      </c>
      <c r="L33" s="491">
        <v>617.25599999999997</v>
      </c>
      <c r="M33" s="491"/>
      <c r="N33" s="491"/>
      <c r="O33" s="491"/>
      <c r="P33" s="491"/>
      <c r="Q33" s="491"/>
      <c r="R33" s="491"/>
      <c r="S33" s="491"/>
      <c r="T33" s="490"/>
      <c r="U33" s="490"/>
      <c r="V33" s="490"/>
    </row>
    <row r="34" spans="5:22" ht="19" x14ac:dyDescent="0.25">
      <c r="E34" s="521"/>
      <c r="F34" s="493"/>
      <c r="G34" s="494" t="s">
        <v>236</v>
      </c>
      <c r="H34" s="495">
        <f>H33/H32</f>
        <v>1.8622457555891749</v>
      </c>
      <c r="I34" s="495">
        <f t="shared" ref="I34:V34" si="4">I33/I32</f>
        <v>0.6221207538389949</v>
      </c>
      <c r="J34" s="495">
        <f t="shared" si="4"/>
        <v>1.2513227513227514</v>
      </c>
      <c r="K34" s="495">
        <f t="shared" si="4"/>
        <v>0.91421288355250618</v>
      </c>
      <c r="L34" s="495">
        <f t="shared" si="4"/>
        <v>1.4373978287295133</v>
      </c>
      <c r="M34" s="495">
        <f t="shared" si="4"/>
        <v>0</v>
      </c>
      <c r="N34" s="495">
        <f t="shared" si="4"/>
        <v>0</v>
      </c>
      <c r="O34" s="495">
        <f t="shared" si="4"/>
        <v>0</v>
      </c>
      <c r="P34" s="495">
        <f t="shared" si="4"/>
        <v>0</v>
      </c>
      <c r="Q34" s="495">
        <f t="shared" si="4"/>
        <v>0</v>
      </c>
      <c r="R34" s="495">
        <f t="shared" si="4"/>
        <v>0</v>
      </c>
      <c r="S34" s="495">
        <f t="shared" si="4"/>
        <v>0</v>
      </c>
      <c r="T34" s="495">
        <f t="shared" si="4"/>
        <v>0</v>
      </c>
      <c r="U34" s="495">
        <f t="shared" si="4"/>
        <v>0</v>
      </c>
      <c r="V34" s="495">
        <f t="shared" si="4"/>
        <v>0</v>
      </c>
    </row>
    <row r="35" spans="5:22" x14ac:dyDescent="0.25">
      <c r="E35" s="521"/>
      <c r="F35" s="493"/>
      <c r="G35" s="496" t="s">
        <v>377</v>
      </c>
      <c r="H35" s="497">
        <f>AVERAGE(H28:H32)</f>
        <v>318.2004</v>
      </c>
      <c r="I35" s="497">
        <f t="shared" ref="I35:V35" si="5">AVERAGE(I28:I32)</f>
        <v>483.72119999999995</v>
      </c>
      <c r="J35" s="497">
        <f>AVERAGE(J28:J32)</f>
        <v>446.06880000000001</v>
      </c>
      <c r="K35" s="497">
        <f t="shared" si="5"/>
        <v>721.45439999999996</v>
      </c>
      <c r="L35" s="497">
        <f t="shared" si="5"/>
        <v>544.84199999999998</v>
      </c>
      <c r="M35" s="497">
        <f t="shared" si="5"/>
        <v>453.35519999999997</v>
      </c>
      <c r="N35" s="497">
        <f t="shared" si="5"/>
        <v>349.03440000000001</v>
      </c>
      <c r="O35" s="497">
        <f t="shared" si="5"/>
        <v>182.66040000000001</v>
      </c>
      <c r="P35" s="497">
        <f t="shared" si="5"/>
        <v>188.59679999999997</v>
      </c>
      <c r="Q35" s="497">
        <f t="shared" si="5"/>
        <v>176.82479999999995</v>
      </c>
      <c r="R35" s="497">
        <f t="shared" si="5"/>
        <v>131.89320000000001</v>
      </c>
      <c r="S35" s="497">
        <f t="shared" si="5"/>
        <v>309.58920000000001</v>
      </c>
      <c r="T35" s="497">
        <f t="shared" si="5"/>
        <v>2967.6420000000003</v>
      </c>
      <c r="U35" s="497">
        <f t="shared" si="5"/>
        <v>1338.5988</v>
      </c>
      <c r="V35" s="497">
        <f t="shared" si="5"/>
        <v>4306.2408000000005</v>
      </c>
    </row>
    <row r="36" spans="5:22" ht="19" x14ac:dyDescent="0.25">
      <c r="E36" s="498"/>
      <c r="F36" s="498"/>
      <c r="G36" s="499" t="s">
        <v>378</v>
      </c>
      <c r="H36" s="500">
        <f>H33/H35</f>
        <v>2.5067598909366553</v>
      </c>
      <c r="I36" s="500">
        <f t="shared" ref="I36:V36" si="6">I33/I35</f>
        <v>0.79599157531239084</v>
      </c>
      <c r="J36" s="500">
        <f>J33/J35</f>
        <v>2.0422813700487459</v>
      </c>
      <c r="K36" s="500">
        <f t="shared" si="6"/>
        <v>0.95744096924213096</v>
      </c>
      <c r="L36" s="500">
        <f t="shared" si="6"/>
        <v>1.1329082559714558</v>
      </c>
      <c r="M36" s="500">
        <f t="shared" si="6"/>
        <v>0</v>
      </c>
      <c r="N36" s="500">
        <f t="shared" si="6"/>
        <v>0</v>
      </c>
      <c r="O36" s="500">
        <f t="shared" si="6"/>
        <v>0</v>
      </c>
      <c r="P36" s="500">
        <f t="shared" si="6"/>
        <v>0</v>
      </c>
      <c r="Q36" s="500">
        <f t="shared" si="6"/>
        <v>0</v>
      </c>
      <c r="R36" s="500">
        <f t="shared" si="6"/>
        <v>0</v>
      </c>
      <c r="S36" s="500">
        <f t="shared" si="6"/>
        <v>0</v>
      </c>
      <c r="T36" s="500">
        <f t="shared" si="6"/>
        <v>0</v>
      </c>
      <c r="U36" s="500">
        <f t="shared" si="6"/>
        <v>0</v>
      </c>
      <c r="V36" s="500">
        <f t="shared" si="6"/>
        <v>0</v>
      </c>
    </row>
    <row r="37" spans="5:22" ht="19" x14ac:dyDescent="0.25">
      <c r="E37" s="498"/>
      <c r="F37" s="498"/>
      <c r="G37" s="501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</row>
    <row r="38" spans="5:22" x14ac:dyDescent="0.25">
      <c r="E38" s="498"/>
      <c r="F38" s="498"/>
      <c r="G38" s="503" t="s">
        <v>379</v>
      </c>
      <c r="H38" s="504">
        <f>H33</f>
        <v>797.65200000000004</v>
      </c>
      <c r="I38" s="504">
        <f t="shared" ref="I38:S38" si="7">I33</f>
        <v>385.03800000000001</v>
      </c>
      <c r="J38" s="504">
        <f t="shared" si="7"/>
        <v>910.99800000000005</v>
      </c>
      <c r="K38" s="504">
        <f t="shared" si="7"/>
        <v>690.75</v>
      </c>
      <c r="L38" s="504">
        <f t="shared" si="7"/>
        <v>617.25599999999997</v>
      </c>
      <c r="M38" s="504">
        <f t="shared" si="7"/>
        <v>0</v>
      </c>
      <c r="N38" s="504">
        <f t="shared" si="7"/>
        <v>0</v>
      </c>
      <c r="O38" s="504">
        <f t="shared" si="7"/>
        <v>0</v>
      </c>
      <c r="P38" s="504">
        <f t="shared" si="7"/>
        <v>0</v>
      </c>
      <c r="Q38" s="504">
        <f t="shared" si="7"/>
        <v>0</v>
      </c>
      <c r="R38" s="504">
        <f t="shared" si="7"/>
        <v>0</v>
      </c>
      <c r="S38" s="504">
        <f t="shared" si="7"/>
        <v>0</v>
      </c>
      <c r="T38" s="502"/>
      <c r="U38" s="502"/>
      <c r="V38" s="502"/>
    </row>
    <row r="39" spans="5:22" x14ac:dyDescent="0.25">
      <c r="E39" s="498"/>
      <c r="F39" s="498"/>
      <c r="G39" s="498"/>
      <c r="H39" s="504">
        <f>H34*100</f>
        <v>186.22457555891748</v>
      </c>
      <c r="I39" s="504">
        <f t="shared" ref="I39:S39" si="8">I34*100</f>
        <v>62.212075383899489</v>
      </c>
      <c r="J39" s="504">
        <f t="shared" si="8"/>
        <v>125.13227513227514</v>
      </c>
      <c r="K39" s="504">
        <f t="shared" si="8"/>
        <v>91.421288355250624</v>
      </c>
      <c r="L39" s="504">
        <f t="shared" si="8"/>
        <v>143.73978287295134</v>
      </c>
      <c r="M39" s="504">
        <f t="shared" si="8"/>
        <v>0</v>
      </c>
      <c r="N39" s="504">
        <f t="shared" si="8"/>
        <v>0</v>
      </c>
      <c r="O39" s="504">
        <f t="shared" si="8"/>
        <v>0</v>
      </c>
      <c r="P39" s="504">
        <f t="shared" si="8"/>
        <v>0</v>
      </c>
      <c r="Q39" s="504">
        <f t="shared" si="8"/>
        <v>0</v>
      </c>
      <c r="R39" s="504">
        <f t="shared" si="8"/>
        <v>0</v>
      </c>
      <c r="S39" s="504">
        <f t="shared" si="8"/>
        <v>0</v>
      </c>
      <c r="T39" s="502"/>
      <c r="U39" s="502"/>
      <c r="V39" s="502"/>
    </row>
    <row r="40" spans="5:22" x14ac:dyDescent="0.25">
      <c r="E40" s="498"/>
      <c r="F40" s="498"/>
      <c r="G40" s="498"/>
      <c r="H40" s="504">
        <f>H36*100</f>
        <v>250.67598909366552</v>
      </c>
      <c r="I40" s="504">
        <f t="shared" ref="I40:S40" si="9">I36*100</f>
        <v>79.599157531239086</v>
      </c>
      <c r="J40" s="504">
        <f t="shared" si="9"/>
        <v>204.22813700487458</v>
      </c>
      <c r="K40" s="504">
        <f t="shared" si="9"/>
        <v>95.744096924213096</v>
      </c>
      <c r="L40" s="504">
        <f t="shared" si="9"/>
        <v>113.29082559714558</v>
      </c>
      <c r="M40" s="504">
        <f t="shared" si="9"/>
        <v>0</v>
      </c>
      <c r="N40" s="504">
        <f t="shared" si="9"/>
        <v>0</v>
      </c>
      <c r="O40" s="504">
        <f t="shared" si="9"/>
        <v>0</v>
      </c>
      <c r="P40" s="504">
        <f t="shared" si="9"/>
        <v>0</v>
      </c>
      <c r="Q40" s="504">
        <f t="shared" si="9"/>
        <v>0</v>
      </c>
      <c r="R40" s="504">
        <f t="shared" si="9"/>
        <v>0</v>
      </c>
      <c r="S40" s="504">
        <f t="shared" si="9"/>
        <v>0</v>
      </c>
      <c r="T40" s="502"/>
      <c r="U40" s="502"/>
      <c r="V40" s="502"/>
    </row>
  </sheetData>
  <mergeCells count="2">
    <mergeCell ref="E1:K1"/>
    <mergeCell ref="E4:E35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V47" sqref="V47"/>
    </sheetView>
  </sheetViews>
  <sheetFormatPr baseColWidth="10" defaultColWidth="6.125" defaultRowHeight="18" x14ac:dyDescent="0.25"/>
  <cols>
    <col min="1" max="5" width="6.125" style="468"/>
    <col min="6" max="6" width="14" style="467" customWidth="1"/>
    <col min="7" max="7" width="4.25" style="467" customWidth="1"/>
    <col min="8" max="19" width="6.125" style="468" customWidth="1"/>
    <col min="20" max="20" width="7.125" style="468" customWidth="1"/>
    <col min="21" max="21" width="6.125" style="468" customWidth="1"/>
    <col min="22" max="23" width="8" style="468" customWidth="1"/>
    <col min="24" max="16384" width="6.125" style="468"/>
  </cols>
  <sheetData>
    <row r="1" spans="1:23" x14ac:dyDescent="0.25">
      <c r="F1" s="466" t="s">
        <v>304</v>
      </c>
    </row>
    <row r="2" spans="1:23" x14ac:dyDescent="0.25">
      <c r="T2" s="469" t="s">
        <v>305</v>
      </c>
    </row>
    <row r="3" spans="1:23" x14ac:dyDescent="0.25">
      <c r="A3" s="468" t="s">
        <v>205</v>
      </c>
      <c r="B3" s="468" t="s">
        <v>295</v>
      </c>
      <c r="C3" s="468" t="s">
        <v>225</v>
      </c>
      <c r="F3" s="470" t="s">
        <v>306</v>
      </c>
      <c r="G3" s="470" t="s">
        <v>306</v>
      </c>
      <c r="H3" s="471" t="s">
        <v>307</v>
      </c>
      <c r="I3" s="471" t="s">
        <v>308</v>
      </c>
      <c r="J3" s="471" t="s">
        <v>309</v>
      </c>
      <c r="K3" s="471" t="s">
        <v>310</v>
      </c>
      <c r="L3" s="471" t="s">
        <v>311</v>
      </c>
      <c r="M3" s="471" t="s">
        <v>312</v>
      </c>
      <c r="N3" s="471" t="s">
        <v>313</v>
      </c>
      <c r="O3" s="471" t="s">
        <v>314</v>
      </c>
      <c r="P3" s="471" t="s">
        <v>315</v>
      </c>
      <c r="Q3" s="471" t="s">
        <v>316</v>
      </c>
      <c r="R3" s="471" t="s">
        <v>317</v>
      </c>
      <c r="S3" s="471" t="s">
        <v>318</v>
      </c>
      <c r="T3" s="471" t="s">
        <v>319</v>
      </c>
      <c r="V3" s="472" t="s">
        <v>320</v>
      </c>
      <c r="W3" s="472" t="s">
        <v>321</v>
      </c>
    </row>
    <row r="4" spans="1:23" x14ac:dyDescent="0.25">
      <c r="A4" s="468">
        <v>1</v>
      </c>
      <c r="B4" s="468">
        <v>608</v>
      </c>
      <c r="C4" s="468">
        <f>B4/1000</f>
        <v>0.60799999999999998</v>
      </c>
      <c r="F4" s="467">
        <v>1975</v>
      </c>
      <c r="G4" s="467" t="s">
        <v>322</v>
      </c>
      <c r="H4" s="473"/>
      <c r="I4" s="473"/>
      <c r="J4" s="473"/>
      <c r="K4" s="473"/>
      <c r="L4" s="473"/>
      <c r="M4" s="473"/>
      <c r="N4" s="473"/>
      <c r="O4" s="473"/>
      <c r="P4" s="473"/>
      <c r="Q4" s="473">
        <v>104218</v>
      </c>
      <c r="R4" s="473">
        <v>22615</v>
      </c>
      <c r="S4" s="473">
        <v>4801</v>
      </c>
      <c r="T4" s="473">
        <f t="shared" ref="T4:T41" si="0">SUM(H4:S4)</f>
        <v>131634</v>
      </c>
      <c r="V4" s="474"/>
      <c r="W4" s="474"/>
    </row>
    <row r="5" spans="1:23" x14ac:dyDescent="0.25">
      <c r="A5" s="468">
        <v>2</v>
      </c>
      <c r="B5" s="468">
        <v>0</v>
      </c>
      <c r="C5" s="468">
        <f t="shared" ref="C5:C11" si="1">B5/1000</f>
        <v>0</v>
      </c>
      <c r="F5" s="467">
        <v>1976</v>
      </c>
      <c r="G5" s="467" t="s">
        <v>323</v>
      </c>
      <c r="H5" s="473">
        <v>69855</v>
      </c>
      <c r="I5" s="473">
        <v>30</v>
      </c>
      <c r="J5" s="473">
        <v>57533</v>
      </c>
      <c r="K5" s="473">
        <v>211490</v>
      </c>
      <c r="L5" s="473">
        <v>107817</v>
      </c>
      <c r="M5" s="473">
        <v>89277</v>
      </c>
      <c r="N5" s="473">
        <v>60664</v>
      </c>
      <c r="O5" s="473">
        <v>397944</v>
      </c>
      <c r="P5" s="473">
        <v>829130</v>
      </c>
      <c r="Q5" s="473">
        <v>511529</v>
      </c>
      <c r="R5" s="473">
        <v>325000</v>
      </c>
      <c r="S5" s="473">
        <v>25635</v>
      </c>
      <c r="T5" s="473">
        <f t="shared" si="0"/>
        <v>2685904</v>
      </c>
      <c r="V5" s="474">
        <f>SUM(H5:L5)</f>
        <v>446725</v>
      </c>
      <c r="W5" s="475">
        <f>SUM(M5:Q5)</f>
        <v>1888544</v>
      </c>
    </row>
    <row r="6" spans="1:23" x14ac:dyDescent="0.25">
      <c r="A6" s="468">
        <v>3</v>
      </c>
      <c r="B6" s="468">
        <v>208</v>
      </c>
      <c r="C6" s="468">
        <f t="shared" si="1"/>
        <v>0.20799999999999999</v>
      </c>
      <c r="F6" s="467">
        <v>1977</v>
      </c>
      <c r="G6" s="467" t="s">
        <v>324</v>
      </c>
      <c r="H6" s="473">
        <v>11895</v>
      </c>
      <c r="I6" s="473">
        <v>10500</v>
      </c>
      <c r="J6" s="473">
        <v>53610</v>
      </c>
      <c r="K6" s="473">
        <v>54165</v>
      </c>
      <c r="L6" s="473">
        <v>31775</v>
      </c>
      <c r="M6" s="473">
        <v>21120</v>
      </c>
      <c r="N6" s="473">
        <v>120795</v>
      </c>
      <c r="O6" s="473">
        <v>404949</v>
      </c>
      <c r="P6" s="473">
        <v>736735</v>
      </c>
      <c r="Q6" s="473">
        <v>456867</v>
      </c>
      <c r="R6" s="473">
        <v>566810</v>
      </c>
      <c r="S6" s="473">
        <v>877410</v>
      </c>
      <c r="T6" s="473">
        <f t="shared" si="0"/>
        <v>3346631</v>
      </c>
      <c r="V6" s="474">
        <f t="shared" ref="V6:V46" si="2">SUM(H6:L6)</f>
        <v>161945</v>
      </c>
      <c r="W6" s="475">
        <f t="shared" ref="W6:W38" si="3">SUM(M6:Q6)</f>
        <v>1740466</v>
      </c>
    </row>
    <row r="7" spans="1:23" x14ac:dyDescent="0.25">
      <c r="A7" s="468">
        <v>4</v>
      </c>
      <c r="B7" s="468">
        <v>496</v>
      </c>
      <c r="C7" s="468">
        <f t="shared" si="1"/>
        <v>0.496</v>
      </c>
      <c r="F7" s="467">
        <v>1978</v>
      </c>
      <c r="G7" s="467" t="s">
        <v>325</v>
      </c>
      <c r="H7" s="473">
        <v>342441</v>
      </c>
      <c r="I7" s="473">
        <v>94575</v>
      </c>
      <c r="J7" s="473">
        <v>39201</v>
      </c>
      <c r="K7" s="473">
        <v>20073</v>
      </c>
      <c r="L7" s="473">
        <v>7470</v>
      </c>
      <c r="M7" s="473">
        <v>1296</v>
      </c>
      <c r="N7" s="473">
        <v>330</v>
      </c>
      <c r="O7" s="473">
        <v>42975</v>
      </c>
      <c r="P7" s="473">
        <v>693227</v>
      </c>
      <c r="Q7" s="473">
        <v>458980</v>
      </c>
      <c r="R7" s="473">
        <v>179993</v>
      </c>
      <c r="S7" s="473">
        <v>397410</v>
      </c>
      <c r="T7" s="473">
        <f t="shared" si="0"/>
        <v>2277971</v>
      </c>
      <c r="V7" s="474">
        <f t="shared" si="2"/>
        <v>503760</v>
      </c>
      <c r="W7" s="475">
        <f t="shared" si="3"/>
        <v>1196808</v>
      </c>
    </row>
    <row r="8" spans="1:23" x14ac:dyDescent="0.25">
      <c r="A8" s="468">
        <v>5</v>
      </c>
      <c r="B8" s="468">
        <v>3424</v>
      </c>
      <c r="C8" s="468">
        <f t="shared" si="1"/>
        <v>3.4239999999999999</v>
      </c>
      <c r="F8" s="467">
        <v>1979</v>
      </c>
      <c r="G8" s="467" t="s">
        <v>326</v>
      </c>
      <c r="H8" s="473">
        <v>170535</v>
      </c>
      <c r="I8" s="473">
        <v>277635</v>
      </c>
      <c r="J8" s="473">
        <v>93570</v>
      </c>
      <c r="K8" s="473">
        <v>16200</v>
      </c>
      <c r="L8" s="473">
        <v>29700</v>
      </c>
      <c r="M8" s="473">
        <v>0</v>
      </c>
      <c r="N8" s="473">
        <v>27480</v>
      </c>
      <c r="O8" s="473">
        <v>278865</v>
      </c>
      <c r="P8" s="473">
        <v>403959</v>
      </c>
      <c r="Q8" s="473">
        <v>259804</v>
      </c>
      <c r="R8" s="473">
        <v>129523</v>
      </c>
      <c r="S8" s="473">
        <v>26385</v>
      </c>
      <c r="T8" s="473">
        <f t="shared" si="0"/>
        <v>1713656</v>
      </c>
      <c r="V8" s="474">
        <f t="shared" si="2"/>
        <v>587640</v>
      </c>
      <c r="W8" s="475">
        <f t="shared" si="3"/>
        <v>970108</v>
      </c>
    </row>
    <row r="9" spans="1:23" x14ac:dyDescent="0.25">
      <c r="A9" s="468">
        <v>6</v>
      </c>
      <c r="B9" s="468">
        <v>0</v>
      </c>
      <c r="C9" s="468">
        <f t="shared" si="1"/>
        <v>0</v>
      </c>
      <c r="F9" s="467">
        <v>1980</v>
      </c>
      <c r="G9" s="467" t="s">
        <v>327</v>
      </c>
      <c r="H9" s="473">
        <v>4365</v>
      </c>
      <c r="I9" s="473">
        <v>114285</v>
      </c>
      <c r="J9" s="473">
        <v>10278</v>
      </c>
      <c r="K9" s="473">
        <v>14100</v>
      </c>
      <c r="L9" s="473">
        <v>8910</v>
      </c>
      <c r="M9" s="473">
        <v>6918</v>
      </c>
      <c r="N9" s="473">
        <v>36600</v>
      </c>
      <c r="O9" s="473">
        <v>173730</v>
      </c>
      <c r="P9" s="473">
        <v>16650</v>
      </c>
      <c r="Q9" s="473">
        <v>43215</v>
      </c>
      <c r="R9" s="473">
        <v>17280</v>
      </c>
      <c r="S9" s="473">
        <v>1575</v>
      </c>
      <c r="T9" s="473">
        <f t="shared" si="0"/>
        <v>447906</v>
      </c>
      <c r="V9" s="474">
        <f t="shared" si="2"/>
        <v>151938</v>
      </c>
      <c r="W9" s="475">
        <f t="shared" si="3"/>
        <v>277113</v>
      </c>
    </row>
    <row r="10" spans="1:23" x14ac:dyDescent="0.25">
      <c r="A10" s="468">
        <v>7</v>
      </c>
      <c r="B10" s="468">
        <v>3808</v>
      </c>
      <c r="C10" s="468">
        <f t="shared" si="1"/>
        <v>3.8079999999999998</v>
      </c>
      <c r="F10" s="467">
        <v>1981</v>
      </c>
      <c r="G10" s="467" t="s">
        <v>328</v>
      </c>
      <c r="H10" s="473">
        <v>15660</v>
      </c>
      <c r="I10" s="473">
        <v>11610</v>
      </c>
      <c r="J10" s="473">
        <v>1245</v>
      </c>
      <c r="K10" s="473">
        <v>7785</v>
      </c>
      <c r="L10" s="473">
        <v>405</v>
      </c>
      <c r="M10" s="473">
        <v>29445</v>
      </c>
      <c r="N10" s="473">
        <v>18150</v>
      </c>
      <c r="O10" s="473">
        <v>133560</v>
      </c>
      <c r="P10" s="473">
        <v>308476</v>
      </c>
      <c r="Q10" s="473">
        <v>124305</v>
      </c>
      <c r="R10" s="473">
        <v>192930</v>
      </c>
      <c r="S10" s="473">
        <v>43950</v>
      </c>
      <c r="T10" s="473">
        <f t="shared" si="0"/>
        <v>887521</v>
      </c>
      <c r="V10" s="474">
        <f t="shared" si="2"/>
        <v>36705</v>
      </c>
      <c r="W10" s="475">
        <f t="shared" si="3"/>
        <v>613936</v>
      </c>
    </row>
    <row r="11" spans="1:23" x14ac:dyDescent="0.25">
      <c r="A11" s="468">
        <v>8</v>
      </c>
      <c r="B11" s="468">
        <v>0</v>
      </c>
      <c r="C11" s="468">
        <f t="shared" si="1"/>
        <v>0</v>
      </c>
      <c r="F11" s="467">
        <v>1982</v>
      </c>
      <c r="G11" s="467" t="s">
        <v>329</v>
      </c>
      <c r="H11" s="473">
        <v>36840</v>
      </c>
      <c r="I11" s="473">
        <v>66195</v>
      </c>
      <c r="J11" s="473">
        <v>32745</v>
      </c>
      <c r="K11" s="473">
        <v>314415</v>
      </c>
      <c r="L11" s="473">
        <v>187839</v>
      </c>
      <c r="M11" s="473">
        <v>90240</v>
      </c>
      <c r="N11" s="473">
        <v>190230</v>
      </c>
      <c r="O11" s="473">
        <v>243150</v>
      </c>
      <c r="P11" s="473">
        <v>301365</v>
      </c>
      <c r="Q11" s="473">
        <v>194490</v>
      </c>
      <c r="R11" s="473">
        <v>7920</v>
      </c>
      <c r="S11" s="473">
        <v>0</v>
      </c>
      <c r="T11" s="473">
        <f t="shared" si="0"/>
        <v>1665429</v>
      </c>
      <c r="V11" s="474">
        <f t="shared" si="2"/>
        <v>638034</v>
      </c>
      <c r="W11" s="475">
        <f t="shared" si="3"/>
        <v>1019475</v>
      </c>
    </row>
    <row r="12" spans="1:23" x14ac:dyDescent="0.25">
      <c r="A12" s="468">
        <v>9</v>
      </c>
      <c r="F12" s="467">
        <v>1983</v>
      </c>
      <c r="G12" s="467" t="s">
        <v>330</v>
      </c>
      <c r="H12" s="473">
        <v>840</v>
      </c>
      <c r="I12" s="473">
        <v>390</v>
      </c>
      <c r="J12" s="473">
        <v>29580</v>
      </c>
      <c r="K12" s="473">
        <v>201945</v>
      </c>
      <c r="L12" s="473">
        <v>260055</v>
      </c>
      <c r="M12" s="473">
        <v>205350</v>
      </c>
      <c r="N12" s="473">
        <v>88905</v>
      </c>
      <c r="O12" s="473">
        <v>173910</v>
      </c>
      <c r="P12" s="473">
        <v>212202</v>
      </c>
      <c r="Q12" s="473">
        <v>251910</v>
      </c>
      <c r="R12" s="473">
        <v>150120</v>
      </c>
      <c r="S12" s="473">
        <v>141525</v>
      </c>
      <c r="T12" s="473">
        <f t="shared" si="0"/>
        <v>1716732</v>
      </c>
      <c r="V12" s="474">
        <f t="shared" si="2"/>
        <v>492810</v>
      </c>
      <c r="W12" s="475">
        <f t="shared" si="3"/>
        <v>932277</v>
      </c>
    </row>
    <row r="13" spans="1:23" x14ac:dyDescent="0.25">
      <c r="A13" s="468">
        <v>10</v>
      </c>
      <c r="F13" s="467">
        <v>1984</v>
      </c>
      <c r="G13" s="467" t="s">
        <v>331</v>
      </c>
      <c r="H13" s="473">
        <v>4065</v>
      </c>
      <c r="I13" s="473">
        <v>14910</v>
      </c>
      <c r="J13" s="473">
        <v>83475</v>
      </c>
      <c r="K13" s="473">
        <v>127485</v>
      </c>
      <c r="L13" s="473">
        <v>33900</v>
      </c>
      <c r="M13" s="473">
        <v>140295</v>
      </c>
      <c r="N13" s="473">
        <v>139830</v>
      </c>
      <c r="O13" s="473">
        <v>179205</v>
      </c>
      <c r="P13" s="473">
        <v>194280</v>
      </c>
      <c r="Q13" s="473">
        <v>192090</v>
      </c>
      <c r="R13" s="473">
        <v>38130</v>
      </c>
      <c r="S13" s="473">
        <v>75</v>
      </c>
      <c r="T13" s="473">
        <f t="shared" si="0"/>
        <v>1147740</v>
      </c>
      <c r="V13" s="474">
        <f t="shared" si="2"/>
        <v>263835</v>
      </c>
      <c r="W13" s="475">
        <f t="shared" si="3"/>
        <v>845700</v>
      </c>
    </row>
    <row r="14" spans="1:23" x14ac:dyDescent="0.25">
      <c r="A14" s="468">
        <v>11</v>
      </c>
      <c r="F14" s="467">
        <v>1985</v>
      </c>
      <c r="G14" s="467" t="s">
        <v>332</v>
      </c>
      <c r="H14" s="473">
        <v>7808</v>
      </c>
      <c r="I14" s="473">
        <v>9210</v>
      </c>
      <c r="J14" s="473">
        <v>53490</v>
      </c>
      <c r="K14" s="473">
        <v>405540</v>
      </c>
      <c r="L14" s="473">
        <v>165720</v>
      </c>
      <c r="M14" s="473">
        <v>12810</v>
      </c>
      <c r="N14" s="473">
        <v>152520</v>
      </c>
      <c r="O14" s="473">
        <v>212760</v>
      </c>
      <c r="P14" s="473">
        <v>142725</v>
      </c>
      <c r="Q14" s="473">
        <v>101190</v>
      </c>
      <c r="R14" s="473">
        <v>53</v>
      </c>
      <c r="S14" s="473">
        <v>443</v>
      </c>
      <c r="T14" s="473">
        <f t="shared" si="0"/>
        <v>1264269</v>
      </c>
      <c r="V14" s="474">
        <f t="shared" si="2"/>
        <v>641768</v>
      </c>
      <c r="W14" s="475">
        <f t="shared" si="3"/>
        <v>622005</v>
      </c>
    </row>
    <row r="15" spans="1:23" x14ac:dyDescent="0.25">
      <c r="A15" s="468">
        <v>12</v>
      </c>
      <c r="F15" s="467">
        <v>1986</v>
      </c>
      <c r="G15" s="467" t="s">
        <v>333</v>
      </c>
      <c r="H15" s="473">
        <v>1335</v>
      </c>
      <c r="I15" s="473">
        <v>16568</v>
      </c>
      <c r="J15" s="473">
        <v>26910</v>
      </c>
      <c r="K15" s="473">
        <v>289710</v>
      </c>
      <c r="L15" s="473">
        <v>192068</v>
      </c>
      <c r="M15" s="473">
        <v>7755</v>
      </c>
      <c r="N15" s="473">
        <v>33950</v>
      </c>
      <c r="O15" s="473">
        <v>311776</v>
      </c>
      <c r="P15" s="473">
        <v>213855</v>
      </c>
      <c r="Q15" s="473">
        <v>30188</v>
      </c>
      <c r="R15" s="473">
        <v>12660</v>
      </c>
      <c r="S15" s="473">
        <v>52591</v>
      </c>
      <c r="T15" s="473">
        <f t="shared" si="0"/>
        <v>1189366</v>
      </c>
      <c r="V15" s="474">
        <f t="shared" si="2"/>
        <v>526591</v>
      </c>
      <c r="W15" s="475">
        <f t="shared" si="3"/>
        <v>597524</v>
      </c>
    </row>
    <row r="16" spans="1:23" x14ac:dyDescent="0.25">
      <c r="F16" s="467">
        <v>1987</v>
      </c>
      <c r="G16" s="467" t="s">
        <v>334</v>
      </c>
      <c r="H16" s="473">
        <v>2700</v>
      </c>
      <c r="I16" s="473">
        <v>7988</v>
      </c>
      <c r="J16" s="473">
        <v>43110</v>
      </c>
      <c r="K16" s="473">
        <v>191311</v>
      </c>
      <c r="L16" s="473">
        <v>524805</v>
      </c>
      <c r="M16" s="473">
        <v>169860</v>
      </c>
      <c r="N16" s="473">
        <v>10980</v>
      </c>
      <c r="O16" s="473">
        <v>278805</v>
      </c>
      <c r="P16" s="473">
        <v>289080</v>
      </c>
      <c r="Q16" s="473">
        <v>209565</v>
      </c>
      <c r="R16" s="473">
        <v>5160</v>
      </c>
      <c r="S16" s="473">
        <v>331</v>
      </c>
      <c r="T16" s="473">
        <f t="shared" si="0"/>
        <v>1733695</v>
      </c>
      <c r="V16" s="474">
        <f t="shared" si="2"/>
        <v>769914</v>
      </c>
      <c r="W16" s="475">
        <f t="shared" si="3"/>
        <v>958290</v>
      </c>
    </row>
    <row r="17" spans="6:23" x14ac:dyDescent="0.25">
      <c r="F17" s="467">
        <v>1988</v>
      </c>
      <c r="G17" s="467" t="s">
        <v>335</v>
      </c>
      <c r="H17" s="473">
        <v>984</v>
      </c>
      <c r="I17" s="473">
        <v>17340</v>
      </c>
      <c r="J17" s="473">
        <v>38618</v>
      </c>
      <c r="K17" s="473">
        <v>139245</v>
      </c>
      <c r="L17" s="473">
        <v>52485</v>
      </c>
      <c r="M17" s="473">
        <v>167925</v>
      </c>
      <c r="N17" s="473">
        <v>281520</v>
      </c>
      <c r="O17" s="473">
        <v>246675</v>
      </c>
      <c r="P17" s="473">
        <v>342705</v>
      </c>
      <c r="Q17" s="473">
        <v>174585</v>
      </c>
      <c r="R17" s="473">
        <v>46290</v>
      </c>
      <c r="S17" s="473">
        <v>81540</v>
      </c>
      <c r="T17" s="473">
        <f t="shared" si="0"/>
        <v>1589912</v>
      </c>
      <c r="V17" s="474">
        <f t="shared" si="2"/>
        <v>248672</v>
      </c>
      <c r="W17" s="475">
        <f t="shared" si="3"/>
        <v>1213410</v>
      </c>
    </row>
    <row r="18" spans="6:23" x14ac:dyDescent="0.25">
      <c r="F18" s="467">
        <v>1989</v>
      </c>
      <c r="G18" s="467" t="s">
        <v>336</v>
      </c>
      <c r="H18" s="473">
        <v>126338</v>
      </c>
      <c r="I18" s="473">
        <v>86295</v>
      </c>
      <c r="J18" s="473">
        <v>24414</v>
      </c>
      <c r="K18" s="473">
        <v>179505</v>
      </c>
      <c r="L18" s="473">
        <v>117570</v>
      </c>
      <c r="M18" s="473">
        <v>147030</v>
      </c>
      <c r="N18" s="473">
        <v>79605</v>
      </c>
      <c r="O18" s="473">
        <v>232710</v>
      </c>
      <c r="P18" s="473">
        <v>370080</v>
      </c>
      <c r="Q18" s="473">
        <v>254610</v>
      </c>
      <c r="R18" s="473">
        <v>102420</v>
      </c>
      <c r="S18" s="473">
        <v>1335</v>
      </c>
      <c r="T18" s="473">
        <f t="shared" si="0"/>
        <v>1721912</v>
      </c>
      <c r="V18" s="474">
        <f t="shared" si="2"/>
        <v>534122</v>
      </c>
      <c r="W18" s="475">
        <f t="shared" si="3"/>
        <v>1084035</v>
      </c>
    </row>
    <row r="19" spans="6:23" x14ac:dyDescent="0.25">
      <c r="F19" s="467">
        <v>1990</v>
      </c>
      <c r="G19" s="467" t="s">
        <v>337</v>
      </c>
      <c r="H19" s="473">
        <v>45536</v>
      </c>
      <c r="I19" s="473">
        <v>116524</v>
      </c>
      <c r="J19" s="473">
        <v>200888</v>
      </c>
      <c r="K19" s="473">
        <v>291630</v>
      </c>
      <c r="L19" s="473">
        <v>47220</v>
      </c>
      <c r="M19" s="473">
        <v>50955</v>
      </c>
      <c r="N19" s="473">
        <v>122265</v>
      </c>
      <c r="O19" s="473">
        <v>184005</v>
      </c>
      <c r="P19" s="473">
        <v>84105</v>
      </c>
      <c r="Q19" s="473">
        <v>308310</v>
      </c>
      <c r="R19" s="473">
        <v>119325</v>
      </c>
      <c r="S19" s="473">
        <v>5160</v>
      </c>
      <c r="T19" s="473">
        <f t="shared" si="0"/>
        <v>1575923</v>
      </c>
      <c r="V19" s="474">
        <f t="shared" si="2"/>
        <v>701798</v>
      </c>
      <c r="W19" s="475">
        <f t="shared" si="3"/>
        <v>749640</v>
      </c>
    </row>
    <row r="20" spans="6:23" x14ac:dyDescent="0.25">
      <c r="F20" s="467">
        <v>1991</v>
      </c>
      <c r="G20" s="467" t="s">
        <v>338</v>
      </c>
      <c r="H20" s="473">
        <v>124545</v>
      </c>
      <c r="I20" s="473">
        <v>51016</v>
      </c>
      <c r="J20" s="473">
        <v>54240</v>
      </c>
      <c r="K20" s="473">
        <v>256688</v>
      </c>
      <c r="L20" s="473">
        <v>192406</v>
      </c>
      <c r="M20" s="473">
        <v>273330</v>
      </c>
      <c r="N20" s="473">
        <v>294495</v>
      </c>
      <c r="O20" s="473">
        <v>406440</v>
      </c>
      <c r="P20" s="473">
        <v>443258</v>
      </c>
      <c r="Q20" s="473">
        <v>234795</v>
      </c>
      <c r="R20" s="473">
        <v>65385</v>
      </c>
      <c r="S20" s="473">
        <v>0</v>
      </c>
      <c r="T20" s="473">
        <f t="shared" si="0"/>
        <v>2396598</v>
      </c>
      <c r="V20" s="474">
        <f t="shared" si="2"/>
        <v>678895</v>
      </c>
      <c r="W20" s="475">
        <f t="shared" si="3"/>
        <v>1652318</v>
      </c>
    </row>
    <row r="21" spans="6:23" x14ac:dyDescent="0.25">
      <c r="F21" s="467">
        <v>1992</v>
      </c>
      <c r="G21" s="467" t="s">
        <v>339</v>
      </c>
      <c r="H21" s="473">
        <v>1515</v>
      </c>
      <c r="I21" s="473">
        <v>9585</v>
      </c>
      <c r="J21" s="473">
        <v>22133</v>
      </c>
      <c r="K21" s="473">
        <v>150270</v>
      </c>
      <c r="L21" s="473">
        <v>71146</v>
      </c>
      <c r="M21" s="473">
        <v>355440</v>
      </c>
      <c r="N21" s="473">
        <v>375405</v>
      </c>
      <c r="O21" s="473">
        <v>221085</v>
      </c>
      <c r="P21" s="473">
        <v>293746</v>
      </c>
      <c r="Q21" s="473">
        <v>174435</v>
      </c>
      <c r="R21" s="473">
        <v>83970</v>
      </c>
      <c r="S21" s="473">
        <v>83</v>
      </c>
      <c r="T21" s="473">
        <f t="shared" si="0"/>
        <v>1758813</v>
      </c>
      <c r="V21" s="474">
        <f t="shared" si="2"/>
        <v>254649</v>
      </c>
      <c r="W21" s="475">
        <f t="shared" si="3"/>
        <v>1420111</v>
      </c>
    </row>
    <row r="22" spans="6:23" x14ac:dyDescent="0.25">
      <c r="F22" s="467">
        <v>1993</v>
      </c>
      <c r="G22" s="467" t="s">
        <v>340</v>
      </c>
      <c r="H22" s="473">
        <v>27833</v>
      </c>
      <c r="I22" s="473">
        <v>49830</v>
      </c>
      <c r="J22" s="473">
        <v>182588</v>
      </c>
      <c r="K22" s="473">
        <v>170145</v>
      </c>
      <c r="L22" s="473">
        <v>197513</v>
      </c>
      <c r="M22" s="473">
        <v>304523</v>
      </c>
      <c r="N22" s="473">
        <v>276615</v>
      </c>
      <c r="O22" s="473">
        <v>368380</v>
      </c>
      <c r="P22" s="473">
        <v>309495</v>
      </c>
      <c r="Q22" s="473">
        <v>134670</v>
      </c>
      <c r="R22" s="473">
        <v>107280</v>
      </c>
      <c r="S22" s="473">
        <v>44033</v>
      </c>
      <c r="T22" s="473">
        <f t="shared" si="0"/>
        <v>2172905</v>
      </c>
      <c r="V22" s="474">
        <f t="shared" si="2"/>
        <v>627909</v>
      </c>
      <c r="W22" s="475">
        <f t="shared" si="3"/>
        <v>1393683</v>
      </c>
    </row>
    <row r="23" spans="6:23" x14ac:dyDescent="0.25">
      <c r="F23" s="467">
        <v>1994</v>
      </c>
      <c r="G23" s="467" t="s">
        <v>341</v>
      </c>
      <c r="H23" s="473">
        <v>4980</v>
      </c>
      <c r="I23" s="473">
        <v>33570</v>
      </c>
      <c r="J23" s="473">
        <v>56280</v>
      </c>
      <c r="K23" s="473">
        <v>142755</v>
      </c>
      <c r="L23" s="473">
        <v>144698</v>
      </c>
      <c r="M23" s="473">
        <v>19928</v>
      </c>
      <c r="N23" s="473">
        <v>60225</v>
      </c>
      <c r="O23" s="473">
        <v>431535</v>
      </c>
      <c r="P23" s="473">
        <v>321405</v>
      </c>
      <c r="Q23" s="473">
        <v>48585</v>
      </c>
      <c r="R23" s="473">
        <v>45</v>
      </c>
      <c r="S23" s="473">
        <v>615</v>
      </c>
      <c r="T23" s="473">
        <f t="shared" si="0"/>
        <v>1264621</v>
      </c>
      <c r="V23" s="474">
        <f t="shared" si="2"/>
        <v>382283</v>
      </c>
      <c r="W23" s="475">
        <f t="shared" si="3"/>
        <v>881678</v>
      </c>
    </row>
    <row r="24" spans="6:23" x14ac:dyDescent="0.25">
      <c r="F24" s="467">
        <v>1995</v>
      </c>
      <c r="G24" s="467" t="s">
        <v>342</v>
      </c>
      <c r="H24" s="473">
        <v>6263</v>
      </c>
      <c r="I24" s="473">
        <v>23348</v>
      </c>
      <c r="J24" s="473">
        <v>206206</v>
      </c>
      <c r="K24" s="473">
        <v>76531</v>
      </c>
      <c r="L24" s="473">
        <v>825</v>
      </c>
      <c r="M24" s="473">
        <v>2933</v>
      </c>
      <c r="N24" s="473">
        <v>31710</v>
      </c>
      <c r="O24" s="473">
        <v>296040</v>
      </c>
      <c r="P24" s="473">
        <v>199200</v>
      </c>
      <c r="Q24" s="473">
        <v>185760</v>
      </c>
      <c r="R24" s="473">
        <v>19373</v>
      </c>
      <c r="S24" s="473">
        <v>7350</v>
      </c>
      <c r="T24" s="473">
        <f t="shared" si="0"/>
        <v>1055539</v>
      </c>
      <c r="V24" s="474">
        <f t="shared" si="2"/>
        <v>313173</v>
      </c>
      <c r="W24" s="475">
        <f t="shared" si="3"/>
        <v>715643</v>
      </c>
    </row>
    <row r="25" spans="6:23" x14ac:dyDescent="0.25">
      <c r="F25" s="467">
        <v>1996</v>
      </c>
      <c r="G25" s="467" t="s">
        <v>343</v>
      </c>
      <c r="H25" s="473">
        <v>9855</v>
      </c>
      <c r="I25" s="473">
        <v>25253</v>
      </c>
      <c r="J25" s="473">
        <v>297481</v>
      </c>
      <c r="K25" s="473">
        <v>358095</v>
      </c>
      <c r="L25" s="473">
        <v>2363</v>
      </c>
      <c r="M25" s="473">
        <v>97215</v>
      </c>
      <c r="N25" s="473">
        <v>267600</v>
      </c>
      <c r="O25" s="473">
        <v>153000</v>
      </c>
      <c r="P25" s="473">
        <v>40220</v>
      </c>
      <c r="Q25" s="473">
        <v>17955</v>
      </c>
      <c r="R25" s="473">
        <v>42810</v>
      </c>
      <c r="S25" s="473">
        <v>5865</v>
      </c>
      <c r="T25" s="473">
        <f t="shared" si="0"/>
        <v>1317712</v>
      </c>
      <c r="V25" s="474">
        <f t="shared" si="2"/>
        <v>693047</v>
      </c>
      <c r="W25" s="475">
        <f t="shared" si="3"/>
        <v>575990</v>
      </c>
    </row>
    <row r="26" spans="6:23" x14ac:dyDescent="0.25">
      <c r="F26" s="467">
        <v>1997</v>
      </c>
      <c r="G26" s="467" t="s">
        <v>344</v>
      </c>
      <c r="H26" s="473">
        <v>3038</v>
      </c>
      <c r="I26" s="473">
        <v>4800</v>
      </c>
      <c r="J26" s="473">
        <v>39676</v>
      </c>
      <c r="K26" s="473">
        <v>321525</v>
      </c>
      <c r="L26" s="473">
        <v>228390</v>
      </c>
      <c r="M26" s="473">
        <v>33803</v>
      </c>
      <c r="N26" s="473">
        <v>135945</v>
      </c>
      <c r="O26" s="473">
        <v>232590</v>
      </c>
      <c r="P26" s="473">
        <v>57255</v>
      </c>
      <c r="Q26" s="473">
        <v>120</v>
      </c>
      <c r="R26" s="473">
        <v>46553</v>
      </c>
      <c r="S26" s="473">
        <v>4785</v>
      </c>
      <c r="T26" s="473">
        <f t="shared" si="0"/>
        <v>1108480</v>
      </c>
      <c r="V26" s="474">
        <f t="shared" si="2"/>
        <v>597429</v>
      </c>
      <c r="W26" s="475">
        <f t="shared" si="3"/>
        <v>459713</v>
      </c>
    </row>
    <row r="27" spans="6:23" x14ac:dyDescent="0.25">
      <c r="F27" s="467">
        <v>1998</v>
      </c>
      <c r="G27" s="467" t="s">
        <v>345</v>
      </c>
      <c r="H27" s="473">
        <v>87540</v>
      </c>
      <c r="I27" s="473">
        <v>34583</v>
      </c>
      <c r="J27" s="473">
        <v>51060</v>
      </c>
      <c r="K27" s="473">
        <v>427650</v>
      </c>
      <c r="L27" s="473">
        <v>69120</v>
      </c>
      <c r="M27" s="473">
        <v>3360</v>
      </c>
      <c r="N27" s="473">
        <v>102075</v>
      </c>
      <c r="O27" s="473">
        <v>195780</v>
      </c>
      <c r="P27" s="473">
        <v>310620</v>
      </c>
      <c r="Q27" s="473">
        <v>110520</v>
      </c>
      <c r="R27" s="473">
        <v>31140</v>
      </c>
      <c r="S27" s="473">
        <v>1958</v>
      </c>
      <c r="T27" s="473">
        <f t="shared" si="0"/>
        <v>1425406</v>
      </c>
      <c r="V27" s="474">
        <f t="shared" si="2"/>
        <v>669953</v>
      </c>
      <c r="W27" s="475">
        <f t="shared" si="3"/>
        <v>722355</v>
      </c>
    </row>
    <row r="28" spans="6:23" x14ac:dyDescent="0.25">
      <c r="F28" s="467">
        <v>1999</v>
      </c>
      <c r="G28" s="467" t="s">
        <v>346</v>
      </c>
      <c r="H28" s="473">
        <v>8468</v>
      </c>
      <c r="I28" s="473">
        <v>36548</v>
      </c>
      <c r="J28" s="473">
        <v>308730</v>
      </c>
      <c r="K28" s="473">
        <v>128895</v>
      </c>
      <c r="L28" s="473">
        <v>131730</v>
      </c>
      <c r="M28" s="473">
        <v>101093</v>
      </c>
      <c r="N28" s="473">
        <v>0</v>
      </c>
      <c r="O28" s="473">
        <v>30480</v>
      </c>
      <c r="P28" s="473">
        <v>53964</v>
      </c>
      <c r="Q28" s="473">
        <v>102263</v>
      </c>
      <c r="R28" s="473">
        <v>37650</v>
      </c>
      <c r="S28" s="473">
        <v>44535</v>
      </c>
      <c r="T28" s="473">
        <f t="shared" si="0"/>
        <v>984356</v>
      </c>
      <c r="V28" s="474">
        <f t="shared" si="2"/>
        <v>614371</v>
      </c>
      <c r="W28" s="475">
        <f t="shared" si="3"/>
        <v>287800</v>
      </c>
    </row>
    <row r="29" spans="6:23" x14ac:dyDescent="0.25">
      <c r="F29" s="467">
        <v>2000</v>
      </c>
      <c r="G29" s="467" t="s">
        <v>347</v>
      </c>
      <c r="H29" s="473">
        <v>37725</v>
      </c>
      <c r="I29" s="473">
        <v>27958</v>
      </c>
      <c r="J29" s="473">
        <v>126389</v>
      </c>
      <c r="K29" s="473">
        <v>68651</v>
      </c>
      <c r="L29" s="473">
        <v>785</v>
      </c>
      <c r="M29" s="473">
        <v>4680</v>
      </c>
      <c r="N29" s="473">
        <v>3720</v>
      </c>
      <c r="O29" s="473">
        <v>17040</v>
      </c>
      <c r="P29" s="473">
        <v>0</v>
      </c>
      <c r="Q29" s="473">
        <v>27840</v>
      </c>
      <c r="R29" s="473">
        <v>15720</v>
      </c>
      <c r="S29" s="473">
        <v>4200</v>
      </c>
      <c r="T29" s="473">
        <f t="shared" si="0"/>
        <v>334708</v>
      </c>
      <c r="V29" s="474">
        <f t="shared" si="2"/>
        <v>261508</v>
      </c>
      <c r="W29" s="475">
        <f t="shared" si="3"/>
        <v>53280</v>
      </c>
    </row>
    <row r="30" spans="6:23" x14ac:dyDescent="0.25">
      <c r="F30" s="467">
        <v>2001</v>
      </c>
      <c r="G30" s="467" t="s">
        <v>348</v>
      </c>
      <c r="H30" s="476">
        <v>17003</v>
      </c>
      <c r="I30" s="476">
        <v>38786</v>
      </c>
      <c r="J30" s="473">
        <v>21465</v>
      </c>
      <c r="K30" s="473">
        <v>49860</v>
      </c>
      <c r="L30" s="473">
        <v>42120</v>
      </c>
      <c r="M30" s="473">
        <v>24480</v>
      </c>
      <c r="N30" s="473">
        <v>92400</v>
      </c>
      <c r="O30" s="473">
        <v>103680</v>
      </c>
      <c r="P30" s="473">
        <v>49200</v>
      </c>
      <c r="Q30" s="473">
        <v>16080</v>
      </c>
      <c r="R30" s="473">
        <v>27480</v>
      </c>
      <c r="S30" s="473">
        <v>59160</v>
      </c>
      <c r="T30" s="473">
        <f t="shared" si="0"/>
        <v>541714</v>
      </c>
      <c r="V30" s="474">
        <f t="shared" si="2"/>
        <v>169234</v>
      </c>
      <c r="W30" s="475">
        <f t="shared" si="3"/>
        <v>285840</v>
      </c>
    </row>
    <row r="31" spans="6:23" x14ac:dyDescent="0.25">
      <c r="F31" s="467">
        <v>2002</v>
      </c>
      <c r="G31" s="467" t="s">
        <v>349</v>
      </c>
      <c r="H31" s="473">
        <v>20888</v>
      </c>
      <c r="I31" s="473">
        <v>36858</v>
      </c>
      <c r="J31" s="473">
        <v>49982</v>
      </c>
      <c r="K31" s="473">
        <v>159143</v>
      </c>
      <c r="L31" s="476">
        <v>5256</v>
      </c>
      <c r="M31" s="473">
        <v>18938</v>
      </c>
      <c r="N31" s="473">
        <v>48060</v>
      </c>
      <c r="O31" s="473">
        <v>43320</v>
      </c>
      <c r="P31" s="473">
        <v>60840</v>
      </c>
      <c r="Q31" s="473">
        <v>28185</v>
      </c>
      <c r="R31" s="473">
        <v>13239</v>
      </c>
      <c r="S31" s="473">
        <v>38243</v>
      </c>
      <c r="T31" s="473">
        <f t="shared" si="0"/>
        <v>522952</v>
      </c>
      <c r="V31" s="474">
        <f t="shared" si="2"/>
        <v>272127</v>
      </c>
      <c r="W31" s="475">
        <f t="shared" si="3"/>
        <v>199343</v>
      </c>
    </row>
    <row r="32" spans="6:23" x14ac:dyDescent="0.25">
      <c r="F32" s="472">
        <v>2003</v>
      </c>
      <c r="G32" s="472" t="s">
        <v>350</v>
      </c>
      <c r="H32" s="477">
        <v>78540</v>
      </c>
      <c r="I32" s="477">
        <v>45128</v>
      </c>
      <c r="J32" s="477">
        <v>14907</v>
      </c>
      <c r="K32" s="477">
        <v>77565</v>
      </c>
      <c r="L32" s="478">
        <v>50085</v>
      </c>
      <c r="M32" s="477">
        <v>3540</v>
      </c>
      <c r="N32" s="477">
        <v>62520</v>
      </c>
      <c r="O32" s="477">
        <v>53160</v>
      </c>
      <c r="P32" s="477">
        <v>32115</v>
      </c>
      <c r="Q32" s="477">
        <v>56880</v>
      </c>
      <c r="R32" s="477">
        <v>15240</v>
      </c>
      <c r="S32" s="477">
        <v>50490</v>
      </c>
      <c r="T32" s="477">
        <f t="shared" si="0"/>
        <v>540170</v>
      </c>
      <c r="V32" s="474">
        <f t="shared" si="2"/>
        <v>266225</v>
      </c>
      <c r="W32" s="475">
        <f t="shared" si="3"/>
        <v>208215</v>
      </c>
    </row>
    <row r="33" spans="6:23" x14ac:dyDescent="0.25">
      <c r="F33" s="472">
        <v>2004</v>
      </c>
      <c r="G33" s="472" t="s">
        <v>351</v>
      </c>
      <c r="H33" s="477">
        <v>17700</v>
      </c>
      <c r="I33" s="477">
        <v>20331</v>
      </c>
      <c r="J33" s="477">
        <v>95600</v>
      </c>
      <c r="K33" s="477">
        <v>26661</v>
      </c>
      <c r="L33" s="478">
        <v>0</v>
      </c>
      <c r="M33" s="477">
        <v>0</v>
      </c>
      <c r="N33" s="477">
        <v>32160</v>
      </c>
      <c r="O33" s="477">
        <v>79920</v>
      </c>
      <c r="P33" s="477">
        <v>101063</v>
      </c>
      <c r="Q33" s="477">
        <v>111552</v>
      </c>
      <c r="R33" s="477">
        <v>126760</v>
      </c>
      <c r="S33" s="477">
        <v>18408</v>
      </c>
      <c r="T33" s="477">
        <f t="shared" si="0"/>
        <v>630155</v>
      </c>
      <c r="V33" s="474">
        <f t="shared" si="2"/>
        <v>160292</v>
      </c>
      <c r="W33" s="475">
        <f t="shared" si="3"/>
        <v>324695</v>
      </c>
    </row>
    <row r="34" spans="6:23" x14ac:dyDescent="0.25">
      <c r="F34" s="472">
        <v>2005</v>
      </c>
      <c r="G34" s="472" t="s">
        <v>352</v>
      </c>
      <c r="H34" s="477">
        <v>40368</v>
      </c>
      <c r="I34" s="477">
        <v>10812.8</v>
      </c>
      <c r="J34" s="477">
        <v>156962</v>
      </c>
      <c r="K34" s="477">
        <v>189554</v>
      </c>
      <c r="L34" s="478">
        <v>80450</v>
      </c>
      <c r="M34" s="477">
        <v>41760</v>
      </c>
      <c r="N34" s="477">
        <v>20556</v>
      </c>
      <c r="O34" s="477">
        <v>19840</v>
      </c>
      <c r="P34" s="477">
        <v>40668</v>
      </c>
      <c r="Q34" s="477">
        <v>109280</v>
      </c>
      <c r="R34" s="477">
        <v>17088</v>
      </c>
      <c r="S34" s="477">
        <v>5424</v>
      </c>
      <c r="T34" s="477">
        <f t="shared" si="0"/>
        <v>732762.8</v>
      </c>
      <c r="V34" s="474">
        <f t="shared" si="2"/>
        <v>478146.8</v>
      </c>
      <c r="W34" s="475">
        <f t="shared" si="3"/>
        <v>232104</v>
      </c>
    </row>
    <row r="35" spans="6:23" x14ac:dyDescent="0.25">
      <c r="F35" s="472">
        <v>2006</v>
      </c>
      <c r="G35" s="472" t="s">
        <v>353</v>
      </c>
      <c r="H35" s="477">
        <v>15784</v>
      </c>
      <c r="I35" s="477">
        <v>44349</v>
      </c>
      <c r="J35" s="477">
        <v>173200</v>
      </c>
      <c r="K35" s="477">
        <v>66264</v>
      </c>
      <c r="L35" s="478">
        <v>4832</v>
      </c>
      <c r="M35" s="477">
        <v>21000</v>
      </c>
      <c r="N35" s="477">
        <v>32144</v>
      </c>
      <c r="O35" s="477">
        <v>70080</v>
      </c>
      <c r="P35" s="477">
        <v>14680</v>
      </c>
      <c r="Q35" s="477">
        <v>31026</v>
      </c>
      <c r="R35" s="477">
        <v>42528</v>
      </c>
      <c r="S35" s="477">
        <v>46792</v>
      </c>
      <c r="T35" s="477">
        <f t="shared" si="0"/>
        <v>562679</v>
      </c>
      <c r="V35" s="474">
        <f t="shared" si="2"/>
        <v>304429</v>
      </c>
      <c r="W35" s="475">
        <f t="shared" si="3"/>
        <v>168930</v>
      </c>
    </row>
    <row r="36" spans="6:23" x14ac:dyDescent="0.25">
      <c r="F36" s="472">
        <v>2007</v>
      </c>
      <c r="G36" s="472" t="s">
        <v>354</v>
      </c>
      <c r="H36" s="477">
        <v>2656</v>
      </c>
      <c r="I36" s="477">
        <v>408</v>
      </c>
      <c r="J36" s="477">
        <v>93923</v>
      </c>
      <c r="K36" s="477">
        <v>60400</v>
      </c>
      <c r="L36" s="478">
        <v>6272</v>
      </c>
      <c r="M36" s="477">
        <v>5600</v>
      </c>
      <c r="N36" s="477">
        <v>2648</v>
      </c>
      <c r="O36" s="477">
        <v>34648</v>
      </c>
      <c r="P36" s="477">
        <v>34744</v>
      </c>
      <c r="Q36" s="477">
        <v>47952</v>
      </c>
      <c r="R36" s="477">
        <v>124428</v>
      </c>
      <c r="S36" s="477">
        <v>173200</v>
      </c>
      <c r="T36" s="477">
        <f t="shared" si="0"/>
        <v>586879</v>
      </c>
      <c r="V36" s="474">
        <f t="shared" si="2"/>
        <v>163659</v>
      </c>
      <c r="W36" s="475">
        <f t="shared" si="3"/>
        <v>125592</v>
      </c>
    </row>
    <row r="37" spans="6:23" x14ac:dyDescent="0.25">
      <c r="F37" s="472">
        <v>2008</v>
      </c>
      <c r="G37" s="472" t="s">
        <v>355</v>
      </c>
      <c r="H37" s="477">
        <v>120395</v>
      </c>
      <c r="I37" s="477">
        <v>18512</v>
      </c>
      <c r="J37" s="477">
        <v>18104</v>
      </c>
      <c r="K37" s="477">
        <v>35112</v>
      </c>
      <c r="L37" s="478">
        <v>0</v>
      </c>
      <c r="M37" s="477">
        <v>32</v>
      </c>
      <c r="N37" s="477">
        <v>0</v>
      </c>
      <c r="O37" s="477">
        <v>0</v>
      </c>
      <c r="P37" s="477">
        <v>19352</v>
      </c>
      <c r="Q37" s="477">
        <v>16</v>
      </c>
      <c r="R37" s="473">
        <v>896</v>
      </c>
      <c r="S37" s="473">
        <v>89088</v>
      </c>
      <c r="T37" s="477">
        <f t="shared" si="0"/>
        <v>301507</v>
      </c>
      <c r="V37" s="474">
        <f t="shared" si="2"/>
        <v>192123</v>
      </c>
      <c r="W37" s="475">
        <f t="shared" si="3"/>
        <v>19400</v>
      </c>
    </row>
    <row r="38" spans="6:23" x14ac:dyDescent="0.25">
      <c r="F38" s="472">
        <v>2009</v>
      </c>
      <c r="G38" s="472" t="s">
        <v>356</v>
      </c>
      <c r="H38" s="477">
        <v>34424</v>
      </c>
      <c r="I38" s="477">
        <v>2880</v>
      </c>
      <c r="J38" s="477">
        <v>6022</v>
      </c>
      <c r="K38" s="477">
        <v>16165</v>
      </c>
      <c r="L38" s="473">
        <v>0</v>
      </c>
      <c r="M38" s="473">
        <v>59640</v>
      </c>
      <c r="N38" s="477">
        <v>0</v>
      </c>
      <c r="O38" s="473">
        <v>15360</v>
      </c>
      <c r="P38" s="473">
        <v>12720</v>
      </c>
      <c r="Q38" s="473">
        <v>65880</v>
      </c>
      <c r="R38" s="477">
        <v>55554</v>
      </c>
      <c r="S38" s="477">
        <v>2598</v>
      </c>
      <c r="T38" s="477">
        <f t="shared" si="0"/>
        <v>271243</v>
      </c>
      <c r="U38" s="475"/>
      <c r="V38" s="474">
        <f t="shared" si="2"/>
        <v>59491</v>
      </c>
      <c r="W38" s="475">
        <f t="shared" si="3"/>
        <v>153600</v>
      </c>
    </row>
    <row r="39" spans="6:23" x14ac:dyDescent="0.25">
      <c r="F39" s="472">
        <v>2010</v>
      </c>
      <c r="G39" s="472" t="s">
        <v>357</v>
      </c>
      <c r="H39" s="473">
        <v>0</v>
      </c>
      <c r="I39" s="473">
        <v>14035.5</v>
      </c>
      <c r="J39" s="473">
        <v>81817.5</v>
      </c>
      <c r="K39" s="473">
        <v>73896</v>
      </c>
      <c r="L39" s="473">
        <v>6248</v>
      </c>
      <c r="M39" s="473">
        <v>0</v>
      </c>
      <c r="N39" s="473">
        <v>0</v>
      </c>
      <c r="O39" s="473">
        <v>42480</v>
      </c>
      <c r="P39" s="473">
        <v>6721</v>
      </c>
      <c r="Q39" s="473">
        <v>1814.4</v>
      </c>
      <c r="R39" s="473">
        <v>49718.400000000001</v>
      </c>
      <c r="S39" s="473">
        <v>171494</v>
      </c>
      <c r="T39" s="477">
        <f t="shared" si="0"/>
        <v>448224.8</v>
      </c>
      <c r="U39" s="475"/>
      <c r="V39" s="474">
        <f>SUM(H39:L39)</f>
        <v>175997</v>
      </c>
      <c r="W39" s="475">
        <f t="shared" ref="W39:W44" si="4">SUM(M39:Q39)</f>
        <v>51015.4</v>
      </c>
    </row>
    <row r="40" spans="6:23" x14ac:dyDescent="0.15">
      <c r="F40" s="467">
        <v>2011</v>
      </c>
      <c r="G40" s="467" t="s">
        <v>358</v>
      </c>
      <c r="H40" s="477">
        <v>10970</v>
      </c>
      <c r="I40" s="477">
        <v>7676</v>
      </c>
      <c r="J40" s="477">
        <v>10604</v>
      </c>
      <c r="K40" s="477">
        <v>70785</v>
      </c>
      <c r="L40" s="473">
        <v>47760</v>
      </c>
      <c r="M40" s="473">
        <v>0</v>
      </c>
      <c r="N40" s="473">
        <v>50559.4</v>
      </c>
      <c r="O40" s="473">
        <v>48322.25</v>
      </c>
      <c r="P40" s="473">
        <v>36018.5</v>
      </c>
      <c r="Q40" s="473">
        <v>8248</v>
      </c>
      <c r="R40" s="477">
        <v>24712.5</v>
      </c>
      <c r="S40" s="479">
        <v>97470.8</v>
      </c>
      <c r="T40" s="477">
        <f t="shared" si="0"/>
        <v>413126.45</v>
      </c>
      <c r="U40" s="475"/>
      <c r="V40" s="474">
        <f t="shared" si="2"/>
        <v>147795</v>
      </c>
      <c r="W40" s="475">
        <f t="shared" si="4"/>
        <v>143148.15</v>
      </c>
    </row>
    <row r="41" spans="6:23" x14ac:dyDescent="0.25">
      <c r="F41" s="467">
        <v>2012</v>
      </c>
      <c r="G41" s="467" t="s">
        <v>359</v>
      </c>
      <c r="H41" s="473">
        <v>34287.5</v>
      </c>
      <c r="I41" s="473">
        <v>6448</v>
      </c>
      <c r="J41" s="473">
        <v>15949.5</v>
      </c>
      <c r="K41" s="473">
        <v>17415.75</v>
      </c>
      <c r="L41" s="473">
        <v>12840</v>
      </c>
      <c r="M41" s="473">
        <v>10480</v>
      </c>
      <c r="N41" s="473">
        <v>4632</v>
      </c>
      <c r="O41" s="473">
        <v>61304</v>
      </c>
      <c r="P41" s="473">
        <v>11281.5</v>
      </c>
      <c r="Q41" s="473">
        <v>48736</v>
      </c>
      <c r="R41" s="473">
        <v>81048</v>
      </c>
      <c r="S41" s="473">
        <v>39584</v>
      </c>
      <c r="T41" s="477">
        <f t="shared" si="0"/>
        <v>344006.25</v>
      </c>
      <c r="V41" s="474">
        <f t="shared" si="2"/>
        <v>86940.75</v>
      </c>
      <c r="W41" s="475">
        <f t="shared" si="4"/>
        <v>136433.5</v>
      </c>
    </row>
    <row r="42" spans="6:23" x14ac:dyDescent="0.25">
      <c r="F42" s="467">
        <v>2013</v>
      </c>
      <c r="G42" s="467" t="s">
        <v>360</v>
      </c>
      <c r="H42" s="477">
        <v>60968</v>
      </c>
      <c r="I42" s="477">
        <v>13312</v>
      </c>
      <c r="J42" s="477">
        <v>0</v>
      </c>
      <c r="K42" s="477">
        <v>0</v>
      </c>
      <c r="L42" s="473">
        <v>0</v>
      </c>
      <c r="M42" s="473">
        <v>2.1</v>
      </c>
      <c r="N42" s="473">
        <v>480</v>
      </c>
      <c r="O42" s="473">
        <v>2256</v>
      </c>
      <c r="P42" s="473">
        <v>42240</v>
      </c>
      <c r="Q42" s="473">
        <v>4072</v>
      </c>
      <c r="R42" s="473">
        <v>8992</v>
      </c>
      <c r="S42" s="473">
        <v>44328</v>
      </c>
      <c r="T42" s="477">
        <f>SUM(H42:S42)</f>
        <v>176650.1</v>
      </c>
      <c r="V42" s="474">
        <f t="shared" si="2"/>
        <v>74280</v>
      </c>
      <c r="W42" s="475">
        <f t="shared" si="4"/>
        <v>49050.1</v>
      </c>
    </row>
    <row r="43" spans="6:23" x14ac:dyDescent="0.25">
      <c r="F43" s="467">
        <v>2014</v>
      </c>
      <c r="G43" s="467" t="s">
        <v>361</v>
      </c>
      <c r="H43" s="473">
        <v>48897</v>
      </c>
      <c r="I43" s="473">
        <v>3124</v>
      </c>
      <c r="J43" s="473">
        <v>6080</v>
      </c>
      <c r="K43" s="473">
        <v>1424</v>
      </c>
      <c r="L43" s="473">
        <v>0</v>
      </c>
      <c r="M43" s="473">
        <v>0</v>
      </c>
      <c r="N43" s="473">
        <v>0</v>
      </c>
      <c r="O43" s="473">
        <v>0</v>
      </c>
      <c r="P43" s="473">
        <v>16992</v>
      </c>
      <c r="Q43" s="473">
        <v>10976</v>
      </c>
      <c r="R43" s="473">
        <v>4960</v>
      </c>
      <c r="S43" s="473">
        <v>16048</v>
      </c>
      <c r="T43" s="477">
        <f>SUM(H43:S43)</f>
        <v>108501</v>
      </c>
      <c r="V43" s="474">
        <f t="shared" si="2"/>
        <v>59525</v>
      </c>
      <c r="W43" s="475">
        <f t="shared" si="4"/>
        <v>27968</v>
      </c>
    </row>
    <row r="44" spans="6:23" s="475" customFormat="1" x14ac:dyDescent="0.25">
      <c r="F44" s="467">
        <v>2015</v>
      </c>
      <c r="G44" s="467" t="s">
        <v>362</v>
      </c>
      <c r="H44" s="473">
        <v>2288</v>
      </c>
      <c r="I44" s="473">
        <v>1137</v>
      </c>
      <c r="J44" s="473">
        <v>1024</v>
      </c>
      <c r="K44" s="473">
        <v>0</v>
      </c>
      <c r="L44" s="473">
        <v>0</v>
      </c>
      <c r="M44" s="473">
        <v>896</v>
      </c>
      <c r="N44" s="473">
        <v>16</v>
      </c>
      <c r="O44" s="473">
        <v>10257.200000000001</v>
      </c>
      <c r="P44" s="473">
        <v>13264</v>
      </c>
      <c r="Q44" s="473">
        <v>11808</v>
      </c>
      <c r="R44" s="473">
        <v>11072</v>
      </c>
      <c r="S44" s="473">
        <v>2656</v>
      </c>
      <c r="T44" s="477">
        <f>SUM(H44:S44)</f>
        <v>54418.2</v>
      </c>
      <c r="U44" s="468"/>
      <c r="V44" s="474">
        <f t="shared" si="2"/>
        <v>4449</v>
      </c>
      <c r="W44" s="475">
        <f t="shared" si="4"/>
        <v>36241.199999999997</v>
      </c>
    </row>
    <row r="45" spans="6:23" x14ac:dyDescent="0.25">
      <c r="F45" s="467">
        <v>2016</v>
      </c>
      <c r="G45" s="467" t="s">
        <v>363</v>
      </c>
      <c r="H45" s="473">
        <v>240</v>
      </c>
      <c r="I45" s="473">
        <v>1137</v>
      </c>
      <c r="J45" s="473">
        <v>352</v>
      </c>
      <c r="K45" s="473">
        <v>80</v>
      </c>
      <c r="L45" s="473">
        <v>32</v>
      </c>
      <c r="M45" s="473">
        <v>448</v>
      </c>
      <c r="N45" s="473">
        <v>0</v>
      </c>
      <c r="O45" s="473">
        <v>3072</v>
      </c>
      <c r="P45" s="473">
        <v>24144</v>
      </c>
      <c r="Q45" s="473">
        <v>29184</v>
      </c>
      <c r="R45" s="473">
        <v>10992</v>
      </c>
      <c r="S45" s="473">
        <v>31808</v>
      </c>
      <c r="T45" s="477">
        <f>SUM(H45:S45)</f>
        <v>101489</v>
      </c>
      <c r="V45" s="474">
        <f t="shared" si="2"/>
        <v>1841</v>
      </c>
      <c r="W45" s="475">
        <f>SUM(M45:Q45)</f>
        <v>56848</v>
      </c>
    </row>
    <row r="46" spans="6:23" x14ac:dyDescent="0.25">
      <c r="F46" s="472">
        <v>2017</v>
      </c>
      <c r="G46" s="467" t="s">
        <v>364</v>
      </c>
      <c r="H46" s="473">
        <v>6384</v>
      </c>
      <c r="I46" s="473">
        <v>21056</v>
      </c>
      <c r="J46" s="473">
        <v>272</v>
      </c>
      <c r="K46" s="473">
        <v>4368</v>
      </c>
      <c r="L46" s="473">
        <v>0</v>
      </c>
      <c r="M46" s="473">
        <v>0</v>
      </c>
      <c r="N46" s="473">
        <v>704</v>
      </c>
      <c r="O46" s="473">
        <v>16</v>
      </c>
      <c r="P46" s="473">
        <v>14432</v>
      </c>
      <c r="Q46" s="473">
        <v>608</v>
      </c>
      <c r="R46" s="473">
        <v>0</v>
      </c>
      <c r="S46" s="473">
        <v>208</v>
      </c>
      <c r="T46" s="477">
        <f>SUM(H46:S46)</f>
        <v>48048</v>
      </c>
      <c r="V46" s="474">
        <f t="shared" si="2"/>
        <v>32080</v>
      </c>
      <c r="W46" s="475">
        <f>SUM(M46:Q46)</f>
        <v>15760</v>
      </c>
    </row>
    <row r="47" spans="6:23" x14ac:dyDescent="0.25">
      <c r="F47" s="467">
        <v>2018</v>
      </c>
      <c r="G47" s="467" t="s">
        <v>365</v>
      </c>
      <c r="H47" s="468">
        <v>496</v>
      </c>
      <c r="I47" s="468">
        <v>3424</v>
      </c>
      <c r="J47" s="468">
        <v>0</v>
      </c>
      <c r="K47" s="468">
        <v>3808</v>
      </c>
      <c r="L47" s="468">
        <v>0</v>
      </c>
      <c r="V47" s="474">
        <f>SUM(H47:L47)</f>
        <v>7728</v>
      </c>
      <c r="W47" s="475">
        <f>SUM(M47:Q47)</f>
        <v>0</v>
      </c>
    </row>
    <row r="48" spans="6:23" x14ac:dyDescent="0.25">
      <c r="V48" s="473">
        <f>AVERAGE(V42:V46)</f>
        <v>34435</v>
      </c>
      <c r="W48" s="473">
        <f>AVERAGE(W42:W46)</f>
        <v>37173.46</v>
      </c>
    </row>
    <row r="49" spans="6:23" x14ac:dyDescent="0.25">
      <c r="U49" s="469" t="s">
        <v>246</v>
      </c>
      <c r="V49" s="480">
        <f>V47/V46</f>
        <v>0.24089775561097257</v>
      </c>
      <c r="W49" s="480">
        <f>W47/W46</f>
        <v>0</v>
      </c>
    </row>
    <row r="50" spans="6:23" x14ac:dyDescent="0.25">
      <c r="F50" s="472"/>
      <c r="G50" s="472"/>
      <c r="H50" s="481"/>
      <c r="I50" s="481"/>
      <c r="J50" s="481"/>
      <c r="K50" s="481"/>
      <c r="L50" s="482"/>
      <c r="M50" s="481"/>
      <c r="N50" s="481"/>
      <c r="O50" s="481"/>
      <c r="P50" s="481"/>
      <c r="Q50" s="481"/>
      <c r="R50" s="481"/>
      <c r="S50" s="481"/>
      <c r="U50" s="469" t="s">
        <v>247</v>
      </c>
      <c r="V50" s="480">
        <f>V47/V48</f>
        <v>0.22442282561347465</v>
      </c>
      <c r="W50" s="480">
        <f>W47/W48</f>
        <v>0</v>
      </c>
    </row>
    <row r="51" spans="6:23" x14ac:dyDescent="0.25">
      <c r="F51" s="472"/>
      <c r="G51" s="472"/>
      <c r="H51" s="483"/>
      <c r="I51" s="483"/>
      <c r="J51" s="483"/>
      <c r="K51" s="483"/>
      <c r="L51" s="483"/>
      <c r="M51" s="483"/>
      <c r="N51" s="483"/>
      <c r="O51" s="483"/>
      <c r="P51" s="483"/>
      <c r="Q51" s="483"/>
      <c r="R51" s="483"/>
      <c r="S51" s="483"/>
    </row>
    <row r="52" spans="6:23" x14ac:dyDescent="0.25">
      <c r="F52" s="472"/>
      <c r="G52" s="472"/>
      <c r="H52" s="483"/>
      <c r="I52" s="483"/>
      <c r="J52" s="483"/>
      <c r="K52" s="483"/>
      <c r="L52" s="483"/>
      <c r="M52" s="483"/>
      <c r="N52" s="483"/>
      <c r="O52" s="483"/>
      <c r="P52" s="483"/>
      <c r="Q52" s="483"/>
      <c r="R52" s="483"/>
      <c r="S52" s="483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8" sqref="A18"/>
    </sheetView>
  </sheetViews>
  <sheetFormatPr baseColWidth="10" defaultRowHeight="18" x14ac:dyDescent="0.25"/>
  <sheetData>
    <row r="1" spans="1:10" x14ac:dyDescent="0.25">
      <c r="A1" t="s">
        <v>296</v>
      </c>
    </row>
    <row r="2" spans="1:10" x14ac:dyDescent="0.25">
      <c r="E2" t="s">
        <v>297</v>
      </c>
    </row>
    <row r="5" spans="1:10" x14ac:dyDescent="0.25">
      <c r="A5" t="s">
        <v>205</v>
      </c>
      <c r="B5" t="s">
        <v>295</v>
      </c>
      <c r="C5" t="s">
        <v>225</v>
      </c>
      <c r="E5" t="s">
        <v>298</v>
      </c>
      <c r="H5" t="s">
        <v>303</v>
      </c>
    </row>
    <row r="6" spans="1:10" x14ac:dyDescent="0.25">
      <c r="A6">
        <v>1</v>
      </c>
      <c r="B6" s="465">
        <v>9720</v>
      </c>
      <c r="C6">
        <f>B6/1000</f>
        <v>9.7200000000000006</v>
      </c>
      <c r="E6" s="451" t="s">
        <v>299</v>
      </c>
      <c r="F6" s="452">
        <v>28</v>
      </c>
      <c r="G6" s="451" t="s">
        <v>300</v>
      </c>
      <c r="H6" s="450" t="e">
        <f t="shared" ref="H6" si="0">SUM(#REF!)</f>
        <v>#REF!</v>
      </c>
      <c r="I6" s="450" t="e">
        <f t="shared" ref="I6" si="1">SUM(#REF!)</f>
        <v>#REF!</v>
      </c>
      <c r="J6" s="450" t="e">
        <f t="shared" ref="J6" si="2">SUM(#REF!)</f>
        <v>#REF!</v>
      </c>
    </row>
    <row r="7" spans="1:10" x14ac:dyDescent="0.25">
      <c r="A7">
        <v>2</v>
      </c>
      <c r="B7" s="465">
        <v>7176</v>
      </c>
      <c r="C7">
        <f t="shared" ref="C7:C13" si="3">B7/1000</f>
        <v>7.1760000000000002</v>
      </c>
      <c r="E7" s="453" t="s">
        <v>301</v>
      </c>
      <c r="F7" s="454">
        <v>29</v>
      </c>
      <c r="G7" s="455">
        <v>4</v>
      </c>
      <c r="H7" s="457">
        <v>375</v>
      </c>
      <c r="I7" s="456"/>
      <c r="J7" s="456"/>
    </row>
    <row r="8" spans="1:10" x14ac:dyDescent="0.25">
      <c r="A8">
        <v>3</v>
      </c>
      <c r="B8" s="465">
        <v>154.5</v>
      </c>
      <c r="C8">
        <f t="shared" si="3"/>
        <v>0.1545</v>
      </c>
      <c r="E8" s="453" t="s">
        <v>301</v>
      </c>
      <c r="F8" s="454">
        <v>29</v>
      </c>
      <c r="G8" s="455">
        <v>5</v>
      </c>
      <c r="H8" s="457">
        <v>449</v>
      </c>
      <c r="I8" s="456"/>
      <c r="J8" s="456"/>
    </row>
    <row r="9" spans="1:10" x14ac:dyDescent="0.25">
      <c r="A9">
        <v>4</v>
      </c>
      <c r="B9" s="465">
        <v>171.5</v>
      </c>
      <c r="C9">
        <f t="shared" si="3"/>
        <v>0.17150000000000001</v>
      </c>
      <c r="E9" s="453" t="s">
        <v>301</v>
      </c>
      <c r="F9" s="454">
        <v>29</v>
      </c>
      <c r="G9" s="458">
        <v>6</v>
      </c>
      <c r="H9" s="457">
        <v>428</v>
      </c>
      <c r="I9" s="456"/>
      <c r="J9" s="456"/>
    </row>
    <row r="10" spans="1:10" x14ac:dyDescent="0.25">
      <c r="A10">
        <v>5</v>
      </c>
      <c r="B10" s="465">
        <v>155.75</v>
      </c>
      <c r="C10">
        <f t="shared" si="3"/>
        <v>0.15575</v>
      </c>
      <c r="E10" s="453" t="s">
        <v>301</v>
      </c>
      <c r="F10" s="454">
        <v>29</v>
      </c>
      <c r="G10" s="458">
        <v>7</v>
      </c>
      <c r="H10" s="457">
        <v>6417.75</v>
      </c>
      <c r="I10" s="456"/>
      <c r="J10" s="456"/>
    </row>
    <row r="11" spans="1:10" x14ac:dyDescent="0.25">
      <c r="A11">
        <v>6</v>
      </c>
      <c r="B11" s="465">
        <v>166.25</v>
      </c>
      <c r="C11">
        <f t="shared" si="3"/>
        <v>0.16625000000000001</v>
      </c>
      <c r="E11" s="453" t="s">
        <v>301</v>
      </c>
      <c r="F11" s="454">
        <v>29</v>
      </c>
      <c r="G11" s="458">
        <v>8</v>
      </c>
      <c r="H11" s="457">
        <v>6376</v>
      </c>
      <c r="I11" s="456"/>
      <c r="J11" s="456"/>
    </row>
    <row r="12" spans="1:10" x14ac:dyDescent="0.25">
      <c r="A12">
        <v>7</v>
      </c>
      <c r="B12" s="465">
        <v>1021</v>
      </c>
      <c r="C12">
        <f t="shared" si="3"/>
        <v>1.0209999999999999</v>
      </c>
      <c r="E12" s="453" t="s">
        <v>301</v>
      </c>
      <c r="F12" s="454">
        <v>29</v>
      </c>
      <c r="G12" s="458">
        <v>9</v>
      </c>
      <c r="H12" s="449">
        <v>4032</v>
      </c>
      <c r="I12" s="456"/>
      <c r="J12" s="456"/>
    </row>
    <row r="13" spans="1:10" x14ac:dyDescent="0.25">
      <c r="A13">
        <v>8</v>
      </c>
      <c r="B13" s="465">
        <v>6088</v>
      </c>
      <c r="C13">
        <f t="shared" si="3"/>
        <v>6.0880000000000001</v>
      </c>
      <c r="E13" s="453" t="s">
        <v>302</v>
      </c>
      <c r="F13" s="454">
        <v>29</v>
      </c>
      <c r="G13" s="458">
        <v>10</v>
      </c>
      <c r="H13" s="449">
        <v>1928</v>
      </c>
      <c r="I13" s="456"/>
      <c r="J13" s="459"/>
    </row>
    <row r="14" spans="1:10" x14ac:dyDescent="0.25">
      <c r="A14">
        <v>9</v>
      </c>
      <c r="E14" s="453" t="s">
        <v>302</v>
      </c>
      <c r="F14" s="454">
        <v>29</v>
      </c>
      <c r="G14" s="458">
        <v>11</v>
      </c>
      <c r="H14" s="449">
        <v>1008</v>
      </c>
      <c r="I14" s="456"/>
      <c r="J14" s="456"/>
    </row>
    <row r="15" spans="1:10" x14ac:dyDescent="0.25">
      <c r="A15">
        <v>10</v>
      </c>
      <c r="E15" s="453" t="s">
        <v>302</v>
      </c>
      <c r="F15" s="454">
        <v>29</v>
      </c>
      <c r="G15" s="458">
        <v>12</v>
      </c>
      <c r="H15" s="449">
        <v>9616</v>
      </c>
      <c r="I15" s="456"/>
      <c r="J15" s="456"/>
    </row>
    <row r="16" spans="1:10" x14ac:dyDescent="0.25">
      <c r="A16">
        <v>11</v>
      </c>
      <c r="E16" s="460" t="s">
        <v>302</v>
      </c>
      <c r="F16" s="454">
        <v>30</v>
      </c>
      <c r="G16" s="458">
        <v>1</v>
      </c>
      <c r="H16" s="449">
        <v>9720</v>
      </c>
      <c r="I16" s="456"/>
      <c r="J16" s="459"/>
    </row>
    <row r="17" spans="1:10" x14ac:dyDescent="0.25">
      <c r="A17">
        <v>12</v>
      </c>
      <c r="E17" s="453" t="s">
        <v>302</v>
      </c>
      <c r="F17" s="454">
        <v>30</v>
      </c>
      <c r="G17" s="458">
        <v>2</v>
      </c>
      <c r="H17" s="449">
        <v>7176</v>
      </c>
      <c r="I17" s="456"/>
      <c r="J17" s="456"/>
    </row>
    <row r="18" spans="1:10" x14ac:dyDescent="0.25">
      <c r="E18" s="453" t="s">
        <v>302</v>
      </c>
      <c r="F18" s="454">
        <v>30</v>
      </c>
      <c r="G18" s="458">
        <v>3</v>
      </c>
      <c r="H18" s="449">
        <v>154.5</v>
      </c>
      <c r="I18" s="456"/>
      <c r="J18" s="456"/>
    </row>
    <row r="19" spans="1:10" x14ac:dyDescent="0.25">
      <c r="E19" s="451" t="s">
        <v>299</v>
      </c>
      <c r="F19" s="452">
        <v>29</v>
      </c>
      <c r="G19" s="451" t="s">
        <v>300</v>
      </c>
      <c r="H19" s="450">
        <f t="shared" ref="H19:J19" si="4">SUM(H7:H18)</f>
        <v>47680.25</v>
      </c>
      <c r="I19" s="450">
        <f t="shared" si="4"/>
        <v>0</v>
      </c>
      <c r="J19" s="450">
        <f t="shared" si="4"/>
        <v>0</v>
      </c>
    </row>
    <row r="20" spans="1:10" x14ac:dyDescent="0.25">
      <c r="E20" s="461"/>
      <c r="F20" s="462">
        <v>30</v>
      </c>
      <c r="G20" s="463">
        <v>4</v>
      </c>
      <c r="H20" s="449">
        <v>171.5</v>
      </c>
      <c r="I20" s="464"/>
      <c r="J20" s="464"/>
    </row>
    <row r="21" spans="1:10" x14ac:dyDescent="0.25">
      <c r="E21" s="461"/>
      <c r="F21" s="462">
        <v>30</v>
      </c>
      <c r="G21" s="463">
        <v>5</v>
      </c>
      <c r="H21" s="449">
        <v>155.75</v>
      </c>
      <c r="I21" s="464"/>
      <c r="J21" s="464"/>
    </row>
    <row r="22" spans="1:10" x14ac:dyDescent="0.25">
      <c r="E22" s="461"/>
      <c r="F22" s="462">
        <v>30</v>
      </c>
      <c r="G22" s="463">
        <v>6</v>
      </c>
      <c r="H22" s="449">
        <v>166.25</v>
      </c>
      <c r="I22" s="464"/>
      <c r="J22" s="464"/>
    </row>
    <row r="23" spans="1:10" x14ac:dyDescent="0.25">
      <c r="E23" s="461"/>
      <c r="F23" s="462">
        <v>30</v>
      </c>
      <c r="G23" s="463">
        <v>7</v>
      </c>
      <c r="H23" s="449">
        <v>1021</v>
      </c>
      <c r="I23" s="464"/>
      <c r="J23" s="464"/>
    </row>
    <row r="24" spans="1:10" x14ac:dyDescent="0.25">
      <c r="E24" s="461"/>
      <c r="F24" s="462">
        <v>30</v>
      </c>
      <c r="G24" s="463">
        <v>8</v>
      </c>
      <c r="H24" s="449">
        <v>6088</v>
      </c>
      <c r="I24" s="464"/>
      <c r="J24" s="464"/>
    </row>
    <row r="25" spans="1:10" x14ac:dyDescent="0.25">
      <c r="E25" s="461"/>
      <c r="F25" s="462">
        <v>30</v>
      </c>
      <c r="G25" s="463">
        <v>9</v>
      </c>
      <c r="H25" s="464"/>
      <c r="I25" s="464"/>
      <c r="J25" s="464"/>
    </row>
    <row r="26" spans="1:10" x14ac:dyDescent="0.25">
      <c r="E26" s="461"/>
      <c r="F26" s="462">
        <v>30</v>
      </c>
      <c r="G26" s="463">
        <v>10</v>
      </c>
      <c r="H26" s="464"/>
      <c r="I26" s="464"/>
      <c r="J26" s="464"/>
    </row>
    <row r="27" spans="1:10" x14ac:dyDescent="0.25">
      <c r="E27" s="461"/>
      <c r="F27" s="462">
        <v>30</v>
      </c>
      <c r="G27" s="463">
        <v>11</v>
      </c>
      <c r="H27" s="464"/>
      <c r="I27" s="464"/>
      <c r="J27" s="464"/>
    </row>
    <row r="28" spans="1:10" x14ac:dyDescent="0.25">
      <c r="E28" s="461"/>
      <c r="F28" s="462">
        <v>30</v>
      </c>
      <c r="G28" s="463">
        <v>12</v>
      </c>
      <c r="H28" s="464"/>
      <c r="I28" s="464"/>
      <c r="J28" s="464"/>
    </row>
    <row r="29" spans="1:10" x14ac:dyDescent="0.25">
      <c r="E29" s="461"/>
      <c r="F29" s="462">
        <v>31</v>
      </c>
      <c r="G29" s="463">
        <v>1</v>
      </c>
      <c r="H29" s="464"/>
      <c r="I29" s="464"/>
      <c r="J29" s="464"/>
    </row>
    <row r="30" spans="1:10" x14ac:dyDescent="0.25">
      <c r="E30" s="461"/>
      <c r="F30" s="462">
        <v>31</v>
      </c>
      <c r="G30" s="463">
        <v>2</v>
      </c>
      <c r="H30" s="464"/>
      <c r="I30" s="464"/>
      <c r="J30" s="464"/>
    </row>
    <row r="31" spans="1:10" x14ac:dyDescent="0.25">
      <c r="E31" s="461"/>
      <c r="F31" s="462">
        <v>31</v>
      </c>
      <c r="G31" s="463">
        <v>3</v>
      </c>
      <c r="H31" s="464"/>
      <c r="I31" s="464"/>
      <c r="J31" s="464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>
      <selection activeCell="C20" sqref="C20"/>
    </sheetView>
  </sheetViews>
  <sheetFormatPr baseColWidth="10" defaultRowHeight="18" x14ac:dyDescent="0.25"/>
  <sheetData>
    <row r="1" spans="1:30" x14ac:dyDescent="0.25">
      <c r="E1" s="409" t="s">
        <v>252</v>
      </c>
      <c r="F1" s="410"/>
      <c r="G1" s="410"/>
      <c r="H1" s="410"/>
      <c r="I1" s="41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</row>
    <row r="2" spans="1:30" x14ac:dyDescent="0.25">
      <c r="E2" s="411"/>
      <c r="F2" s="410"/>
      <c r="G2" s="410"/>
      <c r="H2" s="410"/>
      <c r="I2" s="41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412" t="s">
        <v>253</v>
      </c>
    </row>
    <row r="3" spans="1:30" x14ac:dyDescent="0.25">
      <c r="E3" s="413" t="s">
        <v>254</v>
      </c>
      <c r="F3" s="414" t="s">
        <v>255</v>
      </c>
      <c r="G3" s="414" t="s">
        <v>256</v>
      </c>
      <c r="H3" s="415" t="s">
        <v>181</v>
      </c>
      <c r="I3" s="416" t="s">
        <v>257</v>
      </c>
      <c r="J3" s="416"/>
      <c r="K3" s="416"/>
      <c r="L3" s="416"/>
      <c r="M3" s="417" t="s">
        <v>258</v>
      </c>
      <c r="N3" s="416"/>
      <c r="O3" s="415"/>
      <c r="P3" s="417" t="s">
        <v>1</v>
      </c>
      <c r="Q3" s="416"/>
      <c r="R3" s="416"/>
      <c r="S3" s="415"/>
      <c r="T3" s="417" t="s">
        <v>259</v>
      </c>
      <c r="U3" s="416"/>
      <c r="V3" s="416"/>
      <c r="W3" s="416"/>
      <c r="X3" s="416"/>
      <c r="Y3" s="417" t="s">
        <v>260</v>
      </c>
      <c r="Z3" s="416"/>
      <c r="AA3" s="416"/>
      <c r="AB3" s="416"/>
      <c r="AC3" s="414" t="s">
        <v>261</v>
      </c>
      <c r="AD3" s="416" t="s">
        <v>262</v>
      </c>
    </row>
    <row r="4" spans="1:30" x14ac:dyDescent="0.25">
      <c r="E4" s="413"/>
      <c r="F4" s="414"/>
      <c r="G4" s="418" t="s">
        <v>254</v>
      </c>
      <c r="H4" s="419" t="s">
        <v>254</v>
      </c>
      <c r="I4" s="416" t="s">
        <v>16</v>
      </c>
      <c r="J4" s="416" t="s">
        <v>263</v>
      </c>
      <c r="K4" s="416" t="s">
        <v>264</v>
      </c>
      <c r="L4" s="416" t="s">
        <v>265</v>
      </c>
      <c r="M4" s="417" t="s">
        <v>16</v>
      </c>
      <c r="N4" s="416" t="s">
        <v>266</v>
      </c>
      <c r="O4" s="416" t="s">
        <v>267</v>
      </c>
      <c r="P4" s="417" t="s">
        <v>16</v>
      </c>
      <c r="Q4" s="416" t="s">
        <v>268</v>
      </c>
      <c r="R4" s="416" t="s">
        <v>269</v>
      </c>
      <c r="S4" s="416" t="s">
        <v>270</v>
      </c>
      <c r="T4" s="417" t="s">
        <v>16</v>
      </c>
      <c r="U4" s="416" t="s">
        <v>271</v>
      </c>
      <c r="V4" s="416" t="s">
        <v>266</v>
      </c>
      <c r="W4" s="416" t="s">
        <v>272</v>
      </c>
      <c r="X4" s="416" t="s">
        <v>273</v>
      </c>
      <c r="Y4" s="420" t="s">
        <v>16</v>
      </c>
      <c r="Z4" s="416" t="s">
        <v>271</v>
      </c>
      <c r="AA4" s="416" t="s">
        <v>266</v>
      </c>
      <c r="AB4" s="416" t="s">
        <v>274</v>
      </c>
      <c r="AC4" s="418"/>
      <c r="AD4" s="280"/>
    </row>
    <row r="5" spans="1:30" x14ac:dyDescent="0.25">
      <c r="E5" s="421" t="s">
        <v>275</v>
      </c>
      <c r="F5" s="422" t="s">
        <v>276</v>
      </c>
      <c r="G5" s="423">
        <v>54</v>
      </c>
      <c r="H5" s="423">
        <f>H6+H7</f>
        <v>186100</v>
      </c>
      <c r="I5" s="424">
        <v>0</v>
      </c>
      <c r="J5" s="424">
        <v>0</v>
      </c>
      <c r="K5" s="424">
        <v>0</v>
      </c>
      <c r="L5" s="425">
        <v>0</v>
      </c>
      <c r="M5" s="426">
        <v>0</v>
      </c>
      <c r="N5" s="424">
        <v>0</v>
      </c>
      <c r="O5" s="425">
        <v>0</v>
      </c>
      <c r="P5" s="424">
        <v>0</v>
      </c>
      <c r="Q5" s="424">
        <v>0</v>
      </c>
      <c r="R5" s="424">
        <v>0</v>
      </c>
      <c r="S5" s="425">
        <v>0</v>
      </c>
      <c r="T5" s="426">
        <f>SUM(U5:X5)</f>
        <v>186100</v>
      </c>
      <c r="U5" s="424">
        <f>SUM(U6:U7)</f>
        <v>186100</v>
      </c>
      <c r="V5" s="424">
        <f>SUM(V6:V7)</f>
        <v>0</v>
      </c>
      <c r="W5" s="424">
        <f>SUM(W6:W7)</f>
        <v>0</v>
      </c>
      <c r="X5" s="424">
        <f>SUM(X6:X7)</f>
        <v>0</v>
      </c>
      <c r="Y5" s="427">
        <f>SUM(Z5:AB5)</f>
        <v>0</v>
      </c>
      <c r="Z5" s="424">
        <f>SUM(Z6:Z7)</f>
        <v>0</v>
      </c>
      <c r="AA5" s="424">
        <f>SUM(AA6:AA7)</f>
        <v>0</v>
      </c>
      <c r="AB5" s="424">
        <f>SUM(AB6:AB7)</f>
        <v>0</v>
      </c>
      <c r="AC5" s="423">
        <v>0</v>
      </c>
      <c r="AD5" s="426">
        <v>0</v>
      </c>
    </row>
    <row r="6" spans="1:30" x14ac:dyDescent="0.25">
      <c r="B6" t="s">
        <v>295</v>
      </c>
      <c r="C6" t="s">
        <v>225</v>
      </c>
      <c r="E6" s="413"/>
      <c r="F6" s="414" t="s">
        <v>277</v>
      </c>
      <c r="G6" s="428">
        <v>54</v>
      </c>
      <c r="H6" s="418">
        <f>I6+M6+P6+T6+Y6+AC6+AD6</f>
        <v>186100</v>
      </c>
      <c r="I6" s="429">
        <v>0</v>
      </c>
      <c r="J6" s="430">
        <v>0</v>
      </c>
      <c r="K6" s="430">
        <v>0</v>
      </c>
      <c r="L6" s="431">
        <v>0</v>
      </c>
      <c r="M6" s="427">
        <v>0</v>
      </c>
      <c r="N6" s="430">
        <v>0</v>
      </c>
      <c r="O6" s="431">
        <v>0</v>
      </c>
      <c r="P6" s="429">
        <v>0</v>
      </c>
      <c r="Q6" s="430">
        <v>0</v>
      </c>
      <c r="R6" s="430">
        <v>0</v>
      </c>
      <c r="S6" s="431">
        <v>0</v>
      </c>
      <c r="T6" s="427">
        <v>186100</v>
      </c>
      <c r="U6" s="430">
        <v>186100</v>
      </c>
      <c r="V6" s="430">
        <v>0</v>
      </c>
      <c r="W6" s="430">
        <v>0</v>
      </c>
      <c r="X6" s="430">
        <v>0</v>
      </c>
      <c r="Y6" s="427">
        <v>0</v>
      </c>
      <c r="Z6" s="430">
        <v>0</v>
      </c>
      <c r="AA6" s="430">
        <v>0</v>
      </c>
      <c r="AB6" s="431">
        <v>0</v>
      </c>
      <c r="AC6" s="428">
        <v>0</v>
      </c>
      <c r="AD6" s="432">
        <v>0</v>
      </c>
    </row>
    <row r="7" spans="1:30" x14ac:dyDescent="0.25">
      <c r="A7">
        <v>1</v>
      </c>
      <c r="B7">
        <f>T5</f>
        <v>186100</v>
      </c>
      <c r="C7">
        <f>B7/1000</f>
        <v>186.1</v>
      </c>
      <c r="E7" s="413"/>
      <c r="F7" s="414" t="s">
        <v>278</v>
      </c>
      <c r="G7" s="433">
        <v>0</v>
      </c>
      <c r="H7" s="418">
        <f>I7+M7+P7+T7+Y7+AC7+AD7</f>
        <v>0</v>
      </c>
      <c r="I7" s="429">
        <v>0</v>
      </c>
      <c r="J7" s="434">
        <v>0</v>
      </c>
      <c r="K7" s="434">
        <v>0</v>
      </c>
      <c r="L7" s="431">
        <v>0</v>
      </c>
      <c r="M7" s="427">
        <v>0</v>
      </c>
      <c r="N7" s="434">
        <v>0</v>
      </c>
      <c r="O7" s="431">
        <v>0</v>
      </c>
      <c r="P7" s="429">
        <v>0</v>
      </c>
      <c r="Q7" s="434">
        <v>0</v>
      </c>
      <c r="R7" s="434">
        <v>0</v>
      </c>
      <c r="S7" s="431">
        <v>0</v>
      </c>
      <c r="T7" s="427">
        <v>0</v>
      </c>
      <c r="U7" s="434">
        <v>0</v>
      </c>
      <c r="V7" s="434">
        <v>0</v>
      </c>
      <c r="W7" s="434">
        <v>0</v>
      </c>
      <c r="X7" s="430">
        <v>0</v>
      </c>
      <c r="Y7" s="435">
        <v>0</v>
      </c>
      <c r="Z7" s="434">
        <v>0</v>
      </c>
      <c r="AA7" s="430">
        <v>0</v>
      </c>
      <c r="AB7" s="436">
        <v>0</v>
      </c>
      <c r="AC7" s="431">
        <v>0</v>
      </c>
      <c r="AD7" s="432">
        <v>0</v>
      </c>
    </row>
    <row r="8" spans="1:30" x14ac:dyDescent="0.25">
      <c r="A8">
        <v>2</v>
      </c>
      <c r="B8">
        <f>T8</f>
        <v>350960</v>
      </c>
      <c r="C8">
        <f t="shared" ref="C8:C14" si="0">B8/1000</f>
        <v>350.96</v>
      </c>
      <c r="E8" s="421" t="s">
        <v>279</v>
      </c>
      <c r="F8" s="422" t="s">
        <v>276</v>
      </c>
      <c r="G8" s="423">
        <v>157</v>
      </c>
      <c r="H8" s="423">
        <f>H9+H10</f>
        <v>351140</v>
      </c>
      <c r="I8" s="424">
        <v>0</v>
      </c>
      <c r="J8" s="424">
        <v>0</v>
      </c>
      <c r="K8" s="424">
        <v>0</v>
      </c>
      <c r="L8" s="425">
        <v>0</v>
      </c>
      <c r="M8" s="426">
        <v>0</v>
      </c>
      <c r="N8" s="424">
        <v>0</v>
      </c>
      <c r="O8" s="425">
        <v>0</v>
      </c>
      <c r="P8" s="424">
        <v>0</v>
      </c>
      <c r="Q8" s="424">
        <v>0</v>
      </c>
      <c r="R8" s="424">
        <v>0</v>
      </c>
      <c r="S8" s="425">
        <v>0</v>
      </c>
      <c r="T8" s="426">
        <f>SUM(U8:X8)</f>
        <v>350960</v>
      </c>
      <c r="U8" s="424">
        <f>SUM(U9:U10)</f>
        <v>346120</v>
      </c>
      <c r="V8" s="424">
        <f>SUM(V9:V10)</f>
        <v>4840</v>
      </c>
      <c r="W8" s="424">
        <f>SUM(W9:W10)</f>
        <v>0</v>
      </c>
      <c r="X8" s="424">
        <f>SUM(X9:X10)</f>
        <v>0</v>
      </c>
      <c r="Y8" s="427">
        <f>SUM(Z8:AB8)</f>
        <v>0</v>
      </c>
      <c r="Z8" s="424">
        <f>SUM(Z9:Z10)</f>
        <v>0</v>
      </c>
      <c r="AA8" s="424">
        <f>SUM(AA9:AA10)</f>
        <v>0</v>
      </c>
      <c r="AB8" s="424">
        <f>SUM(AB9:AB10)</f>
        <v>0</v>
      </c>
      <c r="AC8" s="423">
        <v>0</v>
      </c>
      <c r="AD8" s="426">
        <v>180</v>
      </c>
    </row>
    <row r="9" spans="1:30" x14ac:dyDescent="0.25">
      <c r="A9">
        <v>3</v>
      </c>
      <c r="B9">
        <f>T11</f>
        <v>147580</v>
      </c>
      <c r="C9">
        <f t="shared" si="0"/>
        <v>147.58000000000001</v>
      </c>
      <c r="E9" s="413"/>
      <c r="F9" s="414" t="s">
        <v>277</v>
      </c>
      <c r="G9" s="428">
        <v>100</v>
      </c>
      <c r="H9" s="418">
        <f>I9+M9+P9+T9+Y9+AC9+AD9</f>
        <v>222340</v>
      </c>
      <c r="I9" s="429">
        <v>0</v>
      </c>
      <c r="J9" s="430">
        <v>0</v>
      </c>
      <c r="K9" s="430">
        <v>0</v>
      </c>
      <c r="L9" s="431">
        <v>0</v>
      </c>
      <c r="M9" s="427">
        <v>0</v>
      </c>
      <c r="N9" s="430">
        <v>0</v>
      </c>
      <c r="O9" s="431">
        <v>0</v>
      </c>
      <c r="P9" s="429">
        <v>0</v>
      </c>
      <c r="Q9" s="430">
        <v>0</v>
      </c>
      <c r="R9" s="430">
        <v>0</v>
      </c>
      <c r="S9" s="431">
        <v>0</v>
      </c>
      <c r="T9" s="427">
        <v>222260</v>
      </c>
      <c r="U9" s="430">
        <v>218340</v>
      </c>
      <c r="V9" s="430">
        <v>3920</v>
      </c>
      <c r="W9" s="430">
        <v>0</v>
      </c>
      <c r="X9" s="430">
        <v>0</v>
      </c>
      <c r="Y9" s="427">
        <v>0</v>
      </c>
      <c r="Z9" s="430">
        <v>0</v>
      </c>
      <c r="AA9" s="430">
        <v>0</v>
      </c>
      <c r="AB9" s="431">
        <v>0</v>
      </c>
      <c r="AC9" s="428">
        <v>0</v>
      </c>
      <c r="AD9" s="432">
        <v>80</v>
      </c>
    </row>
    <row r="10" spans="1:30" x14ac:dyDescent="0.25">
      <c r="A10">
        <v>4</v>
      </c>
      <c r="B10">
        <f>T14</f>
        <v>1920</v>
      </c>
      <c r="C10">
        <f t="shared" si="0"/>
        <v>1.92</v>
      </c>
      <c r="E10" s="413"/>
      <c r="F10" s="414" t="s">
        <v>278</v>
      </c>
      <c r="G10" s="433">
        <v>57</v>
      </c>
      <c r="H10" s="418">
        <f>I10+M10+P10+T10+Y10+AC10+AD10</f>
        <v>128800</v>
      </c>
      <c r="I10" s="429">
        <v>0</v>
      </c>
      <c r="J10" s="434">
        <v>0</v>
      </c>
      <c r="K10" s="434">
        <v>0</v>
      </c>
      <c r="L10" s="431">
        <v>0</v>
      </c>
      <c r="M10" s="427">
        <v>0</v>
      </c>
      <c r="N10" s="434">
        <v>0</v>
      </c>
      <c r="O10" s="431">
        <v>0</v>
      </c>
      <c r="P10" s="429">
        <v>0</v>
      </c>
      <c r="Q10" s="434">
        <v>0</v>
      </c>
      <c r="R10" s="434">
        <v>0</v>
      </c>
      <c r="S10" s="431">
        <v>0</v>
      </c>
      <c r="T10" s="427">
        <v>128700</v>
      </c>
      <c r="U10" s="434">
        <v>127780</v>
      </c>
      <c r="V10" s="434">
        <v>920</v>
      </c>
      <c r="W10" s="434">
        <v>0</v>
      </c>
      <c r="X10" s="430">
        <v>0</v>
      </c>
      <c r="Y10" s="435">
        <v>0</v>
      </c>
      <c r="Z10" s="434">
        <v>0</v>
      </c>
      <c r="AA10" s="430">
        <v>0</v>
      </c>
      <c r="AB10" s="436">
        <v>0</v>
      </c>
      <c r="AC10" s="431">
        <v>0</v>
      </c>
      <c r="AD10" s="432">
        <v>100</v>
      </c>
    </row>
    <row r="11" spans="1:30" x14ac:dyDescent="0.25">
      <c r="A11">
        <v>5</v>
      </c>
      <c r="B11">
        <f>T17</f>
        <v>1920</v>
      </c>
      <c r="C11">
        <f t="shared" si="0"/>
        <v>1.92</v>
      </c>
      <c r="E11" s="421" t="s">
        <v>280</v>
      </c>
      <c r="F11" s="422" t="s">
        <v>276</v>
      </c>
      <c r="G11" s="423">
        <f>SUM(G12:G13)</f>
        <v>80</v>
      </c>
      <c r="H11" s="423">
        <f>H12+H13</f>
        <v>147660</v>
      </c>
      <c r="I11" s="437">
        <v>0</v>
      </c>
      <c r="J11" s="421">
        <v>0</v>
      </c>
      <c r="K11" s="421">
        <v>0</v>
      </c>
      <c r="L11" s="438">
        <v>0</v>
      </c>
      <c r="M11" s="421">
        <v>0</v>
      </c>
      <c r="N11" s="421">
        <v>0</v>
      </c>
      <c r="O11" s="421">
        <v>0</v>
      </c>
      <c r="P11" s="437">
        <v>0</v>
      </c>
      <c r="Q11" s="421">
        <v>0</v>
      </c>
      <c r="R11" s="421">
        <v>0</v>
      </c>
      <c r="S11" s="438">
        <v>0</v>
      </c>
      <c r="T11" s="426">
        <f>SUM(U11:X11)</f>
        <v>147580</v>
      </c>
      <c r="U11" s="424">
        <f>SUM(U12:U13)</f>
        <v>147580</v>
      </c>
      <c r="V11" s="424">
        <f>SUM(V12:V13)</f>
        <v>0</v>
      </c>
      <c r="W11" s="424">
        <f>SUM(W12:W13)</f>
        <v>0</v>
      </c>
      <c r="X11" s="424">
        <f>SUM(X12:X13)</f>
        <v>0</v>
      </c>
      <c r="Y11" s="427">
        <f>SUM(Z11:AB11)</f>
        <v>0</v>
      </c>
      <c r="Z11" s="424">
        <f>SUM(Z12:Z13)</f>
        <v>0</v>
      </c>
      <c r="AA11" s="424">
        <f>SUM(AA12:AA13)</f>
        <v>0</v>
      </c>
      <c r="AB11" s="424">
        <f>SUM(AB12:AB13)</f>
        <v>0</v>
      </c>
      <c r="AC11" s="439">
        <v>0</v>
      </c>
      <c r="AD11" s="421">
        <v>80</v>
      </c>
    </row>
    <row r="12" spans="1:30" x14ac:dyDescent="0.25">
      <c r="A12">
        <v>6</v>
      </c>
      <c r="B12">
        <f>T20</f>
        <v>47780</v>
      </c>
      <c r="C12">
        <f t="shared" si="0"/>
        <v>47.78</v>
      </c>
      <c r="E12" s="413"/>
      <c r="F12" s="414" t="s">
        <v>277</v>
      </c>
      <c r="G12" s="428">
        <v>60</v>
      </c>
      <c r="H12" s="418">
        <f>I12+M12+P12+T12+Y12+AC12+AD12</f>
        <v>110380</v>
      </c>
      <c r="I12" s="429">
        <v>0</v>
      </c>
      <c r="J12" s="430">
        <v>0</v>
      </c>
      <c r="K12" s="430">
        <v>0</v>
      </c>
      <c r="L12" s="431">
        <v>0</v>
      </c>
      <c r="M12" s="427">
        <v>0</v>
      </c>
      <c r="N12" s="430">
        <v>0</v>
      </c>
      <c r="O12" s="431">
        <v>0</v>
      </c>
      <c r="P12" s="429">
        <v>0</v>
      </c>
      <c r="Q12" s="430">
        <v>0</v>
      </c>
      <c r="R12" s="430">
        <v>0</v>
      </c>
      <c r="S12" s="431">
        <v>0</v>
      </c>
      <c r="T12" s="427">
        <v>110340</v>
      </c>
      <c r="U12" s="430">
        <v>110340</v>
      </c>
      <c r="V12" s="430">
        <v>0</v>
      </c>
      <c r="W12" s="430">
        <v>0</v>
      </c>
      <c r="X12" s="430">
        <v>0</v>
      </c>
      <c r="Y12" s="427">
        <v>0</v>
      </c>
      <c r="Z12" s="430">
        <v>0</v>
      </c>
      <c r="AA12" s="430">
        <v>0</v>
      </c>
      <c r="AB12" s="431">
        <v>0</v>
      </c>
      <c r="AC12" s="428">
        <v>0</v>
      </c>
      <c r="AD12" s="432">
        <v>40</v>
      </c>
    </row>
    <row r="13" spans="1:30" x14ac:dyDescent="0.25">
      <c r="A13">
        <v>7</v>
      </c>
      <c r="B13">
        <f>T23</f>
        <v>94480</v>
      </c>
      <c r="C13">
        <f t="shared" si="0"/>
        <v>94.48</v>
      </c>
      <c r="E13" s="413"/>
      <c r="F13" s="414" t="s">
        <v>278</v>
      </c>
      <c r="G13" s="433">
        <v>20</v>
      </c>
      <c r="H13" s="418">
        <f>I13+M13+P13+T13+Y13+AC13+AD13</f>
        <v>37280</v>
      </c>
      <c r="I13" s="429">
        <v>0</v>
      </c>
      <c r="J13" s="430">
        <v>0</v>
      </c>
      <c r="K13" s="430">
        <v>0</v>
      </c>
      <c r="L13" s="431">
        <v>0</v>
      </c>
      <c r="M13" s="427">
        <v>0</v>
      </c>
      <c r="N13" s="430">
        <v>0</v>
      </c>
      <c r="O13" s="431">
        <v>0</v>
      </c>
      <c r="P13" s="429">
        <v>0</v>
      </c>
      <c r="Q13" s="430">
        <v>0</v>
      </c>
      <c r="R13" s="430">
        <v>0</v>
      </c>
      <c r="S13" s="431">
        <v>0</v>
      </c>
      <c r="T13" s="427">
        <v>37240</v>
      </c>
      <c r="U13" s="434">
        <v>37240</v>
      </c>
      <c r="V13" s="434">
        <v>0</v>
      </c>
      <c r="W13" s="434">
        <v>0</v>
      </c>
      <c r="X13" s="430">
        <v>0</v>
      </c>
      <c r="Y13" s="435">
        <v>0</v>
      </c>
      <c r="Z13" s="430">
        <v>0</v>
      </c>
      <c r="AA13" s="430">
        <v>0</v>
      </c>
      <c r="AB13" s="436">
        <v>0</v>
      </c>
      <c r="AC13" s="431">
        <v>0</v>
      </c>
      <c r="AD13" s="432">
        <v>40</v>
      </c>
    </row>
    <row r="14" spans="1:30" x14ac:dyDescent="0.25">
      <c r="A14">
        <v>8</v>
      </c>
      <c r="B14">
        <f>T26</f>
        <v>101460</v>
      </c>
      <c r="C14">
        <f t="shared" si="0"/>
        <v>101.46</v>
      </c>
      <c r="E14" s="421" t="s">
        <v>281</v>
      </c>
      <c r="F14" s="422" t="s">
        <v>276</v>
      </c>
      <c r="G14" s="423">
        <f>SUM(G15:G16)</f>
        <v>4</v>
      </c>
      <c r="H14" s="423">
        <f>H15+H16</f>
        <v>1920</v>
      </c>
      <c r="I14" s="424">
        <v>0</v>
      </c>
      <c r="J14" s="424">
        <v>0</v>
      </c>
      <c r="K14" s="424">
        <v>0</v>
      </c>
      <c r="L14" s="425">
        <v>0</v>
      </c>
      <c r="M14" s="426">
        <v>0</v>
      </c>
      <c r="N14" s="424">
        <v>0</v>
      </c>
      <c r="O14" s="425">
        <v>0</v>
      </c>
      <c r="P14" s="424">
        <v>0</v>
      </c>
      <c r="Q14" s="424">
        <v>0</v>
      </c>
      <c r="R14" s="424">
        <v>0</v>
      </c>
      <c r="S14" s="425">
        <v>0</v>
      </c>
      <c r="T14" s="426">
        <f>SUM(U14:X14)</f>
        <v>1920</v>
      </c>
      <c r="U14" s="424">
        <f>SUM(U15:U16)</f>
        <v>1920</v>
      </c>
      <c r="V14" s="424">
        <f>SUM(V15:V16)</f>
        <v>0</v>
      </c>
      <c r="W14" s="424">
        <f>SUM(W15:W16)</f>
        <v>0</v>
      </c>
      <c r="X14" s="424">
        <f>SUM(X15:X16)</f>
        <v>0</v>
      </c>
      <c r="Y14" s="427">
        <f>SUM(Z14:AB14)</f>
        <v>0</v>
      </c>
      <c r="Z14" s="424">
        <f>SUM(Z15:Z16)</f>
        <v>0</v>
      </c>
      <c r="AA14" s="424">
        <f>SUM(AA15:AA16)</f>
        <v>0</v>
      </c>
      <c r="AB14" s="424">
        <f>SUM(AB15:AB16)</f>
        <v>0</v>
      </c>
      <c r="AC14" s="423">
        <v>0</v>
      </c>
      <c r="AD14" s="426">
        <v>0</v>
      </c>
    </row>
    <row r="15" spans="1:30" x14ac:dyDescent="0.25">
      <c r="A15">
        <v>9</v>
      </c>
      <c r="E15" s="413"/>
      <c r="F15" s="414" t="s">
        <v>277</v>
      </c>
      <c r="G15" s="428">
        <v>0</v>
      </c>
      <c r="H15" s="418">
        <f>I15+M15+P15+T15+Y15+AC15+AD15</f>
        <v>1920</v>
      </c>
      <c r="I15" s="429">
        <v>0</v>
      </c>
      <c r="J15" s="430">
        <v>0</v>
      </c>
      <c r="K15" s="430">
        <v>0</v>
      </c>
      <c r="L15" s="431">
        <v>0</v>
      </c>
      <c r="M15" s="427">
        <v>0</v>
      </c>
      <c r="N15" s="430">
        <v>0</v>
      </c>
      <c r="O15" s="431">
        <v>0</v>
      </c>
      <c r="P15" s="429">
        <v>0</v>
      </c>
      <c r="Q15" s="430">
        <v>0</v>
      </c>
      <c r="R15" s="430">
        <v>0</v>
      </c>
      <c r="S15" s="431">
        <v>0</v>
      </c>
      <c r="T15" s="427">
        <v>1920</v>
      </c>
      <c r="U15" s="430">
        <v>1920</v>
      </c>
      <c r="V15" s="430">
        <v>0</v>
      </c>
      <c r="W15" s="430">
        <v>0</v>
      </c>
      <c r="X15" s="430">
        <v>0</v>
      </c>
      <c r="Y15" s="427">
        <v>0</v>
      </c>
      <c r="Z15" s="430">
        <v>0</v>
      </c>
      <c r="AA15" s="430">
        <v>0</v>
      </c>
      <c r="AB15" s="431">
        <v>0</v>
      </c>
      <c r="AC15" s="428">
        <v>0</v>
      </c>
      <c r="AD15" s="432">
        <v>0</v>
      </c>
    </row>
    <row r="16" spans="1:30" x14ac:dyDescent="0.25">
      <c r="A16">
        <v>10</v>
      </c>
      <c r="E16" s="413"/>
      <c r="F16" s="414" t="s">
        <v>278</v>
      </c>
      <c r="G16" s="433">
        <v>4</v>
      </c>
      <c r="H16" s="418">
        <f>I16+M16+P16+T16+Y16+AC16+AD16</f>
        <v>0</v>
      </c>
      <c r="I16" s="429">
        <v>0</v>
      </c>
      <c r="J16" s="430">
        <v>0</v>
      </c>
      <c r="K16" s="430">
        <v>0</v>
      </c>
      <c r="L16" s="431">
        <v>0</v>
      </c>
      <c r="M16" s="427">
        <v>0</v>
      </c>
      <c r="N16" s="430">
        <v>0</v>
      </c>
      <c r="O16" s="431">
        <v>0</v>
      </c>
      <c r="P16" s="429">
        <v>0</v>
      </c>
      <c r="Q16" s="430">
        <v>0</v>
      </c>
      <c r="R16" s="430">
        <v>0</v>
      </c>
      <c r="S16" s="431">
        <v>0</v>
      </c>
      <c r="T16" s="427">
        <v>0</v>
      </c>
      <c r="U16" s="430">
        <v>0</v>
      </c>
      <c r="V16" s="430">
        <v>0</v>
      </c>
      <c r="W16" s="430">
        <v>0</v>
      </c>
      <c r="X16" s="430">
        <v>0</v>
      </c>
      <c r="Y16" s="435">
        <v>0</v>
      </c>
      <c r="Z16" s="430">
        <v>0</v>
      </c>
      <c r="AA16" s="430">
        <v>0</v>
      </c>
      <c r="AB16" s="436">
        <v>0</v>
      </c>
      <c r="AC16" s="431">
        <v>0</v>
      </c>
      <c r="AD16" s="432">
        <v>0</v>
      </c>
    </row>
    <row r="17" spans="1:30" x14ac:dyDescent="0.25">
      <c r="A17">
        <v>11</v>
      </c>
      <c r="E17" s="421" t="s">
        <v>282</v>
      </c>
      <c r="F17" s="422" t="s">
        <v>276</v>
      </c>
      <c r="G17" s="423">
        <f>SUM(G18:G19)</f>
        <v>54</v>
      </c>
      <c r="H17" s="423">
        <f>H18+H19</f>
        <v>35380</v>
      </c>
      <c r="I17" s="424">
        <v>0</v>
      </c>
      <c r="J17" s="424">
        <v>0</v>
      </c>
      <c r="K17" s="424">
        <v>0</v>
      </c>
      <c r="L17" s="425">
        <v>0</v>
      </c>
      <c r="M17" s="426">
        <v>0</v>
      </c>
      <c r="N17" s="424">
        <v>0</v>
      </c>
      <c r="O17" s="425">
        <v>0</v>
      </c>
      <c r="P17" s="424">
        <f t="shared" ref="P17:P26" si="1">SUM(Q17:S17)</f>
        <v>33460</v>
      </c>
      <c r="Q17" s="424">
        <f>SUM(Q18:Q19)</f>
        <v>0</v>
      </c>
      <c r="R17" s="424">
        <f>SUM(R18:R19)</f>
        <v>0</v>
      </c>
      <c r="S17" s="424">
        <f>SUM(S18:S19)</f>
        <v>33460</v>
      </c>
      <c r="T17" s="426">
        <f>SUM(U17:X17)</f>
        <v>1920</v>
      </c>
      <c r="U17" s="424">
        <f>SUM(U18:U19)</f>
        <v>1680</v>
      </c>
      <c r="V17" s="424">
        <f>SUM(V18:V19)</f>
        <v>0</v>
      </c>
      <c r="W17" s="424">
        <f>SUM(W18:W19)</f>
        <v>240</v>
      </c>
      <c r="X17" s="424">
        <f>SUM(X18:X19)</f>
        <v>0</v>
      </c>
      <c r="Y17" s="427">
        <f>SUM(Z17:AB17)</f>
        <v>0</v>
      </c>
      <c r="Z17" s="424">
        <f>SUM(Z18:Z19)</f>
        <v>0</v>
      </c>
      <c r="AA17" s="424">
        <f>SUM(AA18:AA19)</f>
        <v>0</v>
      </c>
      <c r="AB17" s="424">
        <f>SUM(AB18:AB19)</f>
        <v>0</v>
      </c>
      <c r="AC17" s="423">
        <v>0</v>
      </c>
      <c r="AD17" s="426">
        <v>0</v>
      </c>
    </row>
    <row r="18" spans="1:30" x14ac:dyDescent="0.25">
      <c r="A18">
        <v>12</v>
      </c>
      <c r="E18" s="413"/>
      <c r="F18" s="414" t="s">
        <v>277</v>
      </c>
      <c r="G18" s="428">
        <v>1</v>
      </c>
      <c r="H18" s="418">
        <f>I18+M18+P18+T18+Y18+AC18+AD18</f>
        <v>1220</v>
      </c>
      <c r="I18" s="429">
        <v>0</v>
      </c>
      <c r="J18" s="430">
        <v>0</v>
      </c>
      <c r="K18" s="430">
        <v>0</v>
      </c>
      <c r="L18" s="431">
        <v>0</v>
      </c>
      <c r="M18" s="427">
        <v>0</v>
      </c>
      <c r="N18" s="430">
        <v>0</v>
      </c>
      <c r="O18" s="431">
        <v>0</v>
      </c>
      <c r="P18" s="429">
        <f t="shared" si="1"/>
        <v>1040</v>
      </c>
      <c r="Q18" s="430">
        <v>0</v>
      </c>
      <c r="R18" s="430">
        <v>0</v>
      </c>
      <c r="S18" s="431">
        <v>1040</v>
      </c>
      <c r="T18" s="427">
        <v>180</v>
      </c>
      <c r="U18" s="430">
        <v>180</v>
      </c>
      <c r="V18" s="430">
        <v>0</v>
      </c>
      <c r="W18" s="430">
        <v>0</v>
      </c>
      <c r="X18" s="430">
        <v>0</v>
      </c>
      <c r="Y18" s="427">
        <v>0</v>
      </c>
      <c r="Z18" s="430">
        <v>0</v>
      </c>
      <c r="AA18" s="430">
        <v>0</v>
      </c>
      <c r="AB18" s="431">
        <v>0</v>
      </c>
      <c r="AC18" s="428">
        <v>0</v>
      </c>
      <c r="AD18" s="432">
        <v>0</v>
      </c>
    </row>
    <row r="19" spans="1:30" x14ac:dyDescent="0.25">
      <c r="A19" t="s">
        <v>241</v>
      </c>
      <c r="C19">
        <f>SUM(C10:C14)</f>
        <v>247.56</v>
      </c>
      <c r="E19" s="413"/>
      <c r="F19" s="414" t="s">
        <v>278</v>
      </c>
      <c r="G19" s="433">
        <v>53</v>
      </c>
      <c r="H19" s="418">
        <f>I19+M19+P19+T19+Y19+AC19+AD19</f>
        <v>34160</v>
      </c>
      <c r="I19" s="429">
        <v>0</v>
      </c>
      <c r="J19" s="430">
        <v>0</v>
      </c>
      <c r="K19" s="430">
        <v>0</v>
      </c>
      <c r="L19" s="431">
        <v>0</v>
      </c>
      <c r="M19" s="427">
        <v>0</v>
      </c>
      <c r="N19" s="430">
        <v>0</v>
      </c>
      <c r="O19" s="431">
        <v>0</v>
      </c>
      <c r="P19" s="429">
        <f t="shared" si="1"/>
        <v>32420</v>
      </c>
      <c r="Q19" s="430">
        <v>0</v>
      </c>
      <c r="R19" s="430">
        <v>0</v>
      </c>
      <c r="S19" s="431">
        <v>32420</v>
      </c>
      <c r="T19" s="427">
        <v>1740</v>
      </c>
      <c r="U19" s="434">
        <v>1500</v>
      </c>
      <c r="V19" s="434">
        <v>0</v>
      </c>
      <c r="W19" s="434">
        <v>240</v>
      </c>
      <c r="X19" s="430">
        <v>0</v>
      </c>
      <c r="Y19" s="427">
        <v>0</v>
      </c>
      <c r="Z19" s="430">
        <v>0</v>
      </c>
      <c r="AA19" s="430">
        <v>0</v>
      </c>
      <c r="AB19" s="436">
        <v>0</v>
      </c>
      <c r="AC19" s="431">
        <v>0</v>
      </c>
      <c r="AD19" s="432">
        <v>0</v>
      </c>
    </row>
    <row r="20" spans="1:30" x14ac:dyDescent="0.25">
      <c r="E20" s="421" t="s">
        <v>283</v>
      </c>
      <c r="F20" s="422" t="s">
        <v>276</v>
      </c>
      <c r="G20" s="423">
        <f>SUM(G21:G22)</f>
        <v>121</v>
      </c>
      <c r="H20" s="423">
        <f>H21+H22</f>
        <v>60300</v>
      </c>
      <c r="I20" s="424">
        <v>0</v>
      </c>
      <c r="J20" s="424">
        <v>0</v>
      </c>
      <c r="K20" s="424">
        <v>0</v>
      </c>
      <c r="L20" s="425">
        <v>0</v>
      </c>
      <c r="M20" s="426">
        <v>0</v>
      </c>
      <c r="N20" s="424">
        <v>0</v>
      </c>
      <c r="O20" s="425">
        <v>0</v>
      </c>
      <c r="P20" s="424">
        <f t="shared" si="1"/>
        <v>12520</v>
      </c>
      <c r="Q20" s="424">
        <f>SUM(Q21:Q22)</f>
        <v>0</v>
      </c>
      <c r="R20" s="424">
        <f>SUM(R21:R22)</f>
        <v>0</v>
      </c>
      <c r="S20" s="424">
        <f>SUM(S21:S22)</f>
        <v>12520</v>
      </c>
      <c r="T20" s="426">
        <f>SUM(U20:X20)</f>
        <v>47780</v>
      </c>
      <c r="U20" s="424">
        <f>SUM(U21:U22)</f>
        <v>38320</v>
      </c>
      <c r="V20" s="424">
        <f>SUM(V21:V22)</f>
        <v>4780</v>
      </c>
      <c r="W20" s="424">
        <f>SUM(W21:W22)</f>
        <v>4660</v>
      </c>
      <c r="X20" s="424">
        <f>SUM(X21:X22)</f>
        <v>20</v>
      </c>
      <c r="Y20" s="426">
        <f>SUM(Z20:AB20)</f>
        <v>0</v>
      </c>
      <c r="Z20" s="424">
        <f>SUM(Z21:Z22)</f>
        <v>0</v>
      </c>
      <c r="AA20" s="424">
        <f>SUM(AA21:AA22)</f>
        <v>0</v>
      </c>
      <c r="AB20" s="424">
        <f>SUM(AB21:AB22)</f>
        <v>0</v>
      </c>
      <c r="AC20" s="423">
        <v>0</v>
      </c>
      <c r="AD20" s="426">
        <v>0</v>
      </c>
    </row>
    <row r="21" spans="1:30" x14ac:dyDescent="0.25">
      <c r="E21" s="413"/>
      <c r="F21" s="414" t="s">
        <v>277</v>
      </c>
      <c r="G21" s="428">
        <v>83</v>
      </c>
      <c r="H21" s="418">
        <f>I21+M21+P21+T21+Y21+AC21+AD21</f>
        <v>21760</v>
      </c>
      <c r="I21" s="429">
        <v>0</v>
      </c>
      <c r="J21" s="430">
        <v>0</v>
      </c>
      <c r="K21" s="430">
        <v>0</v>
      </c>
      <c r="L21" s="431">
        <v>0</v>
      </c>
      <c r="M21" s="427">
        <v>0</v>
      </c>
      <c r="N21" s="430">
        <v>0</v>
      </c>
      <c r="O21" s="431">
        <v>0</v>
      </c>
      <c r="P21" s="429">
        <f t="shared" si="1"/>
        <v>5760</v>
      </c>
      <c r="Q21" s="430">
        <v>0</v>
      </c>
      <c r="R21" s="430">
        <v>0</v>
      </c>
      <c r="S21" s="431">
        <v>5760</v>
      </c>
      <c r="T21" s="427">
        <v>16000</v>
      </c>
      <c r="U21" s="430">
        <v>8060</v>
      </c>
      <c r="V21" s="430">
        <v>4780</v>
      </c>
      <c r="W21" s="430">
        <v>3140</v>
      </c>
      <c r="X21" s="430">
        <v>20</v>
      </c>
      <c r="Y21" s="427">
        <v>0</v>
      </c>
      <c r="Z21" s="430">
        <v>0</v>
      </c>
      <c r="AA21" s="430">
        <v>0</v>
      </c>
      <c r="AB21" s="431">
        <v>0</v>
      </c>
      <c r="AC21" s="428">
        <v>0</v>
      </c>
      <c r="AD21" s="432">
        <v>0</v>
      </c>
    </row>
    <row r="22" spans="1:30" x14ac:dyDescent="0.25">
      <c r="E22" s="413"/>
      <c r="F22" s="414" t="s">
        <v>278</v>
      </c>
      <c r="G22" s="433">
        <v>38</v>
      </c>
      <c r="H22" s="418">
        <f>I22+M22+P22+T22+Y22+AC22+AD22</f>
        <v>38540</v>
      </c>
      <c r="I22" s="429">
        <v>0</v>
      </c>
      <c r="J22" s="430">
        <v>0</v>
      </c>
      <c r="K22" s="430">
        <v>0</v>
      </c>
      <c r="L22" s="431">
        <v>0</v>
      </c>
      <c r="M22" s="435">
        <v>0</v>
      </c>
      <c r="N22" s="430">
        <v>0</v>
      </c>
      <c r="O22" s="431">
        <v>0</v>
      </c>
      <c r="P22" s="429">
        <f t="shared" si="1"/>
        <v>6760</v>
      </c>
      <c r="Q22" s="430">
        <v>0</v>
      </c>
      <c r="R22" s="430">
        <v>0</v>
      </c>
      <c r="S22" s="431">
        <v>6760</v>
      </c>
      <c r="T22" s="427">
        <v>31780</v>
      </c>
      <c r="U22" s="434">
        <v>30260</v>
      </c>
      <c r="V22" s="434">
        <v>0</v>
      </c>
      <c r="W22" s="434">
        <v>1520</v>
      </c>
      <c r="X22" s="430">
        <v>0</v>
      </c>
      <c r="Y22" s="435">
        <v>0</v>
      </c>
      <c r="Z22" s="434">
        <v>0</v>
      </c>
      <c r="AA22" s="430">
        <v>0</v>
      </c>
      <c r="AB22" s="436">
        <v>0</v>
      </c>
      <c r="AC22" s="431">
        <v>0</v>
      </c>
      <c r="AD22" s="432">
        <v>0</v>
      </c>
    </row>
    <row r="23" spans="1:30" x14ac:dyDescent="0.25">
      <c r="E23" s="421" t="s">
        <v>284</v>
      </c>
      <c r="F23" s="422" t="s">
        <v>276</v>
      </c>
      <c r="G23" s="423">
        <f>SUM(G24:G25)</f>
        <v>235</v>
      </c>
      <c r="H23" s="423">
        <f>H24+H25</f>
        <v>98880</v>
      </c>
      <c r="I23" s="424">
        <f t="shared" ref="I23:I28" si="2">SUM(J23:L23)</f>
        <v>0</v>
      </c>
      <c r="J23" s="424">
        <f>SUM(J24:J25)</f>
        <v>0</v>
      </c>
      <c r="K23" s="424">
        <f>SUM(K24:K25)</f>
        <v>0</v>
      </c>
      <c r="L23" s="424">
        <f>SUM(L24:L25)</f>
        <v>0</v>
      </c>
      <c r="M23" s="426">
        <v>0</v>
      </c>
      <c r="N23" s="424">
        <v>0</v>
      </c>
      <c r="O23" s="425">
        <v>0</v>
      </c>
      <c r="P23" s="424">
        <f t="shared" si="1"/>
        <v>4360</v>
      </c>
      <c r="Q23" s="424">
        <f>SUM(Q24:Q25)</f>
        <v>0</v>
      </c>
      <c r="R23" s="424">
        <f>SUM(R24:R25)</f>
        <v>0</v>
      </c>
      <c r="S23" s="424">
        <f>SUM(S24:S25)</f>
        <v>4360</v>
      </c>
      <c r="T23" s="426">
        <f t="shared" ref="T23:T40" si="3">SUM(U23:X23)</f>
        <v>94480</v>
      </c>
      <c r="U23" s="424">
        <f>SUM(U24:U25)</f>
        <v>22220</v>
      </c>
      <c r="V23" s="424">
        <f>SUM(V24:V25)</f>
        <v>71980</v>
      </c>
      <c r="W23" s="424">
        <f>SUM(W24:W25)</f>
        <v>280</v>
      </c>
      <c r="X23" s="424">
        <f>SUM(X24:X25)</f>
        <v>0</v>
      </c>
      <c r="Y23" s="427">
        <f t="shared" ref="Y23:Y29" si="4">SUM(Z23:AB23)</f>
        <v>40</v>
      </c>
      <c r="Z23" s="424">
        <f>SUM(Z24:Z25)</f>
        <v>0</v>
      </c>
      <c r="AA23" s="424">
        <f>SUM(AA24:AA25)</f>
        <v>40</v>
      </c>
      <c r="AB23" s="424">
        <f>SUM(AB24:AB25)</f>
        <v>0</v>
      </c>
      <c r="AC23" s="423">
        <v>0</v>
      </c>
      <c r="AD23" s="426">
        <v>0</v>
      </c>
    </row>
    <row r="24" spans="1:30" x14ac:dyDescent="0.25">
      <c r="E24" s="413"/>
      <c r="F24" s="414" t="s">
        <v>285</v>
      </c>
      <c r="G24" s="428">
        <v>103</v>
      </c>
      <c r="H24" s="418">
        <f>I24+M24+P24+T24+Y24+AC24+AD24</f>
        <v>52120</v>
      </c>
      <c r="I24" s="429">
        <f t="shared" si="2"/>
        <v>0</v>
      </c>
      <c r="J24" s="430">
        <v>0</v>
      </c>
      <c r="K24" s="430">
        <v>0</v>
      </c>
      <c r="L24" s="431">
        <v>0</v>
      </c>
      <c r="M24" s="427">
        <v>0</v>
      </c>
      <c r="N24" s="430">
        <v>0</v>
      </c>
      <c r="O24" s="431">
        <v>0</v>
      </c>
      <c r="P24" s="429">
        <f t="shared" si="1"/>
        <v>2180</v>
      </c>
      <c r="Q24" s="430">
        <v>0</v>
      </c>
      <c r="R24" s="430">
        <v>0</v>
      </c>
      <c r="S24" s="431">
        <v>2180</v>
      </c>
      <c r="T24" s="427">
        <f t="shared" si="3"/>
        <v>49920</v>
      </c>
      <c r="U24" s="430">
        <v>15340</v>
      </c>
      <c r="V24" s="430">
        <v>34380</v>
      </c>
      <c r="W24" s="430">
        <v>200</v>
      </c>
      <c r="X24" s="430">
        <v>0</v>
      </c>
      <c r="Y24" s="427">
        <f t="shared" si="4"/>
        <v>20</v>
      </c>
      <c r="Z24" s="430">
        <v>0</v>
      </c>
      <c r="AA24" s="430">
        <v>20</v>
      </c>
      <c r="AB24" s="431">
        <v>0</v>
      </c>
      <c r="AC24" s="428">
        <v>0</v>
      </c>
      <c r="AD24" s="432">
        <v>0</v>
      </c>
    </row>
    <row r="25" spans="1:30" x14ac:dyDescent="0.25">
      <c r="E25" s="413"/>
      <c r="F25" s="414" t="s">
        <v>278</v>
      </c>
      <c r="G25" s="433">
        <v>132</v>
      </c>
      <c r="H25" s="418">
        <f>I25+M25+P25+T25+Y25+AC25+AD25</f>
        <v>46760</v>
      </c>
      <c r="I25" s="429">
        <f t="shared" si="2"/>
        <v>0</v>
      </c>
      <c r="J25" s="430">
        <v>0</v>
      </c>
      <c r="K25" s="430">
        <v>0</v>
      </c>
      <c r="L25" s="431">
        <v>0</v>
      </c>
      <c r="M25" s="435">
        <v>0</v>
      </c>
      <c r="N25" s="430">
        <v>0</v>
      </c>
      <c r="O25" s="431">
        <v>0</v>
      </c>
      <c r="P25" s="429">
        <f t="shared" si="1"/>
        <v>2180</v>
      </c>
      <c r="Q25" s="430">
        <v>0</v>
      </c>
      <c r="R25" s="430">
        <v>0</v>
      </c>
      <c r="S25" s="431">
        <v>2180</v>
      </c>
      <c r="T25" s="427">
        <f t="shared" si="3"/>
        <v>44560</v>
      </c>
      <c r="U25" s="434">
        <v>6880</v>
      </c>
      <c r="V25" s="434">
        <v>37600</v>
      </c>
      <c r="W25" s="434">
        <v>80</v>
      </c>
      <c r="X25" s="430">
        <v>0</v>
      </c>
      <c r="Y25" s="427">
        <f t="shared" si="4"/>
        <v>20</v>
      </c>
      <c r="Z25" s="434">
        <v>0</v>
      </c>
      <c r="AA25" s="430">
        <v>20</v>
      </c>
      <c r="AB25" s="436">
        <v>0</v>
      </c>
      <c r="AC25" s="431">
        <v>0</v>
      </c>
      <c r="AD25" s="432">
        <v>0</v>
      </c>
    </row>
    <row r="26" spans="1:30" x14ac:dyDescent="0.25">
      <c r="E26" s="421" t="s">
        <v>286</v>
      </c>
      <c r="F26" s="422" t="s">
        <v>276</v>
      </c>
      <c r="G26" s="423">
        <f>SUM(G27:G28)</f>
        <v>177</v>
      </c>
      <c r="H26" s="423">
        <f>H27+H28</f>
        <v>101940</v>
      </c>
      <c r="I26" s="424">
        <f t="shared" si="2"/>
        <v>300</v>
      </c>
      <c r="J26" s="424">
        <f>SUM(J27:J28)</f>
        <v>0</v>
      </c>
      <c r="K26" s="424">
        <f>SUM(K27:K28)</f>
        <v>0</v>
      </c>
      <c r="L26" s="424">
        <f>SUM(L27:L28)</f>
        <v>300</v>
      </c>
      <c r="M26" s="426">
        <v>0</v>
      </c>
      <c r="N26" s="424">
        <v>0</v>
      </c>
      <c r="O26" s="425">
        <v>0</v>
      </c>
      <c r="P26" s="424">
        <f t="shared" si="1"/>
        <v>0</v>
      </c>
      <c r="Q26" s="424">
        <f>SUM(Q27:Q28)</f>
        <v>0</v>
      </c>
      <c r="R26" s="424">
        <f>SUM(R27:R28)</f>
        <v>0</v>
      </c>
      <c r="S26" s="424">
        <f>SUM(S27:S28)</f>
        <v>0</v>
      </c>
      <c r="T26" s="426">
        <f t="shared" si="3"/>
        <v>101460</v>
      </c>
      <c r="U26" s="424">
        <f>SUM(U27:U28)</f>
        <v>0</v>
      </c>
      <c r="V26" s="424">
        <f>SUM(V27:V28)</f>
        <v>97540</v>
      </c>
      <c r="W26" s="424">
        <f>SUM(W27:W28)</f>
        <v>3840</v>
      </c>
      <c r="X26" s="424">
        <f>SUM(X27:X28)</f>
        <v>80</v>
      </c>
      <c r="Y26" s="426">
        <f t="shared" si="4"/>
        <v>180</v>
      </c>
      <c r="Z26" s="424">
        <f>SUM(Z27:Z28)</f>
        <v>0</v>
      </c>
      <c r="AA26" s="424">
        <f>SUM(AA27:AA28)</f>
        <v>180</v>
      </c>
      <c r="AB26" s="424">
        <f>SUM(AB27:AB28)</f>
        <v>0</v>
      </c>
      <c r="AC26" s="423">
        <v>0</v>
      </c>
      <c r="AD26" s="426">
        <v>0</v>
      </c>
    </row>
    <row r="27" spans="1:30" x14ac:dyDescent="0.25">
      <c r="E27" s="413"/>
      <c r="F27" s="414" t="s">
        <v>287</v>
      </c>
      <c r="G27" s="428">
        <v>83</v>
      </c>
      <c r="H27" s="418">
        <f>I27+M27+P27+T27+Y27+AC27+AD27</f>
        <v>54960</v>
      </c>
      <c r="I27" s="429">
        <f t="shared" si="2"/>
        <v>180</v>
      </c>
      <c r="J27" s="430">
        <v>0</v>
      </c>
      <c r="K27" s="430">
        <v>0</v>
      </c>
      <c r="L27" s="431">
        <v>180</v>
      </c>
      <c r="M27" s="427">
        <v>0</v>
      </c>
      <c r="N27" s="430">
        <v>0</v>
      </c>
      <c r="O27" s="431">
        <v>0</v>
      </c>
      <c r="P27" s="429">
        <v>0</v>
      </c>
      <c r="Q27" s="430">
        <v>0</v>
      </c>
      <c r="R27" s="430">
        <v>0</v>
      </c>
      <c r="S27" s="431">
        <v>0</v>
      </c>
      <c r="T27" s="427">
        <f t="shared" si="3"/>
        <v>54780</v>
      </c>
      <c r="U27" s="430">
        <v>0</v>
      </c>
      <c r="V27" s="430">
        <v>53780</v>
      </c>
      <c r="W27" s="430">
        <v>1000</v>
      </c>
      <c r="X27" s="430">
        <v>0</v>
      </c>
      <c r="Y27" s="427">
        <f t="shared" si="4"/>
        <v>0</v>
      </c>
      <c r="Z27" s="430">
        <v>0</v>
      </c>
      <c r="AA27" s="430">
        <v>0</v>
      </c>
      <c r="AB27" s="431">
        <v>0</v>
      </c>
      <c r="AC27" s="428">
        <v>0</v>
      </c>
      <c r="AD27" s="432">
        <v>0</v>
      </c>
    </row>
    <row r="28" spans="1:30" x14ac:dyDescent="0.25">
      <c r="E28" s="413"/>
      <c r="F28" s="414" t="s">
        <v>288</v>
      </c>
      <c r="G28" s="433">
        <v>94</v>
      </c>
      <c r="H28" s="418">
        <f>I28+M28+P28+T28+Y28+AC28+AD28</f>
        <v>46980</v>
      </c>
      <c r="I28" s="429">
        <f t="shared" si="2"/>
        <v>120</v>
      </c>
      <c r="J28" s="430">
        <v>0</v>
      </c>
      <c r="K28" s="430">
        <v>0</v>
      </c>
      <c r="L28" s="431">
        <v>120</v>
      </c>
      <c r="M28" s="435">
        <v>0</v>
      </c>
      <c r="N28" s="430">
        <v>0</v>
      </c>
      <c r="O28" s="431">
        <v>0</v>
      </c>
      <c r="P28" s="429">
        <v>0</v>
      </c>
      <c r="Q28" s="430">
        <v>0</v>
      </c>
      <c r="R28" s="430">
        <v>0</v>
      </c>
      <c r="S28" s="431">
        <v>0</v>
      </c>
      <c r="T28" s="427">
        <f t="shared" si="3"/>
        <v>46680</v>
      </c>
      <c r="U28" s="434">
        <v>0</v>
      </c>
      <c r="V28" s="434">
        <v>43760</v>
      </c>
      <c r="W28" s="434">
        <v>2840</v>
      </c>
      <c r="X28" s="430">
        <v>80</v>
      </c>
      <c r="Y28" s="435">
        <f t="shared" si="4"/>
        <v>180</v>
      </c>
      <c r="Z28" s="434">
        <v>0</v>
      </c>
      <c r="AA28" s="430">
        <v>180</v>
      </c>
      <c r="AB28" s="436">
        <v>0</v>
      </c>
      <c r="AC28" s="431">
        <v>0</v>
      </c>
      <c r="AD28" s="432">
        <v>0</v>
      </c>
    </row>
    <row r="29" spans="1:30" x14ac:dyDescent="0.25">
      <c r="E29" s="421" t="s">
        <v>289</v>
      </c>
      <c r="F29" s="422" t="s">
        <v>276</v>
      </c>
      <c r="G29" s="423">
        <f>SUM(G30:G31)</f>
        <v>0</v>
      </c>
      <c r="H29" s="423">
        <f>H30+H31</f>
        <v>0</v>
      </c>
      <c r="I29" s="424">
        <v>0</v>
      </c>
      <c r="J29" s="424">
        <v>0</v>
      </c>
      <c r="K29" s="424">
        <v>0</v>
      </c>
      <c r="L29" s="425">
        <v>0</v>
      </c>
      <c r="M29" s="426">
        <v>0</v>
      </c>
      <c r="N29" s="424">
        <v>0</v>
      </c>
      <c r="O29" s="425">
        <v>0</v>
      </c>
      <c r="P29" s="424">
        <f>SUM(Q29:S29)</f>
        <v>0</v>
      </c>
      <c r="Q29" s="424">
        <f>SUM(Q30:Q31)</f>
        <v>0</v>
      </c>
      <c r="R29" s="424">
        <f>SUM(R30:R31)</f>
        <v>0</v>
      </c>
      <c r="S29" s="424">
        <f>SUM(S30:S31)</f>
        <v>0</v>
      </c>
      <c r="T29" s="426">
        <f t="shared" si="3"/>
        <v>0</v>
      </c>
      <c r="U29" s="424">
        <f>SUM(U30:U31)</f>
        <v>0</v>
      </c>
      <c r="V29" s="424">
        <f>SUM(V30:V31)</f>
        <v>0</v>
      </c>
      <c r="W29" s="424">
        <f>SUM(W30:W31)</f>
        <v>0</v>
      </c>
      <c r="X29" s="424">
        <f>SUM(X30:X31)</f>
        <v>0</v>
      </c>
      <c r="Y29" s="427">
        <f t="shared" si="4"/>
        <v>0</v>
      </c>
      <c r="Z29" s="424">
        <f>SUM(Z30:Z31)</f>
        <v>0</v>
      </c>
      <c r="AA29" s="424">
        <f>SUM(AA30:AA31)</f>
        <v>0</v>
      </c>
      <c r="AB29" s="424">
        <f>SUM(AB30:AB31)</f>
        <v>0</v>
      </c>
      <c r="AC29" s="423">
        <v>0</v>
      </c>
      <c r="AD29" s="426">
        <v>0</v>
      </c>
    </row>
    <row r="30" spans="1:30" x14ac:dyDescent="0.25">
      <c r="E30" s="413"/>
      <c r="F30" s="414" t="s">
        <v>277</v>
      </c>
      <c r="G30" s="428">
        <v>0</v>
      </c>
      <c r="H30" s="418">
        <f>I30+M30+P30+T30+Y30+AC30+AD30</f>
        <v>0</v>
      </c>
      <c r="I30" s="429">
        <v>0</v>
      </c>
      <c r="J30" s="430">
        <v>0</v>
      </c>
      <c r="K30" s="430">
        <v>0</v>
      </c>
      <c r="L30" s="431">
        <v>0</v>
      </c>
      <c r="M30" s="427">
        <v>0</v>
      </c>
      <c r="N30" s="430">
        <v>0</v>
      </c>
      <c r="O30" s="431">
        <v>0</v>
      </c>
      <c r="P30" s="429">
        <v>0</v>
      </c>
      <c r="Q30" s="430">
        <v>0</v>
      </c>
      <c r="R30" s="430">
        <v>0</v>
      </c>
      <c r="S30" s="431">
        <v>0</v>
      </c>
      <c r="T30" s="427">
        <f t="shared" si="3"/>
        <v>0</v>
      </c>
      <c r="U30" s="430">
        <v>0</v>
      </c>
      <c r="V30" s="430">
        <v>0</v>
      </c>
      <c r="W30" s="430">
        <v>0</v>
      </c>
      <c r="X30" s="430">
        <v>0</v>
      </c>
      <c r="Y30" s="427">
        <v>0</v>
      </c>
      <c r="Z30" s="430">
        <v>0</v>
      </c>
      <c r="AA30" s="430">
        <v>0</v>
      </c>
      <c r="AB30" s="431">
        <v>0</v>
      </c>
      <c r="AC30" s="428">
        <v>0</v>
      </c>
      <c r="AD30" s="432">
        <v>0</v>
      </c>
    </row>
    <row r="31" spans="1:30" x14ac:dyDescent="0.25">
      <c r="E31" s="413"/>
      <c r="F31" s="414" t="s">
        <v>278</v>
      </c>
      <c r="G31" s="433">
        <v>0</v>
      </c>
      <c r="H31" s="418">
        <f>I31+M31+P31+T31+Y31+AC31+AD31</f>
        <v>0</v>
      </c>
      <c r="I31" s="429">
        <v>0</v>
      </c>
      <c r="J31" s="430">
        <v>0</v>
      </c>
      <c r="K31" s="430">
        <v>0</v>
      </c>
      <c r="L31" s="431">
        <v>0</v>
      </c>
      <c r="M31" s="435">
        <v>0</v>
      </c>
      <c r="N31" s="430">
        <v>0</v>
      </c>
      <c r="O31" s="431">
        <v>0</v>
      </c>
      <c r="P31" s="429">
        <v>0</v>
      </c>
      <c r="Q31" s="430">
        <v>0</v>
      </c>
      <c r="R31" s="430">
        <v>0</v>
      </c>
      <c r="S31" s="431">
        <v>0</v>
      </c>
      <c r="T31" s="427">
        <f t="shared" si="3"/>
        <v>0</v>
      </c>
      <c r="U31" s="434">
        <v>0</v>
      </c>
      <c r="V31" s="434">
        <v>0</v>
      </c>
      <c r="W31" s="434">
        <v>0</v>
      </c>
      <c r="X31" s="430">
        <v>0</v>
      </c>
      <c r="Y31" s="427">
        <v>0</v>
      </c>
      <c r="Z31" s="434">
        <v>0</v>
      </c>
      <c r="AA31" s="430">
        <v>0</v>
      </c>
      <c r="AB31" s="436">
        <v>0</v>
      </c>
      <c r="AC31" s="431">
        <v>0</v>
      </c>
      <c r="AD31" s="432">
        <v>0</v>
      </c>
    </row>
    <row r="32" spans="1:30" x14ac:dyDescent="0.25">
      <c r="E32" s="421" t="s">
        <v>290</v>
      </c>
      <c r="F32" s="422" t="s">
        <v>276</v>
      </c>
      <c r="G32" s="423">
        <f>SUM(G33:G34)</f>
        <v>0</v>
      </c>
      <c r="H32" s="423">
        <f>H33+H34</f>
        <v>0</v>
      </c>
      <c r="I32" s="424">
        <v>0</v>
      </c>
      <c r="J32" s="424">
        <v>0</v>
      </c>
      <c r="K32" s="424">
        <v>0</v>
      </c>
      <c r="L32" s="425">
        <v>0</v>
      </c>
      <c r="M32" s="426">
        <v>0</v>
      </c>
      <c r="N32" s="424">
        <v>0</v>
      </c>
      <c r="O32" s="425">
        <v>0</v>
      </c>
      <c r="P32" s="424">
        <f>SUM(Q32:S32)</f>
        <v>0</v>
      </c>
      <c r="Q32" s="424">
        <f>SUM(Q33:Q34)</f>
        <v>0</v>
      </c>
      <c r="R32" s="424">
        <f>SUM(R33:R34)</f>
        <v>0</v>
      </c>
      <c r="S32" s="424">
        <f>SUM(S33:S34)</f>
        <v>0</v>
      </c>
      <c r="T32" s="426">
        <f t="shared" si="3"/>
        <v>0</v>
      </c>
      <c r="U32" s="424">
        <f>SUM(U33:U34)</f>
        <v>0</v>
      </c>
      <c r="V32" s="424">
        <f>SUM(V33:V34)</f>
        <v>0</v>
      </c>
      <c r="W32" s="424">
        <f>SUM(W33:W34)</f>
        <v>0</v>
      </c>
      <c r="X32" s="424">
        <f>SUM(X33:X34)</f>
        <v>0</v>
      </c>
      <c r="Y32" s="426">
        <f>SUM(Z32:AB32)</f>
        <v>0</v>
      </c>
      <c r="Z32" s="424">
        <f>SUM(Z33:Z34)</f>
        <v>0</v>
      </c>
      <c r="AA32" s="424">
        <f>SUM(AA33:AA34)</f>
        <v>0</v>
      </c>
      <c r="AB32" s="424">
        <f>SUM(AB33:AB34)</f>
        <v>0</v>
      </c>
      <c r="AC32" s="423">
        <v>0</v>
      </c>
      <c r="AD32" s="426">
        <v>0</v>
      </c>
    </row>
    <row r="33" spans="5:30" x14ac:dyDescent="0.25">
      <c r="E33" s="413"/>
      <c r="F33" s="414" t="s">
        <v>277</v>
      </c>
      <c r="G33" s="428">
        <v>0</v>
      </c>
      <c r="H33" s="418">
        <f>I33+M33+P33+T33+Y33+AC33+AD33</f>
        <v>0</v>
      </c>
      <c r="I33" s="429">
        <v>0</v>
      </c>
      <c r="J33" s="430">
        <v>0</v>
      </c>
      <c r="K33" s="430">
        <v>0</v>
      </c>
      <c r="L33" s="431">
        <v>0</v>
      </c>
      <c r="M33" s="427">
        <v>0</v>
      </c>
      <c r="N33" s="430">
        <v>0</v>
      </c>
      <c r="O33" s="431">
        <v>0</v>
      </c>
      <c r="P33" s="429">
        <v>0</v>
      </c>
      <c r="Q33" s="430">
        <v>0</v>
      </c>
      <c r="R33" s="430">
        <v>0</v>
      </c>
      <c r="S33" s="431">
        <v>0</v>
      </c>
      <c r="T33" s="427">
        <f t="shared" si="3"/>
        <v>0</v>
      </c>
      <c r="U33" s="430">
        <v>0</v>
      </c>
      <c r="V33" s="430">
        <v>0</v>
      </c>
      <c r="W33" s="430">
        <v>0</v>
      </c>
      <c r="X33" s="430">
        <v>0</v>
      </c>
      <c r="Y33" s="427">
        <v>0</v>
      </c>
      <c r="Z33" s="430">
        <v>0</v>
      </c>
      <c r="AA33" s="430">
        <v>0</v>
      </c>
      <c r="AB33" s="431">
        <v>0</v>
      </c>
      <c r="AC33" s="428">
        <v>0</v>
      </c>
      <c r="AD33" s="432">
        <v>0</v>
      </c>
    </row>
    <row r="34" spans="5:30" x14ac:dyDescent="0.25">
      <c r="E34" s="413"/>
      <c r="F34" s="414" t="s">
        <v>278</v>
      </c>
      <c r="G34" s="433">
        <v>0</v>
      </c>
      <c r="H34" s="418">
        <f>I34+M34+P34+T34+Y34+AC34+AD34</f>
        <v>0</v>
      </c>
      <c r="I34" s="429">
        <v>0</v>
      </c>
      <c r="J34" s="430">
        <v>0</v>
      </c>
      <c r="K34" s="430">
        <v>0</v>
      </c>
      <c r="L34" s="431">
        <v>0</v>
      </c>
      <c r="M34" s="435">
        <v>0</v>
      </c>
      <c r="N34" s="430">
        <v>0</v>
      </c>
      <c r="O34" s="431">
        <v>0</v>
      </c>
      <c r="P34" s="429">
        <v>0</v>
      </c>
      <c r="Q34" s="430">
        <v>0</v>
      </c>
      <c r="R34" s="430">
        <v>0</v>
      </c>
      <c r="S34" s="431">
        <v>0</v>
      </c>
      <c r="T34" s="427">
        <f t="shared" si="3"/>
        <v>0</v>
      </c>
      <c r="U34" s="434">
        <v>0</v>
      </c>
      <c r="V34" s="434">
        <v>0</v>
      </c>
      <c r="W34" s="434">
        <v>0</v>
      </c>
      <c r="X34" s="430">
        <v>0</v>
      </c>
      <c r="Y34" s="435">
        <v>0</v>
      </c>
      <c r="Z34" s="434">
        <v>0</v>
      </c>
      <c r="AA34" s="430">
        <v>0</v>
      </c>
      <c r="AB34" s="436">
        <v>0</v>
      </c>
      <c r="AC34" s="431">
        <v>0</v>
      </c>
      <c r="AD34" s="432">
        <v>0</v>
      </c>
    </row>
    <row r="35" spans="5:30" x14ac:dyDescent="0.25">
      <c r="E35" s="421" t="s">
        <v>291</v>
      </c>
      <c r="F35" s="422" t="s">
        <v>276</v>
      </c>
      <c r="G35" s="423">
        <f>SUM(G36:G37)</f>
        <v>0</v>
      </c>
      <c r="H35" s="423">
        <f>H36+H37</f>
        <v>0</v>
      </c>
      <c r="I35" s="424">
        <v>0</v>
      </c>
      <c r="J35" s="424">
        <v>0</v>
      </c>
      <c r="K35" s="424">
        <v>0</v>
      </c>
      <c r="L35" s="425">
        <v>0</v>
      </c>
      <c r="M35" s="426">
        <v>0</v>
      </c>
      <c r="N35" s="424">
        <v>0</v>
      </c>
      <c r="O35" s="425">
        <v>0</v>
      </c>
      <c r="P35" s="424">
        <f>SUM(Q35:S35)</f>
        <v>0</v>
      </c>
      <c r="Q35" s="424">
        <f>SUM(Q36:Q37)</f>
        <v>0</v>
      </c>
      <c r="R35" s="424">
        <f>SUM(R36:R37)</f>
        <v>0</v>
      </c>
      <c r="S35" s="424">
        <f>SUM(S36:S37)</f>
        <v>0</v>
      </c>
      <c r="T35" s="426">
        <f t="shared" si="3"/>
        <v>0</v>
      </c>
      <c r="U35" s="424">
        <f>SUM(U36:U37)</f>
        <v>0</v>
      </c>
      <c r="V35" s="424">
        <f>SUM(V36:V37)</f>
        <v>0</v>
      </c>
      <c r="W35" s="424">
        <f>SUM(W36:W37)</f>
        <v>0</v>
      </c>
      <c r="X35" s="424">
        <f>SUM(X36:X37)</f>
        <v>0</v>
      </c>
      <c r="Y35" s="426">
        <f>SUM(Z35:AB35)</f>
        <v>0</v>
      </c>
      <c r="Z35" s="424">
        <f>SUM(Z36:Z37)</f>
        <v>0</v>
      </c>
      <c r="AA35" s="424">
        <f>SUM(AA36:AA37)</f>
        <v>0</v>
      </c>
      <c r="AB35" s="424">
        <f>SUM(AB36:AB37)</f>
        <v>0</v>
      </c>
      <c r="AC35" s="423">
        <v>0</v>
      </c>
      <c r="AD35" s="426">
        <v>0</v>
      </c>
    </row>
    <row r="36" spans="5:30" x14ac:dyDescent="0.25">
      <c r="E36" s="413"/>
      <c r="F36" s="414" t="s">
        <v>277</v>
      </c>
      <c r="G36" s="428">
        <v>0</v>
      </c>
      <c r="H36" s="418">
        <f>I36+M36+P36+T36+Y36+AC36+AD36</f>
        <v>0</v>
      </c>
      <c r="I36" s="429">
        <v>0</v>
      </c>
      <c r="J36" s="430">
        <v>0</v>
      </c>
      <c r="K36" s="430">
        <v>0</v>
      </c>
      <c r="L36" s="431">
        <v>0</v>
      </c>
      <c r="M36" s="427">
        <v>0</v>
      </c>
      <c r="N36" s="430">
        <v>0</v>
      </c>
      <c r="O36" s="431">
        <v>0</v>
      </c>
      <c r="P36" s="429">
        <v>0</v>
      </c>
      <c r="Q36" s="430">
        <v>0</v>
      </c>
      <c r="R36" s="430">
        <v>0</v>
      </c>
      <c r="S36" s="431">
        <v>0</v>
      </c>
      <c r="T36" s="427">
        <f t="shared" si="3"/>
        <v>0</v>
      </c>
      <c r="U36" s="430">
        <v>0</v>
      </c>
      <c r="V36" s="430">
        <v>0</v>
      </c>
      <c r="W36" s="430">
        <v>0</v>
      </c>
      <c r="X36" s="430">
        <v>0</v>
      </c>
      <c r="Y36" s="427">
        <v>0</v>
      </c>
      <c r="Z36" s="430">
        <v>0</v>
      </c>
      <c r="AA36" s="430">
        <v>0</v>
      </c>
      <c r="AB36" s="431">
        <v>0</v>
      </c>
      <c r="AC36" s="428">
        <v>0</v>
      </c>
      <c r="AD36" s="432">
        <v>0</v>
      </c>
    </row>
    <row r="37" spans="5:30" x14ac:dyDescent="0.25">
      <c r="E37" s="413"/>
      <c r="F37" s="414" t="s">
        <v>278</v>
      </c>
      <c r="G37" s="433">
        <v>0</v>
      </c>
      <c r="H37" s="418">
        <f>I37+M37+P37+T37+Y37+AC37+AD37</f>
        <v>0</v>
      </c>
      <c r="I37" s="429">
        <v>0</v>
      </c>
      <c r="J37" s="430">
        <v>0</v>
      </c>
      <c r="K37" s="430">
        <v>0</v>
      </c>
      <c r="L37" s="431">
        <v>0</v>
      </c>
      <c r="M37" s="435">
        <v>0</v>
      </c>
      <c r="N37" s="430">
        <v>0</v>
      </c>
      <c r="O37" s="431">
        <v>0</v>
      </c>
      <c r="P37" s="429">
        <v>0</v>
      </c>
      <c r="Q37" s="430">
        <v>0</v>
      </c>
      <c r="R37" s="430">
        <v>0</v>
      </c>
      <c r="S37" s="431">
        <v>0</v>
      </c>
      <c r="T37" s="427">
        <f t="shared" si="3"/>
        <v>0</v>
      </c>
      <c r="U37" s="434">
        <v>0</v>
      </c>
      <c r="V37" s="434">
        <v>0</v>
      </c>
      <c r="W37" s="434">
        <v>0</v>
      </c>
      <c r="X37" s="430">
        <v>0</v>
      </c>
      <c r="Y37" s="435">
        <v>0</v>
      </c>
      <c r="Z37" s="434">
        <v>0</v>
      </c>
      <c r="AA37" s="430">
        <v>0</v>
      </c>
      <c r="AB37" s="436">
        <v>0</v>
      </c>
      <c r="AC37" s="431">
        <v>0</v>
      </c>
      <c r="AD37" s="432">
        <v>0</v>
      </c>
    </row>
    <row r="38" spans="5:30" x14ac:dyDescent="0.25">
      <c r="E38" s="421" t="s">
        <v>292</v>
      </c>
      <c r="F38" s="422" t="s">
        <v>276</v>
      </c>
      <c r="G38" s="423">
        <f>SUM(G39:G40)</f>
        <v>0</v>
      </c>
      <c r="H38" s="423">
        <f>H39+H40</f>
        <v>0</v>
      </c>
      <c r="I38" s="426">
        <v>0</v>
      </c>
      <c r="J38" s="424">
        <v>0</v>
      </c>
      <c r="K38" s="424">
        <v>0</v>
      </c>
      <c r="L38" s="425">
        <v>0</v>
      </c>
      <c r="M38" s="427">
        <v>0</v>
      </c>
      <c r="N38" s="424">
        <v>0</v>
      </c>
      <c r="O38" s="425">
        <v>0</v>
      </c>
      <c r="P38" s="424">
        <f>SUM(Q38:S38)</f>
        <v>0</v>
      </c>
      <c r="Q38" s="424">
        <f>SUM(Q39:Q40)</f>
        <v>0</v>
      </c>
      <c r="R38" s="424">
        <f>SUM(R39:R40)</f>
        <v>0</v>
      </c>
      <c r="S38" s="424">
        <f>SUM(S39:S40)</f>
        <v>0</v>
      </c>
      <c r="T38" s="426">
        <f t="shared" si="3"/>
        <v>0</v>
      </c>
      <c r="U38" s="424">
        <f>SUM(U39:U40)</f>
        <v>0</v>
      </c>
      <c r="V38" s="424">
        <f>SUM(V39:V40)</f>
        <v>0</v>
      </c>
      <c r="W38" s="424">
        <f>SUM(W39:W40)</f>
        <v>0</v>
      </c>
      <c r="X38" s="424">
        <f>SUM(X39:X40)</f>
        <v>0</v>
      </c>
      <c r="Y38" s="427">
        <f>SUM(Z38:AB38)</f>
        <v>0</v>
      </c>
      <c r="Z38" s="424">
        <f>SUM(Z39:Z40)</f>
        <v>0</v>
      </c>
      <c r="AA38" s="424">
        <f>SUM(AA39:AA40)</f>
        <v>0</v>
      </c>
      <c r="AB38" s="424">
        <f>SUM(AB39:AB40)</f>
        <v>0</v>
      </c>
      <c r="AC38" s="423">
        <v>0</v>
      </c>
      <c r="AD38" s="426">
        <v>0</v>
      </c>
    </row>
    <row r="39" spans="5:30" x14ac:dyDescent="0.25">
      <c r="E39" s="413"/>
      <c r="F39" s="414" t="s">
        <v>277</v>
      </c>
      <c r="G39" s="428">
        <v>0</v>
      </c>
      <c r="H39" s="418">
        <f>I39+M39+P39+T39+Y39+AC39+AD39</f>
        <v>0</v>
      </c>
      <c r="I39" s="429">
        <v>0</v>
      </c>
      <c r="J39" s="430">
        <v>0</v>
      </c>
      <c r="K39" s="430">
        <v>0</v>
      </c>
      <c r="L39" s="431">
        <v>0</v>
      </c>
      <c r="M39" s="427">
        <v>0</v>
      </c>
      <c r="N39" s="430">
        <v>0</v>
      </c>
      <c r="O39" s="431">
        <v>0</v>
      </c>
      <c r="P39" s="429">
        <v>0</v>
      </c>
      <c r="Q39" s="430">
        <v>0</v>
      </c>
      <c r="R39" s="430">
        <v>0</v>
      </c>
      <c r="S39" s="431">
        <v>0</v>
      </c>
      <c r="T39" s="427">
        <f t="shared" si="3"/>
        <v>0</v>
      </c>
      <c r="U39" s="430">
        <v>0</v>
      </c>
      <c r="V39" s="430">
        <v>0</v>
      </c>
      <c r="W39" s="430">
        <v>0</v>
      </c>
      <c r="X39" s="430">
        <v>0</v>
      </c>
      <c r="Y39" s="427">
        <v>0</v>
      </c>
      <c r="Z39" s="430">
        <v>0</v>
      </c>
      <c r="AA39" s="430">
        <v>0</v>
      </c>
      <c r="AB39" s="431">
        <v>0</v>
      </c>
      <c r="AC39" s="428">
        <v>0</v>
      </c>
      <c r="AD39" s="432">
        <v>0</v>
      </c>
    </row>
    <row r="40" spans="5:30" ht="19" thickBot="1" x14ac:dyDescent="0.3">
      <c r="E40" s="413"/>
      <c r="F40" s="414" t="s">
        <v>278</v>
      </c>
      <c r="G40" s="440">
        <v>0</v>
      </c>
      <c r="H40" s="418">
        <f>I40+M40+P40+T40+Y40+AC40+AD40</f>
        <v>0</v>
      </c>
      <c r="I40" s="441">
        <v>0</v>
      </c>
      <c r="J40" s="442">
        <v>0</v>
      </c>
      <c r="K40" s="442">
        <v>0</v>
      </c>
      <c r="L40" s="443">
        <v>0</v>
      </c>
      <c r="M40" s="441">
        <v>0</v>
      </c>
      <c r="N40" s="442">
        <v>0</v>
      </c>
      <c r="O40" s="443">
        <v>0</v>
      </c>
      <c r="P40" s="441">
        <v>0</v>
      </c>
      <c r="Q40" s="442">
        <v>0</v>
      </c>
      <c r="R40" s="442">
        <v>0</v>
      </c>
      <c r="S40" s="443">
        <v>0</v>
      </c>
      <c r="T40" s="427">
        <f t="shared" si="3"/>
        <v>0</v>
      </c>
      <c r="U40" s="442">
        <v>0</v>
      </c>
      <c r="V40" s="442">
        <v>0</v>
      </c>
      <c r="W40" s="442">
        <v>0</v>
      </c>
      <c r="X40" s="443">
        <v>0</v>
      </c>
      <c r="Y40" s="441">
        <v>0</v>
      </c>
      <c r="Z40" s="442">
        <v>0</v>
      </c>
      <c r="AA40" s="442">
        <v>0</v>
      </c>
      <c r="AB40" s="443">
        <v>0</v>
      </c>
      <c r="AC40" s="443">
        <v>0</v>
      </c>
      <c r="AD40" s="444">
        <v>0</v>
      </c>
    </row>
    <row r="41" spans="5:30" ht="19" thickTop="1" x14ac:dyDescent="0.25">
      <c r="E41" s="445" t="s">
        <v>293</v>
      </c>
      <c r="F41" s="446" t="s">
        <v>294</v>
      </c>
      <c r="G41" s="418">
        <f>SUM(G5,G8,G11,G14,G17,G20,G23,G26,G29,G32,G35,G38)</f>
        <v>882</v>
      </c>
      <c r="H41" s="447">
        <f>SUM(I41,M41,P41,T41,Y41,AC41,AD41)</f>
        <v>983320</v>
      </c>
      <c r="I41" s="429">
        <f t="shared" ref="I41:AD43" si="5">SUM(I5,I8,I11,I14,I17,I20,I23,I26,I29,I32,I35,I38)</f>
        <v>300</v>
      </c>
      <c r="J41" s="429">
        <f t="shared" si="5"/>
        <v>0</v>
      </c>
      <c r="K41" s="429">
        <f t="shared" si="5"/>
        <v>0</v>
      </c>
      <c r="L41" s="419">
        <f t="shared" si="5"/>
        <v>300</v>
      </c>
      <c r="M41" s="427">
        <f t="shared" si="5"/>
        <v>0</v>
      </c>
      <c r="N41" s="429">
        <f t="shared" si="5"/>
        <v>0</v>
      </c>
      <c r="O41" s="419">
        <f t="shared" si="5"/>
        <v>0</v>
      </c>
      <c r="P41" s="427">
        <f t="shared" si="5"/>
        <v>50340</v>
      </c>
      <c r="Q41" s="429">
        <f t="shared" si="5"/>
        <v>0</v>
      </c>
      <c r="R41" s="429">
        <f t="shared" si="5"/>
        <v>0</v>
      </c>
      <c r="S41" s="419">
        <f t="shared" si="5"/>
        <v>50340</v>
      </c>
      <c r="T41" s="448">
        <f t="shared" si="5"/>
        <v>932200</v>
      </c>
      <c r="U41" s="429">
        <f t="shared" si="5"/>
        <v>743940</v>
      </c>
      <c r="V41" s="429">
        <f t="shared" si="5"/>
        <v>179140</v>
      </c>
      <c r="W41" s="429">
        <f t="shared" si="5"/>
        <v>9020</v>
      </c>
      <c r="X41" s="429">
        <f t="shared" si="5"/>
        <v>100</v>
      </c>
      <c r="Y41" s="427">
        <f t="shared" si="5"/>
        <v>220</v>
      </c>
      <c r="Z41" s="429">
        <f t="shared" si="5"/>
        <v>0</v>
      </c>
      <c r="AA41" s="429">
        <f t="shared" si="5"/>
        <v>220</v>
      </c>
      <c r="AB41" s="419">
        <f t="shared" si="5"/>
        <v>0</v>
      </c>
      <c r="AC41" s="418">
        <f t="shared" si="5"/>
        <v>0</v>
      </c>
      <c r="AD41" s="427">
        <f t="shared" si="5"/>
        <v>260</v>
      </c>
    </row>
    <row r="42" spans="5:30" x14ac:dyDescent="0.25">
      <c r="E42" s="413"/>
      <c r="F42" s="414" t="s">
        <v>277</v>
      </c>
      <c r="G42" s="418">
        <f>SUM(G6,G9,G12,G15,G18,G21,G24,G27,G30,G33,G36,G39)</f>
        <v>484</v>
      </c>
      <c r="H42" s="419">
        <f>SUM(I42,M42,P42,T42,Y42,AC42,AD42)</f>
        <v>650800</v>
      </c>
      <c r="I42" s="427">
        <f t="shared" si="5"/>
        <v>180</v>
      </c>
      <c r="J42" s="429">
        <f t="shared" si="5"/>
        <v>0</v>
      </c>
      <c r="K42" s="429">
        <f t="shared" si="5"/>
        <v>0</v>
      </c>
      <c r="L42" s="419">
        <f t="shared" si="5"/>
        <v>180</v>
      </c>
      <c r="M42" s="427">
        <f t="shared" si="5"/>
        <v>0</v>
      </c>
      <c r="N42" s="429">
        <f t="shared" si="5"/>
        <v>0</v>
      </c>
      <c r="O42" s="419">
        <f t="shared" si="5"/>
        <v>0</v>
      </c>
      <c r="P42" s="429">
        <f t="shared" si="5"/>
        <v>8980</v>
      </c>
      <c r="Q42" s="429">
        <f t="shared" si="5"/>
        <v>0</v>
      </c>
      <c r="R42" s="429">
        <f t="shared" si="5"/>
        <v>0</v>
      </c>
      <c r="S42" s="419">
        <f t="shared" si="5"/>
        <v>8980</v>
      </c>
      <c r="T42" s="429">
        <f t="shared" si="5"/>
        <v>641500</v>
      </c>
      <c r="U42" s="429">
        <f t="shared" si="5"/>
        <v>540280</v>
      </c>
      <c r="V42" s="429">
        <f t="shared" si="5"/>
        <v>96860</v>
      </c>
      <c r="W42" s="429">
        <f t="shared" si="5"/>
        <v>4340</v>
      </c>
      <c r="X42" s="419">
        <f t="shared" si="5"/>
        <v>20</v>
      </c>
      <c r="Y42" s="427">
        <f t="shared" si="5"/>
        <v>20</v>
      </c>
      <c r="Z42" s="429">
        <f t="shared" si="5"/>
        <v>0</v>
      </c>
      <c r="AA42" s="429">
        <f t="shared" si="5"/>
        <v>20</v>
      </c>
      <c r="AB42" s="419">
        <f t="shared" si="5"/>
        <v>0</v>
      </c>
      <c r="AC42" s="419">
        <f t="shared" si="5"/>
        <v>0</v>
      </c>
      <c r="AD42" s="427">
        <f t="shared" si="5"/>
        <v>120</v>
      </c>
    </row>
    <row r="43" spans="5:30" x14ac:dyDescent="0.25">
      <c r="E43" s="413"/>
      <c r="F43" s="414" t="s">
        <v>278</v>
      </c>
      <c r="G43" s="418">
        <f>SUM(G7,G10,G13,G16,G19,G22,G25,G28,G31,G34,G37,G40)</f>
        <v>398</v>
      </c>
      <c r="H43" s="419">
        <f>SUM(I43,M43,P43,T43,Y43,AC43,AD43)</f>
        <v>332520</v>
      </c>
      <c r="I43" s="427">
        <f t="shared" si="5"/>
        <v>120</v>
      </c>
      <c r="J43" s="429">
        <f t="shared" si="5"/>
        <v>0</v>
      </c>
      <c r="K43" s="429">
        <f t="shared" si="5"/>
        <v>0</v>
      </c>
      <c r="L43" s="419">
        <f t="shared" si="5"/>
        <v>120</v>
      </c>
      <c r="M43" s="427">
        <f t="shared" si="5"/>
        <v>0</v>
      </c>
      <c r="N43" s="429">
        <f t="shared" si="5"/>
        <v>0</v>
      </c>
      <c r="O43" s="419">
        <f t="shared" si="5"/>
        <v>0</v>
      </c>
      <c r="P43" s="429">
        <f t="shared" si="5"/>
        <v>41360</v>
      </c>
      <c r="Q43" s="429">
        <f t="shared" si="5"/>
        <v>0</v>
      </c>
      <c r="R43" s="429">
        <f t="shared" si="5"/>
        <v>0</v>
      </c>
      <c r="S43" s="419">
        <f t="shared" si="5"/>
        <v>41360</v>
      </c>
      <c r="T43" s="429">
        <f t="shared" si="5"/>
        <v>290700</v>
      </c>
      <c r="U43" s="429">
        <f t="shared" si="5"/>
        <v>203660</v>
      </c>
      <c r="V43" s="429">
        <f t="shared" si="5"/>
        <v>82280</v>
      </c>
      <c r="W43" s="429">
        <f t="shared" si="5"/>
        <v>4680</v>
      </c>
      <c r="X43" s="419">
        <f t="shared" si="5"/>
        <v>80</v>
      </c>
      <c r="Y43" s="427">
        <f t="shared" si="5"/>
        <v>200</v>
      </c>
      <c r="Z43" s="429">
        <f t="shared" si="5"/>
        <v>0</v>
      </c>
      <c r="AA43" s="429">
        <f t="shared" si="5"/>
        <v>200</v>
      </c>
      <c r="AB43" s="419">
        <f t="shared" si="5"/>
        <v>0</v>
      </c>
      <c r="AC43" s="419">
        <f t="shared" si="5"/>
        <v>0</v>
      </c>
      <c r="AD43" s="427">
        <f t="shared" si="5"/>
        <v>140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6"/>
  <sheetViews>
    <sheetView zoomScale="76" workbookViewId="0">
      <selection activeCell="O212" sqref="O212"/>
    </sheetView>
  </sheetViews>
  <sheetFormatPr baseColWidth="10" defaultRowHeight="18" x14ac:dyDescent="0.25"/>
  <cols>
    <col min="6" max="6" width="7.875" customWidth="1"/>
  </cols>
  <sheetData>
    <row r="1" spans="1:27" ht="22" x14ac:dyDescent="0.25">
      <c r="A1" t="s">
        <v>250</v>
      </c>
      <c r="D1" t="s">
        <v>226</v>
      </c>
      <c r="G1" s="285" t="s">
        <v>209</v>
      </c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28"/>
      <c r="AA1" s="228"/>
    </row>
    <row r="2" spans="1:27" x14ac:dyDescent="0.25">
      <c r="A2" t="s">
        <v>205</v>
      </c>
      <c r="B2" t="s">
        <v>225</v>
      </c>
      <c r="D2" t="s">
        <v>205</v>
      </c>
      <c r="E2" t="s">
        <v>225</v>
      </c>
      <c r="G2" s="283" t="s">
        <v>224</v>
      </c>
      <c r="H2" s="279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80"/>
      <c r="W2" s="279"/>
      <c r="X2" s="305" t="s">
        <v>223</v>
      </c>
      <c r="Y2" s="305"/>
      <c r="Z2" s="228"/>
      <c r="AA2" s="228"/>
    </row>
    <row r="3" spans="1:27" ht="19" x14ac:dyDescent="0.25">
      <c r="A3">
        <v>2</v>
      </c>
      <c r="B3" s="274">
        <f>SUM(E3,E41,E78,E115)</f>
        <v>228.12</v>
      </c>
      <c r="D3">
        <v>2</v>
      </c>
      <c r="E3" s="274">
        <f>K9</f>
        <v>96</v>
      </c>
      <c r="G3" s="281"/>
      <c r="H3" s="279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80"/>
      <c r="W3" s="553" t="s">
        <v>203</v>
      </c>
      <c r="X3" s="553"/>
      <c r="Y3" s="304"/>
      <c r="Z3" s="228"/>
      <c r="AA3" s="228"/>
    </row>
    <row r="4" spans="1:27" x14ac:dyDescent="0.25">
      <c r="A4">
        <v>3</v>
      </c>
      <c r="B4" s="274">
        <f t="shared" ref="B4:B10" si="0">SUM(E4,E42,E79,E116)</f>
        <v>287.39999999999998</v>
      </c>
      <c r="D4">
        <v>3</v>
      </c>
      <c r="E4" s="274">
        <f>O9</f>
        <v>178.5</v>
      </c>
      <c r="G4" s="523" t="s">
        <v>220</v>
      </c>
      <c r="H4" s="264"/>
      <c r="I4" s="263" t="s">
        <v>202</v>
      </c>
      <c r="J4" s="262"/>
      <c r="K4" s="262"/>
      <c r="L4" s="262"/>
      <c r="M4" s="263" t="s">
        <v>201</v>
      </c>
      <c r="N4" s="262"/>
      <c r="O4" s="262"/>
      <c r="P4" s="262"/>
      <c r="Q4" s="277"/>
      <c r="R4" s="264"/>
      <c r="S4" s="264"/>
      <c r="T4" s="264"/>
      <c r="U4" s="277"/>
      <c r="V4" s="264"/>
      <c r="W4" s="264"/>
      <c r="X4" s="276"/>
      <c r="Y4" s="303"/>
      <c r="Z4" s="218"/>
      <c r="AA4" s="218"/>
    </row>
    <row r="5" spans="1:27" x14ac:dyDescent="0.25">
      <c r="A5">
        <v>4</v>
      </c>
      <c r="B5" s="274">
        <f t="shared" si="0"/>
        <v>1185.915</v>
      </c>
      <c r="D5">
        <v>4</v>
      </c>
      <c r="E5" s="274">
        <f>K20</f>
        <v>660</v>
      </c>
      <c r="G5" s="524"/>
      <c r="H5" s="227" t="s">
        <v>191</v>
      </c>
      <c r="I5" s="258" t="s">
        <v>219</v>
      </c>
      <c r="J5" s="258" t="s">
        <v>218</v>
      </c>
      <c r="K5" s="258" t="s">
        <v>217</v>
      </c>
      <c r="L5" s="258" t="s">
        <v>216</v>
      </c>
      <c r="M5" s="258" t="s">
        <v>219</v>
      </c>
      <c r="N5" s="258" t="s">
        <v>218</v>
      </c>
      <c r="O5" s="258" t="s">
        <v>217</v>
      </c>
      <c r="P5" s="258" t="s">
        <v>216</v>
      </c>
      <c r="Q5" s="257"/>
      <c r="R5" s="257"/>
      <c r="S5" s="257"/>
      <c r="T5" s="257"/>
      <c r="U5" s="257"/>
      <c r="V5" s="257"/>
      <c r="W5" s="257"/>
      <c r="X5" s="269"/>
      <c r="Y5" s="290"/>
      <c r="Z5" s="218"/>
      <c r="AA5" s="218"/>
    </row>
    <row r="6" spans="1:27" x14ac:dyDescent="0.25">
      <c r="A6">
        <v>5</v>
      </c>
      <c r="B6" s="274">
        <f t="shared" si="0"/>
        <v>932.39099999999996</v>
      </c>
      <c r="D6">
        <v>5</v>
      </c>
      <c r="E6" s="274">
        <f>O20</f>
        <v>793.94999999999993</v>
      </c>
      <c r="G6" s="524"/>
      <c r="H6" s="227" t="s">
        <v>186</v>
      </c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68"/>
      <c r="Y6" s="287"/>
      <c r="Z6" s="218"/>
      <c r="AA6" s="218"/>
    </row>
    <row r="7" spans="1:27" x14ac:dyDescent="0.25">
      <c r="A7">
        <v>6</v>
      </c>
      <c r="B7" s="274">
        <f t="shared" si="0"/>
        <v>1640.7840000000001</v>
      </c>
      <c r="D7">
        <v>6</v>
      </c>
      <c r="E7" s="274">
        <f>S20</f>
        <v>1355.25</v>
      </c>
      <c r="G7" s="524"/>
      <c r="H7" s="227" t="s">
        <v>184</v>
      </c>
      <c r="I7" s="224">
        <v>0</v>
      </c>
      <c r="J7" s="251">
        <f>30+19.125</f>
        <v>49.125</v>
      </c>
      <c r="K7" s="224">
        <f>6+30</f>
        <v>36</v>
      </c>
      <c r="L7" s="224">
        <v>10.875</v>
      </c>
      <c r="M7" s="224">
        <f>36.75+17.25</f>
        <v>54</v>
      </c>
      <c r="N7" s="224">
        <f>66.375+14.25</f>
        <v>80.625</v>
      </c>
      <c r="O7" s="224">
        <f>29.625+14.25</f>
        <v>43.875</v>
      </c>
      <c r="P7" s="224">
        <v>0</v>
      </c>
      <c r="Q7" s="224"/>
      <c r="R7" s="224"/>
      <c r="S7" s="224"/>
      <c r="T7" s="224"/>
      <c r="U7" s="224"/>
      <c r="V7" s="224"/>
      <c r="W7" s="224"/>
      <c r="X7" s="268"/>
      <c r="Y7" s="287"/>
      <c r="Z7" s="218"/>
      <c r="AA7" s="218"/>
    </row>
    <row r="8" spans="1:27" x14ac:dyDescent="0.25">
      <c r="A8">
        <v>7</v>
      </c>
      <c r="B8" s="274">
        <f t="shared" si="0"/>
        <v>1536.3150000000001</v>
      </c>
      <c r="D8">
        <v>7</v>
      </c>
      <c r="E8" s="274">
        <f>W20</f>
        <v>1047.75</v>
      </c>
      <c r="G8" s="524"/>
      <c r="H8" s="236" t="s">
        <v>182</v>
      </c>
      <c r="I8" s="249">
        <f>108+3</f>
        <v>111</v>
      </c>
      <c r="J8" s="296" t="s">
        <v>181</v>
      </c>
      <c r="K8" s="233"/>
      <c r="L8" s="233"/>
      <c r="M8" s="249">
        <f>13+91</f>
        <v>104</v>
      </c>
      <c r="N8" s="296" t="s">
        <v>181</v>
      </c>
      <c r="O8" s="233"/>
      <c r="P8" s="233"/>
      <c r="Q8" s="249"/>
      <c r="R8" s="275"/>
      <c r="S8" s="233"/>
      <c r="T8" s="233"/>
      <c r="U8" s="249"/>
      <c r="V8" s="275"/>
      <c r="W8" s="233"/>
      <c r="X8" s="267"/>
      <c r="Y8" s="287"/>
      <c r="Z8" s="218"/>
      <c r="AA8" s="218"/>
    </row>
    <row r="9" spans="1:27" x14ac:dyDescent="0.25">
      <c r="A9">
        <v>8</v>
      </c>
      <c r="B9" s="274">
        <f t="shared" si="0"/>
        <v>625.0200000000001</v>
      </c>
      <c r="D9">
        <v>8</v>
      </c>
      <c r="E9" s="274">
        <f>K31</f>
        <v>587.55000000000007</v>
      </c>
      <c r="G9" s="524"/>
      <c r="H9" s="227" t="s">
        <v>179</v>
      </c>
      <c r="I9" s="244">
        <f>3+85</f>
        <v>88</v>
      </c>
      <c r="J9" s="224"/>
      <c r="K9" s="222">
        <f>SUM(I7:L7)</f>
        <v>96</v>
      </c>
      <c r="L9" s="222"/>
      <c r="M9" s="244">
        <f>48+13</f>
        <v>61</v>
      </c>
      <c r="N9" s="224"/>
      <c r="O9" s="222">
        <f>SUM(M7:P7)</f>
        <v>178.5</v>
      </c>
      <c r="P9" s="222"/>
      <c r="Q9" s="244"/>
      <c r="R9" s="224"/>
      <c r="S9" s="222"/>
      <c r="T9" s="222"/>
      <c r="U9" s="244"/>
      <c r="V9" s="224"/>
      <c r="W9" s="222"/>
      <c r="X9" s="223"/>
      <c r="Y9" s="287"/>
      <c r="Z9" s="218"/>
      <c r="AA9" s="218"/>
    </row>
    <row r="10" spans="1:27" x14ac:dyDescent="0.25">
      <c r="A10">
        <v>9</v>
      </c>
      <c r="B10" s="274">
        <f t="shared" si="0"/>
        <v>0</v>
      </c>
      <c r="D10">
        <v>9</v>
      </c>
      <c r="E10" s="274">
        <f>O31</f>
        <v>0</v>
      </c>
      <c r="G10" s="524"/>
      <c r="H10" s="236" t="s">
        <v>176</v>
      </c>
      <c r="I10" s="242">
        <f>ROUND(K9/I8,2)</f>
        <v>0.86</v>
      </c>
      <c r="J10" s="234"/>
      <c r="K10" s="233"/>
      <c r="L10" s="233"/>
      <c r="M10" s="242">
        <f>ROUND(O9/M8,2)</f>
        <v>1.72</v>
      </c>
      <c r="N10" s="234"/>
      <c r="O10" s="233"/>
      <c r="P10" s="233"/>
      <c r="Q10" s="242"/>
      <c r="R10" s="234"/>
      <c r="S10" s="233"/>
      <c r="T10" s="233"/>
      <c r="U10" s="242"/>
      <c r="V10" s="234"/>
      <c r="W10" s="233"/>
      <c r="X10" s="267"/>
      <c r="Y10" s="287"/>
      <c r="Z10" s="218"/>
      <c r="AA10" s="218"/>
    </row>
    <row r="11" spans="1:27" x14ac:dyDescent="0.25">
      <c r="D11" t="s">
        <v>222</v>
      </c>
      <c r="E11" s="274">
        <f>SUM(E3:E10)</f>
        <v>4719</v>
      </c>
      <c r="G11" s="524"/>
      <c r="H11" s="227" t="s">
        <v>174</v>
      </c>
      <c r="I11" s="224">
        <f>ROUND(K9/I9,2)</f>
        <v>1.0900000000000001</v>
      </c>
      <c r="J11" s="224"/>
      <c r="K11" s="222"/>
      <c r="L11" s="222"/>
      <c r="M11" s="224">
        <f>ROUND(O9/M9,2)</f>
        <v>2.93</v>
      </c>
      <c r="N11" s="224"/>
      <c r="O11" s="222"/>
      <c r="P11" s="222"/>
      <c r="Q11" s="224"/>
      <c r="R11" s="224"/>
      <c r="S11" s="222"/>
      <c r="T11" s="222"/>
      <c r="U11" s="224"/>
      <c r="V11" s="224"/>
      <c r="W11" s="222"/>
      <c r="X11" s="223"/>
      <c r="Y11" s="287"/>
      <c r="Z11" s="218"/>
      <c r="AA11" s="218"/>
    </row>
    <row r="12" spans="1:27" x14ac:dyDescent="0.25">
      <c r="D12" t="s">
        <v>241</v>
      </c>
      <c r="E12" s="274">
        <f>SUM(E5:E9)</f>
        <v>4444.5</v>
      </c>
      <c r="G12" s="524"/>
      <c r="H12" s="236" t="s">
        <v>172</v>
      </c>
      <c r="I12" s="235">
        <v>86.550000000000011</v>
      </c>
      <c r="J12" s="233"/>
      <c r="K12" s="233"/>
      <c r="L12" s="233"/>
      <c r="M12" s="235">
        <v>596.70000000000005</v>
      </c>
      <c r="N12" s="233"/>
      <c r="O12" s="233"/>
      <c r="P12" s="233"/>
      <c r="Q12" s="234"/>
      <c r="R12" s="233"/>
      <c r="S12" s="233"/>
      <c r="T12" s="233"/>
      <c r="U12" s="234"/>
      <c r="V12" s="233"/>
      <c r="W12" s="233"/>
      <c r="X12" s="267"/>
      <c r="Y12" s="287"/>
      <c r="Z12" s="218"/>
      <c r="AA12" s="218"/>
    </row>
    <row r="13" spans="1:27" x14ac:dyDescent="0.25">
      <c r="G13" s="525"/>
      <c r="H13" s="227" t="s">
        <v>169</v>
      </c>
      <c r="I13" s="224"/>
      <c r="J13" s="553">
        <f>SUM(K9/I12)</f>
        <v>1.1091854419410743</v>
      </c>
      <c r="K13" s="553"/>
      <c r="L13" s="222"/>
      <c r="M13" s="224"/>
      <c r="N13" s="553">
        <f>SUM(O9/M12)</f>
        <v>0.29914529914529914</v>
      </c>
      <c r="O13" s="553"/>
      <c r="P13" s="222"/>
      <c r="Q13" s="224"/>
      <c r="R13" s="222"/>
      <c r="S13" s="222"/>
      <c r="T13" s="222"/>
      <c r="U13" s="224"/>
      <c r="V13" s="222"/>
      <c r="W13" s="222"/>
      <c r="X13" s="223"/>
      <c r="Y13" s="287"/>
      <c r="Z13" s="218"/>
      <c r="AA13" s="218"/>
    </row>
    <row r="14" spans="1:27" ht="19" x14ac:dyDescent="0.25">
      <c r="G14" s="265"/>
      <c r="H14" s="272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73"/>
      <c r="W14" s="272"/>
      <c r="X14" s="271"/>
      <c r="Y14" s="271"/>
      <c r="Z14" s="218"/>
      <c r="AA14" s="218"/>
    </row>
    <row r="15" spans="1:27" x14ac:dyDescent="0.25">
      <c r="G15" s="523" t="s">
        <v>220</v>
      </c>
      <c r="H15" s="264"/>
      <c r="I15" s="263" t="s">
        <v>200</v>
      </c>
      <c r="J15" s="262"/>
      <c r="K15" s="262"/>
      <c r="L15" s="262"/>
      <c r="M15" s="263" t="s">
        <v>199</v>
      </c>
      <c r="N15" s="262"/>
      <c r="O15" s="262"/>
      <c r="P15" s="262"/>
      <c r="Q15" s="263" t="s">
        <v>198</v>
      </c>
      <c r="R15" s="262"/>
      <c r="S15" s="262"/>
      <c r="T15" s="262"/>
      <c r="U15" s="554" t="s">
        <v>221</v>
      </c>
      <c r="V15" s="555"/>
      <c r="W15" s="555"/>
      <c r="X15" s="556"/>
      <c r="Y15" s="302"/>
      <c r="Z15" s="218"/>
      <c r="AA15" s="218"/>
    </row>
    <row r="16" spans="1:27" x14ac:dyDescent="0.25">
      <c r="G16" s="524"/>
      <c r="H16" s="227" t="s">
        <v>191</v>
      </c>
      <c r="I16" s="258" t="s">
        <v>219</v>
      </c>
      <c r="J16" s="258" t="s">
        <v>218</v>
      </c>
      <c r="K16" s="258" t="s">
        <v>217</v>
      </c>
      <c r="L16" s="258" t="s">
        <v>216</v>
      </c>
      <c r="M16" s="258" t="s">
        <v>219</v>
      </c>
      <c r="N16" s="258" t="s">
        <v>218</v>
      </c>
      <c r="O16" s="258" t="s">
        <v>217</v>
      </c>
      <c r="P16" s="258" t="s">
        <v>216</v>
      </c>
      <c r="Q16" s="258" t="s">
        <v>219</v>
      </c>
      <c r="R16" s="258" t="s">
        <v>218</v>
      </c>
      <c r="S16" s="258" t="s">
        <v>217</v>
      </c>
      <c r="T16" s="258" t="s">
        <v>216</v>
      </c>
      <c r="U16" s="258" t="s">
        <v>219</v>
      </c>
      <c r="V16" s="258" t="s">
        <v>218</v>
      </c>
      <c r="W16" s="258" t="s">
        <v>217</v>
      </c>
      <c r="X16" s="299" t="s">
        <v>216</v>
      </c>
      <c r="Y16" s="298"/>
      <c r="Z16" s="218"/>
      <c r="AA16" s="218"/>
    </row>
    <row r="17" spans="7:27" x14ac:dyDescent="0.25">
      <c r="G17" s="524"/>
      <c r="H17" s="227" t="s">
        <v>186</v>
      </c>
      <c r="I17" s="224"/>
      <c r="J17" s="224"/>
      <c r="K17" s="224"/>
      <c r="L17" s="224"/>
      <c r="M17" s="224"/>
      <c r="N17" s="224"/>
      <c r="O17" s="224"/>
      <c r="P17" s="224"/>
      <c r="Q17" s="224"/>
      <c r="R17" s="224"/>
      <c r="S17" s="224"/>
      <c r="T17" s="224"/>
      <c r="U17" s="224"/>
      <c r="V17" s="224"/>
      <c r="W17" s="224"/>
      <c r="X17" s="268"/>
      <c r="Y17" s="287"/>
      <c r="Z17" s="218"/>
      <c r="AA17" s="218"/>
    </row>
    <row r="18" spans="7:27" x14ac:dyDescent="0.25">
      <c r="G18" s="524"/>
      <c r="H18" s="227" t="s">
        <v>184</v>
      </c>
      <c r="I18" s="224">
        <f>186</f>
        <v>186</v>
      </c>
      <c r="J18" s="251">
        <f>212.25+186</f>
        <v>398.25</v>
      </c>
      <c r="K18" s="224">
        <f>75.75</f>
        <v>75.75</v>
      </c>
      <c r="L18" s="224">
        <v>0</v>
      </c>
      <c r="M18" s="224">
        <v>0</v>
      </c>
      <c r="N18" s="224">
        <f>252.405</f>
        <v>252.405</v>
      </c>
      <c r="O18" s="224">
        <f>423.495+59.025</f>
        <v>482.52</v>
      </c>
      <c r="P18" s="224">
        <f>59.025</f>
        <v>59.024999999999999</v>
      </c>
      <c r="Q18" s="224">
        <v>0</v>
      </c>
      <c r="R18" s="224">
        <f>365.625+0</f>
        <v>365.625</v>
      </c>
      <c r="S18" s="224">
        <f>506.25+171.375</f>
        <v>677.625</v>
      </c>
      <c r="T18" s="224">
        <f>140.625+171.375</f>
        <v>312</v>
      </c>
      <c r="U18" s="224">
        <f>175.365</f>
        <v>175.36500000000001</v>
      </c>
      <c r="V18" s="224">
        <f>310.35+72.96</f>
        <v>383.31</v>
      </c>
      <c r="W18" s="224">
        <f>310.335+76.26</f>
        <v>386.59499999999997</v>
      </c>
      <c r="X18" s="268">
        <f>26.25+76.23</f>
        <v>102.48</v>
      </c>
      <c r="Y18" s="287"/>
      <c r="Z18" s="218"/>
      <c r="AA18" s="218"/>
    </row>
    <row r="19" spans="7:27" x14ac:dyDescent="0.25">
      <c r="G19" s="524"/>
      <c r="H19" s="236" t="s">
        <v>182</v>
      </c>
      <c r="I19" s="249">
        <f>17+125</f>
        <v>142</v>
      </c>
      <c r="J19" s="296" t="s">
        <v>181</v>
      </c>
      <c r="K19" s="233"/>
      <c r="L19" s="233"/>
      <c r="M19" s="249">
        <f>40+88</f>
        <v>128</v>
      </c>
      <c r="N19" s="296" t="s">
        <v>181</v>
      </c>
      <c r="O19" s="233"/>
      <c r="P19" s="233"/>
      <c r="Q19" s="249">
        <v>210</v>
      </c>
      <c r="R19" s="296" t="s">
        <v>181</v>
      </c>
      <c r="S19" s="233"/>
      <c r="T19" s="233"/>
      <c r="U19" s="249">
        <f>59+99</f>
        <v>158</v>
      </c>
      <c r="V19" s="296" t="s">
        <v>181</v>
      </c>
      <c r="W19" s="233"/>
      <c r="X19" s="267"/>
      <c r="Y19" s="287"/>
      <c r="Z19" s="218"/>
      <c r="AA19" s="218"/>
    </row>
    <row r="20" spans="7:27" x14ac:dyDescent="0.25">
      <c r="G20" s="524"/>
      <c r="H20" s="227" t="s">
        <v>179</v>
      </c>
      <c r="I20" s="244">
        <f>17+93</f>
        <v>110</v>
      </c>
      <c r="J20" s="224"/>
      <c r="K20" s="295">
        <f>SUM(I18:L18)</f>
        <v>660</v>
      </c>
      <c r="L20" s="294"/>
      <c r="M20" s="244">
        <f>40+77</f>
        <v>117</v>
      </c>
      <c r="N20" s="224"/>
      <c r="O20" s="295">
        <f>SUM(M18:P18)</f>
        <v>793.94999999999993</v>
      </c>
      <c r="P20" s="294"/>
      <c r="Q20" s="244">
        <f>53+142</f>
        <v>195</v>
      </c>
      <c r="R20" s="224"/>
      <c r="S20" s="295">
        <f>SUM(Q18:T18)</f>
        <v>1355.25</v>
      </c>
      <c r="T20" s="294"/>
      <c r="U20" s="244">
        <v>156</v>
      </c>
      <c r="V20" s="224"/>
      <c r="W20" s="295">
        <f>SUM(U18:X18)</f>
        <v>1047.75</v>
      </c>
      <c r="X20" s="294"/>
      <c r="Y20" s="290"/>
      <c r="Z20" s="218"/>
      <c r="AA20" s="218"/>
    </row>
    <row r="21" spans="7:27" x14ac:dyDescent="0.25">
      <c r="G21" s="524"/>
      <c r="H21" s="236" t="s">
        <v>176</v>
      </c>
      <c r="I21" s="242">
        <f>ROUND(K20/I19,2)</f>
        <v>4.6500000000000004</v>
      </c>
      <c r="J21" s="234"/>
      <c r="K21" s="233"/>
      <c r="L21" s="233"/>
      <c r="M21" s="242">
        <f>ROUND(O20/M19,2)</f>
        <v>6.2</v>
      </c>
      <c r="N21" s="234"/>
      <c r="O21" s="233"/>
      <c r="P21" s="233"/>
      <c r="Q21" s="242">
        <f>ROUND(S20/Q19,2)</f>
        <v>6.45</v>
      </c>
      <c r="R21" s="234"/>
      <c r="S21" s="233"/>
      <c r="T21" s="233"/>
      <c r="U21" s="242">
        <f>ROUND(W20/U19,2)</f>
        <v>6.63</v>
      </c>
      <c r="V21" s="234"/>
      <c r="W21" s="233"/>
      <c r="X21" s="267"/>
      <c r="Y21" s="287"/>
      <c r="Z21" s="218"/>
      <c r="AA21" s="218"/>
    </row>
    <row r="22" spans="7:27" x14ac:dyDescent="0.25">
      <c r="G22" s="524"/>
      <c r="H22" s="227" t="s">
        <v>174</v>
      </c>
      <c r="I22" s="224">
        <f>ROUND(K20/I20,2)</f>
        <v>6</v>
      </c>
      <c r="J22" s="224"/>
      <c r="K22" s="222"/>
      <c r="L22" s="222"/>
      <c r="M22" s="224">
        <f>ROUND(O20/M20,2)</f>
        <v>6.79</v>
      </c>
      <c r="N22" s="224"/>
      <c r="O22" s="222"/>
      <c r="P22" s="222"/>
      <c r="Q22" s="224">
        <f>ROUND(S20/Q20,2)</f>
        <v>6.95</v>
      </c>
      <c r="R22" s="224"/>
      <c r="S22" s="222"/>
      <c r="T22" s="222"/>
      <c r="U22" s="224">
        <f>ROUND(W20/U20,2)</f>
        <v>6.72</v>
      </c>
      <c r="V22" s="224"/>
      <c r="W22" s="222"/>
      <c r="X22" s="223"/>
      <c r="Y22" s="287"/>
      <c r="Z22" s="218"/>
      <c r="AA22" s="218"/>
    </row>
    <row r="23" spans="7:27" x14ac:dyDescent="0.25">
      <c r="G23" s="524"/>
      <c r="H23" s="236" t="s">
        <v>172</v>
      </c>
      <c r="I23" s="235">
        <v>612.75</v>
      </c>
      <c r="J23" s="233"/>
      <c r="K23" s="233"/>
      <c r="L23" s="233"/>
      <c r="M23" s="235">
        <v>1276.05</v>
      </c>
      <c r="N23" s="233"/>
      <c r="O23" s="233"/>
      <c r="P23" s="233"/>
      <c r="Q23" s="235">
        <v>1531.2</v>
      </c>
      <c r="R23" s="233"/>
      <c r="S23" s="233"/>
      <c r="T23" s="233"/>
      <c r="U23" s="235">
        <v>1401</v>
      </c>
      <c r="V23" s="233"/>
      <c r="W23" s="233"/>
      <c r="X23" s="267"/>
      <c r="Y23" s="287"/>
      <c r="Z23" s="218"/>
      <c r="AA23" s="218"/>
    </row>
    <row r="24" spans="7:27" x14ac:dyDescent="0.25">
      <c r="G24" s="525"/>
      <c r="H24" s="227" t="s">
        <v>169</v>
      </c>
      <c r="I24" s="224"/>
      <c r="J24" s="225">
        <f>SUM(K20/I23)</f>
        <v>1.0771113831089352</v>
      </c>
      <c r="K24" s="225"/>
      <c r="L24" s="222"/>
      <c r="M24" s="224"/>
      <c r="N24" s="225">
        <f>SUM(O20/M23)</f>
        <v>0.62219348771599858</v>
      </c>
      <c r="O24" s="225"/>
      <c r="P24" s="222"/>
      <c r="Q24" s="224"/>
      <c r="R24" s="225">
        <f>SUM(S20/Q23)</f>
        <v>0.8850901253918495</v>
      </c>
      <c r="S24" s="225"/>
      <c r="T24" s="222"/>
      <c r="U24" s="224"/>
      <c r="V24" s="225">
        <f>SUM(W20/U23)</f>
        <v>0.74785867237687365</v>
      </c>
      <c r="W24" s="225"/>
      <c r="X24" s="223"/>
      <c r="Y24" s="287"/>
      <c r="Z24" s="218"/>
      <c r="AA24" s="218"/>
    </row>
    <row r="25" spans="7:27" x14ac:dyDescent="0.25">
      <c r="G25" s="265"/>
      <c r="H25" s="266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87"/>
      <c r="Z25" s="218"/>
      <c r="AA25" s="218"/>
    </row>
    <row r="26" spans="7:27" x14ac:dyDescent="0.25">
      <c r="G26" s="523" t="s">
        <v>220</v>
      </c>
      <c r="H26" s="264"/>
      <c r="I26" s="263" t="s">
        <v>195</v>
      </c>
      <c r="J26" s="262"/>
      <c r="K26" s="262"/>
      <c r="L26" s="262"/>
      <c r="M26" s="263" t="s">
        <v>194</v>
      </c>
      <c r="N26" s="262"/>
      <c r="O26" s="262"/>
      <c r="P26" s="262"/>
      <c r="Q26" s="263" t="s">
        <v>193</v>
      </c>
      <c r="R26" s="262"/>
      <c r="S26" s="262"/>
      <c r="T26" s="262"/>
      <c r="U26" s="263" t="s">
        <v>192</v>
      </c>
      <c r="V26" s="262"/>
      <c r="W26" s="262"/>
      <c r="X26" s="301"/>
      <c r="Y26" s="300"/>
      <c r="Z26" s="218"/>
      <c r="AA26" s="218"/>
    </row>
    <row r="27" spans="7:27" x14ac:dyDescent="0.25">
      <c r="G27" s="524"/>
      <c r="H27" s="227" t="s">
        <v>191</v>
      </c>
      <c r="I27" s="258" t="s">
        <v>219</v>
      </c>
      <c r="J27" s="258" t="s">
        <v>218</v>
      </c>
      <c r="K27" s="258" t="s">
        <v>217</v>
      </c>
      <c r="L27" s="258" t="s">
        <v>216</v>
      </c>
      <c r="M27" s="258" t="s">
        <v>219</v>
      </c>
      <c r="N27" s="258" t="s">
        <v>218</v>
      </c>
      <c r="O27" s="258" t="s">
        <v>217</v>
      </c>
      <c r="P27" s="258" t="s">
        <v>216</v>
      </c>
      <c r="Q27" s="256"/>
      <c r="R27" s="255"/>
      <c r="S27" s="254"/>
      <c r="T27" s="254"/>
      <c r="U27" s="258" t="s">
        <v>219</v>
      </c>
      <c r="V27" s="258" t="s">
        <v>218</v>
      </c>
      <c r="W27" s="258" t="s">
        <v>217</v>
      </c>
      <c r="X27" s="299" t="s">
        <v>216</v>
      </c>
      <c r="Y27" s="298"/>
      <c r="Z27" s="218"/>
      <c r="AA27" s="218"/>
    </row>
    <row r="28" spans="7:27" x14ac:dyDescent="0.25">
      <c r="G28" s="524"/>
      <c r="H28" s="227" t="s">
        <v>186</v>
      </c>
      <c r="I28" s="224"/>
      <c r="J28" s="224"/>
      <c r="K28" s="224"/>
      <c r="L28" s="224"/>
      <c r="M28" s="224"/>
      <c r="N28" s="224"/>
      <c r="O28" s="224"/>
      <c r="P28" s="224"/>
      <c r="Q28" s="546" t="s">
        <v>215</v>
      </c>
      <c r="R28" s="547"/>
      <c r="S28" s="548">
        <f>'[2]2017.02-2017.08'!Q31</f>
        <v>1625.4</v>
      </c>
      <c r="T28" s="549"/>
      <c r="U28" s="224"/>
      <c r="V28" s="224"/>
      <c r="W28" s="224"/>
      <c r="X28" s="268"/>
      <c r="Y28" s="287"/>
      <c r="Z28" s="218"/>
      <c r="AA28" s="218"/>
    </row>
    <row r="29" spans="7:27" x14ac:dyDescent="0.25">
      <c r="G29" s="524"/>
      <c r="H29" s="227" t="s">
        <v>184</v>
      </c>
      <c r="I29" s="224">
        <v>31.5</v>
      </c>
      <c r="J29" s="251">
        <f>181.2+82.65</f>
        <v>263.85000000000002</v>
      </c>
      <c r="K29" s="224">
        <f>180.3+82.65</f>
        <v>262.95000000000005</v>
      </c>
      <c r="L29" s="224">
        <f>29.25</f>
        <v>29.25</v>
      </c>
      <c r="M29" s="224"/>
      <c r="N29" s="224"/>
      <c r="O29" s="224"/>
      <c r="P29" s="224"/>
      <c r="Q29" s="528" t="s">
        <v>214</v>
      </c>
      <c r="R29" s="529"/>
      <c r="S29" s="550">
        <f>SUM(AA35)</f>
        <v>4912.5660000000007</v>
      </c>
      <c r="T29" s="551"/>
      <c r="U29" s="224">
        <f>I18+M18+Q18+U18+I29</f>
        <v>392.86500000000001</v>
      </c>
      <c r="V29" s="224">
        <f>J18+N18+R18+V18+J29</f>
        <v>1663.44</v>
      </c>
      <c r="W29" s="224">
        <f>K18+O18+S18+W18+K29</f>
        <v>1885.44</v>
      </c>
      <c r="X29" s="268">
        <f>L18+P18+T18+X18+L29</f>
        <v>502.755</v>
      </c>
      <c r="Y29" s="287"/>
      <c r="Z29" s="218"/>
      <c r="AA29" s="218"/>
    </row>
    <row r="30" spans="7:27" x14ac:dyDescent="0.25">
      <c r="G30" s="524"/>
      <c r="H30" s="236" t="s">
        <v>182</v>
      </c>
      <c r="I30" s="249">
        <v>212</v>
      </c>
      <c r="J30" s="296" t="s">
        <v>181</v>
      </c>
      <c r="K30" s="233"/>
      <c r="L30" s="233"/>
      <c r="M30" s="249"/>
      <c r="N30" s="296" t="s">
        <v>181</v>
      </c>
      <c r="O30" s="233"/>
      <c r="P30" s="233"/>
      <c r="Q30" s="234"/>
      <c r="R30" s="267"/>
      <c r="S30" s="233"/>
      <c r="T30" s="233"/>
      <c r="U30" s="297">
        <f>I19+M19+Q19+U19+I30</f>
        <v>850</v>
      </c>
      <c r="V30" s="296" t="s">
        <v>181</v>
      </c>
      <c r="W30" s="233"/>
      <c r="X30" s="267"/>
      <c r="Y30" s="287"/>
      <c r="Z30" s="229" t="s">
        <v>213</v>
      </c>
      <c r="AA30" s="228">
        <v>5962.95</v>
      </c>
    </row>
    <row r="31" spans="7:27" x14ac:dyDescent="0.25">
      <c r="G31" s="524"/>
      <c r="H31" s="227" t="s">
        <v>179</v>
      </c>
      <c r="I31" s="244">
        <f>30+123</f>
        <v>153</v>
      </c>
      <c r="J31" s="224"/>
      <c r="K31" s="295">
        <f>SUM(I29:L29)</f>
        <v>587.55000000000007</v>
      </c>
      <c r="L31" s="294"/>
      <c r="M31" s="244"/>
      <c r="N31" s="224"/>
      <c r="O31" s="222">
        <f>SUM(M29:P29)</f>
        <v>0</v>
      </c>
      <c r="P31" s="222"/>
      <c r="Q31" s="546" t="s">
        <v>212</v>
      </c>
      <c r="R31" s="547"/>
      <c r="S31" s="548">
        <f>W31/S28</f>
        <v>2.7344038390550018</v>
      </c>
      <c r="T31" s="549"/>
      <c r="U31" s="293">
        <f>I20+M20+Q20+U20+I31</f>
        <v>731</v>
      </c>
      <c r="V31" s="224"/>
      <c r="W31" s="292">
        <f>SUM(U29:X29)</f>
        <v>4444.5</v>
      </c>
      <c r="X31" s="291"/>
      <c r="Y31" s="290"/>
      <c r="Z31" s="229" t="s">
        <v>211</v>
      </c>
      <c r="AA31" s="228">
        <v>5239.5149999999994</v>
      </c>
    </row>
    <row r="32" spans="7:27" x14ac:dyDescent="0.25">
      <c r="G32" s="524"/>
      <c r="H32" s="236" t="s">
        <v>176</v>
      </c>
      <c r="I32" s="242">
        <f>ROUND(K31/I30,2)</f>
        <v>2.77</v>
      </c>
      <c r="J32" s="234"/>
      <c r="K32" s="233"/>
      <c r="L32" s="233"/>
      <c r="M32" s="242" t="e">
        <f>ROUND(O31/M30,2)</f>
        <v>#DIV/0!</v>
      </c>
      <c r="N32" s="234"/>
      <c r="O32" s="233"/>
      <c r="P32" s="233"/>
      <c r="Q32" s="224"/>
      <c r="R32" s="223"/>
      <c r="S32" s="222"/>
      <c r="T32" s="222"/>
      <c r="U32" s="242">
        <f>ROUND(W31/U30,2)</f>
        <v>5.23</v>
      </c>
      <c r="V32" s="234"/>
      <c r="W32" s="233"/>
      <c r="X32" s="267"/>
      <c r="Y32" s="287"/>
      <c r="Z32" s="229" t="s">
        <v>175</v>
      </c>
      <c r="AA32" s="228">
        <v>3889.5</v>
      </c>
    </row>
    <row r="33" spans="4:27" x14ac:dyDescent="0.25">
      <c r="G33" s="524"/>
      <c r="H33" s="227" t="s">
        <v>174</v>
      </c>
      <c r="I33" s="224">
        <f>ROUND(K31/I31,2)</f>
        <v>3.84</v>
      </c>
      <c r="J33" s="224"/>
      <c r="K33" s="222"/>
      <c r="L33" s="222"/>
      <c r="M33" s="224" t="e">
        <f>ROUND(O31/M31,2)</f>
        <v>#DIV/0!</v>
      </c>
      <c r="N33" s="224"/>
      <c r="O33" s="222"/>
      <c r="P33" s="222"/>
      <c r="Q33" s="234"/>
      <c r="R33" s="267"/>
      <c r="S33" s="233"/>
      <c r="T33" s="233"/>
      <c r="U33" s="224">
        <f>ROUND(W31/U31,2)</f>
        <v>6.08</v>
      </c>
      <c r="V33" s="224"/>
      <c r="W33" s="222"/>
      <c r="X33" s="223"/>
      <c r="Y33" s="287"/>
      <c r="Z33" s="229" t="s">
        <v>173</v>
      </c>
      <c r="AA33" s="228">
        <v>4574.7149999999992</v>
      </c>
    </row>
    <row r="34" spans="4:27" x14ac:dyDescent="0.25">
      <c r="G34" s="524"/>
      <c r="H34" s="236" t="s">
        <v>172</v>
      </c>
      <c r="I34" s="235">
        <v>1141.9499999999998</v>
      </c>
      <c r="J34" s="233"/>
      <c r="K34" s="233"/>
      <c r="L34" s="233"/>
      <c r="M34" s="289">
        <v>807.45</v>
      </c>
      <c r="N34" s="288"/>
      <c r="O34" s="233"/>
      <c r="P34" s="233"/>
      <c r="Q34" s="546" t="s">
        <v>210</v>
      </c>
      <c r="R34" s="547"/>
      <c r="S34" s="548">
        <f>SUM(W31/S29)</f>
        <v>0.90472066940169338</v>
      </c>
      <c r="T34" s="549"/>
      <c r="U34" s="234"/>
      <c r="V34" s="233"/>
      <c r="W34" s="233"/>
      <c r="X34" s="267"/>
      <c r="Y34" s="287"/>
      <c r="Z34" s="229" t="s">
        <v>170</v>
      </c>
      <c r="AA34" s="228">
        <v>4896.1499999999996</v>
      </c>
    </row>
    <row r="35" spans="4:27" x14ac:dyDescent="0.25">
      <c r="G35" s="525"/>
      <c r="H35" s="227" t="s">
        <v>169</v>
      </c>
      <c r="I35" s="224"/>
      <c r="J35" s="225">
        <f>SUM(K31/I34)</f>
        <v>0.51451464600026287</v>
      </c>
      <c r="K35" s="225"/>
      <c r="L35" s="222"/>
      <c r="M35" s="224"/>
      <c r="N35" s="225"/>
      <c r="O35" s="225">
        <f>SUM(O31/M34)</f>
        <v>0</v>
      </c>
      <c r="P35" s="222"/>
      <c r="Q35" s="224"/>
      <c r="R35" s="223"/>
      <c r="S35" s="222"/>
      <c r="T35" s="222"/>
      <c r="U35" s="224"/>
      <c r="V35" s="222"/>
      <c r="W35" s="222"/>
      <c r="X35" s="223"/>
      <c r="Y35" s="287"/>
      <c r="Z35" s="286"/>
      <c r="AA35" s="286">
        <f>AVERAGE(AA30:AA34)</f>
        <v>4912.5660000000007</v>
      </c>
    </row>
    <row r="38" spans="4:27" ht="22" x14ac:dyDescent="0.25">
      <c r="G38" s="285" t="s">
        <v>209</v>
      </c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284"/>
      <c r="Y38" s="228"/>
      <c r="Z38" s="228"/>
      <c r="AA38" s="228"/>
    </row>
    <row r="39" spans="4:27" x14ac:dyDescent="0.25">
      <c r="D39" t="s">
        <v>208</v>
      </c>
      <c r="G39" s="283" t="s">
        <v>207</v>
      </c>
      <c r="H39" s="279"/>
      <c r="I39" s="228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80"/>
      <c r="W39" s="279"/>
      <c r="X39" s="282" t="s">
        <v>206</v>
      </c>
      <c r="Y39" s="228"/>
      <c r="Z39" s="228"/>
      <c r="AA39" s="228"/>
    </row>
    <row r="40" spans="4:27" ht="19" x14ac:dyDescent="0.25">
      <c r="D40" t="s">
        <v>205</v>
      </c>
      <c r="E40" t="s">
        <v>204</v>
      </c>
      <c r="G40" s="281"/>
      <c r="H40" s="279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80"/>
      <c r="W40" s="279"/>
      <c r="X40" s="278" t="s">
        <v>203</v>
      </c>
      <c r="Y40" s="228"/>
      <c r="Z40" s="228"/>
      <c r="AA40" s="228"/>
    </row>
    <row r="41" spans="4:27" x14ac:dyDescent="0.25">
      <c r="D41">
        <v>2</v>
      </c>
      <c r="E41" s="274">
        <f>K46</f>
        <v>0</v>
      </c>
      <c r="G41" s="523" t="s">
        <v>196</v>
      </c>
      <c r="H41" s="264"/>
      <c r="I41" s="263" t="s">
        <v>202</v>
      </c>
      <c r="J41" s="262"/>
      <c r="K41" s="262"/>
      <c r="L41" s="262"/>
      <c r="M41" s="263" t="s">
        <v>201</v>
      </c>
      <c r="N41" s="262"/>
      <c r="O41" s="262"/>
      <c r="P41" s="262"/>
      <c r="Q41" s="277"/>
      <c r="R41" s="264"/>
      <c r="S41" s="264"/>
      <c r="T41" s="264"/>
      <c r="U41" s="277"/>
      <c r="V41" s="264"/>
      <c r="W41" s="264"/>
      <c r="X41" s="276"/>
      <c r="Y41" s="228"/>
      <c r="Z41" s="228"/>
      <c r="AA41" s="228"/>
    </row>
    <row r="42" spans="4:27" x14ac:dyDescent="0.25">
      <c r="D42">
        <v>3</v>
      </c>
      <c r="E42" s="274">
        <f>O46</f>
        <v>0</v>
      </c>
      <c r="G42" s="524"/>
      <c r="H42" s="227" t="s">
        <v>191</v>
      </c>
      <c r="I42" s="258" t="s">
        <v>190</v>
      </c>
      <c r="J42" s="258" t="s">
        <v>189</v>
      </c>
      <c r="K42" s="258" t="s">
        <v>188</v>
      </c>
      <c r="L42" s="257" t="s">
        <v>187</v>
      </c>
      <c r="M42" s="258" t="s">
        <v>190</v>
      </c>
      <c r="N42" s="258" t="s">
        <v>189</v>
      </c>
      <c r="O42" s="258" t="s">
        <v>188</v>
      </c>
      <c r="P42" s="257" t="s">
        <v>187</v>
      </c>
      <c r="Q42" s="257"/>
      <c r="R42" s="257"/>
      <c r="S42" s="257"/>
      <c r="T42" s="257"/>
      <c r="U42" s="257"/>
      <c r="V42" s="257"/>
      <c r="W42" s="257"/>
      <c r="X42" s="269"/>
      <c r="Y42" s="218"/>
      <c r="Z42" s="228"/>
      <c r="AA42" s="228"/>
    </row>
    <row r="43" spans="4:27" x14ac:dyDescent="0.25">
      <c r="D43">
        <v>4</v>
      </c>
      <c r="E43" s="274">
        <f>K57</f>
        <v>0</v>
      </c>
      <c r="G43" s="524"/>
      <c r="H43" s="227" t="s">
        <v>186</v>
      </c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68"/>
      <c r="Y43" s="218"/>
      <c r="Z43" s="228"/>
      <c r="AA43" s="228"/>
    </row>
    <row r="44" spans="4:27" x14ac:dyDescent="0.25">
      <c r="D44">
        <v>5</v>
      </c>
      <c r="E44" s="274">
        <f>O57</f>
        <v>0</v>
      </c>
      <c r="G44" s="524"/>
      <c r="H44" s="227" t="s">
        <v>184</v>
      </c>
      <c r="I44" s="224">
        <v>0</v>
      </c>
      <c r="J44" s="251">
        <v>0</v>
      </c>
      <c r="K44" s="224">
        <v>0</v>
      </c>
      <c r="L44" s="224">
        <v>0</v>
      </c>
      <c r="M44" s="224">
        <v>0</v>
      </c>
      <c r="N44" s="224">
        <v>0</v>
      </c>
      <c r="O44" s="224">
        <v>0</v>
      </c>
      <c r="P44" s="224">
        <v>0</v>
      </c>
      <c r="Q44" s="224"/>
      <c r="R44" s="224"/>
      <c r="S44" s="224"/>
      <c r="T44" s="224"/>
      <c r="U44" s="224"/>
      <c r="V44" s="224"/>
      <c r="W44" s="224"/>
      <c r="X44" s="268"/>
      <c r="Y44" s="218"/>
      <c r="Z44" s="228"/>
      <c r="AA44" s="228"/>
    </row>
    <row r="45" spans="4:27" x14ac:dyDescent="0.25">
      <c r="D45">
        <v>6</v>
      </c>
      <c r="E45" s="274">
        <f>S57</f>
        <v>0</v>
      </c>
      <c r="G45" s="524"/>
      <c r="H45" s="236" t="s">
        <v>182</v>
      </c>
      <c r="I45" s="249">
        <v>20</v>
      </c>
      <c r="J45" s="238" t="s">
        <v>181</v>
      </c>
      <c r="K45" s="233"/>
      <c r="L45" s="233"/>
      <c r="M45" s="249">
        <v>8</v>
      </c>
      <c r="N45" s="238" t="s">
        <v>181</v>
      </c>
      <c r="O45" s="233"/>
      <c r="P45" s="233"/>
      <c r="Q45" s="249"/>
      <c r="R45" s="275"/>
      <c r="S45" s="233"/>
      <c r="T45" s="233"/>
      <c r="U45" s="249"/>
      <c r="V45" s="275"/>
      <c r="W45" s="233"/>
      <c r="X45" s="267"/>
      <c r="Y45" s="218"/>
      <c r="Z45" s="228"/>
      <c r="AA45" s="228"/>
    </row>
    <row r="46" spans="4:27" x14ac:dyDescent="0.25">
      <c r="D46">
        <v>7</v>
      </c>
      <c r="E46" s="274">
        <f>W57</f>
        <v>0</v>
      </c>
      <c r="G46" s="524"/>
      <c r="H46" s="227" t="s">
        <v>179</v>
      </c>
      <c r="I46" s="244">
        <v>0</v>
      </c>
      <c r="J46" s="224"/>
      <c r="K46" s="222">
        <f>SUM(I44:L44)</f>
        <v>0</v>
      </c>
      <c r="L46" s="222"/>
      <c r="M46" s="244">
        <v>0</v>
      </c>
      <c r="N46" s="224"/>
      <c r="O46" s="222">
        <f>SUM(M44:P44)</f>
        <v>0</v>
      </c>
      <c r="P46" s="222"/>
      <c r="Q46" s="244"/>
      <c r="R46" s="224"/>
      <c r="S46" s="222"/>
      <c r="T46" s="222"/>
      <c r="U46" s="244"/>
      <c r="V46" s="224"/>
      <c r="W46" s="222"/>
      <c r="X46" s="223"/>
      <c r="Y46" s="218"/>
      <c r="Z46" s="228"/>
      <c r="AA46" s="228"/>
    </row>
    <row r="47" spans="4:27" x14ac:dyDescent="0.25">
      <c r="D47">
        <v>8</v>
      </c>
      <c r="E47" s="274">
        <f>K68</f>
        <v>0</v>
      </c>
      <c r="G47" s="524"/>
      <c r="H47" s="236" t="s">
        <v>176</v>
      </c>
      <c r="I47" s="242">
        <f>ROUND(K46/I45,2)</f>
        <v>0</v>
      </c>
      <c r="J47" s="234"/>
      <c r="K47" s="233"/>
      <c r="L47" s="233"/>
      <c r="M47" s="242">
        <f>ROUND(O46/M45,2)</f>
        <v>0</v>
      </c>
      <c r="N47" s="234"/>
      <c r="O47" s="233"/>
      <c r="P47" s="233"/>
      <c r="Q47" s="242"/>
      <c r="R47" s="234"/>
      <c r="S47" s="233"/>
      <c r="T47" s="233"/>
      <c r="U47" s="242"/>
      <c r="V47" s="234"/>
      <c r="W47" s="233"/>
      <c r="X47" s="267"/>
      <c r="Y47" s="218"/>
      <c r="Z47" s="228"/>
      <c r="AA47" s="228"/>
    </row>
    <row r="48" spans="4:27" x14ac:dyDescent="0.25">
      <c r="D48">
        <v>9</v>
      </c>
      <c r="E48" s="274">
        <f>O68</f>
        <v>0</v>
      </c>
      <c r="G48" s="524"/>
      <c r="H48" s="227" t="s">
        <v>174</v>
      </c>
      <c r="I48" s="224" t="e">
        <f>ROUND(K46/I46,2)</f>
        <v>#DIV/0!</v>
      </c>
      <c r="J48" s="224"/>
      <c r="K48" s="222"/>
      <c r="L48" s="222"/>
      <c r="M48" s="224" t="e">
        <f>ROUND(O46/M46,2)</f>
        <v>#DIV/0!</v>
      </c>
      <c r="N48" s="224"/>
      <c r="O48" s="222"/>
      <c r="P48" s="222"/>
      <c r="Q48" s="224"/>
      <c r="R48" s="224"/>
      <c r="S48" s="222"/>
      <c r="T48" s="222"/>
      <c r="U48" s="224"/>
      <c r="V48" s="224"/>
      <c r="W48" s="222"/>
      <c r="X48" s="223"/>
      <c r="Y48" s="218"/>
      <c r="Z48" s="228"/>
      <c r="AA48" s="228"/>
    </row>
    <row r="49" spans="4:27" x14ac:dyDescent="0.25">
      <c r="D49" t="s">
        <v>222</v>
      </c>
      <c r="G49" s="524"/>
      <c r="H49" s="236" t="s">
        <v>172</v>
      </c>
      <c r="I49" s="235">
        <v>0</v>
      </c>
      <c r="J49" s="233"/>
      <c r="K49" s="233"/>
      <c r="L49" s="233"/>
      <c r="M49" s="235">
        <v>0</v>
      </c>
      <c r="N49" s="233"/>
      <c r="O49" s="233"/>
      <c r="P49" s="233"/>
      <c r="Q49" s="234"/>
      <c r="R49" s="233"/>
      <c r="S49" s="233"/>
      <c r="T49" s="233"/>
      <c r="U49" s="234"/>
      <c r="V49" s="233"/>
      <c r="W49" s="233"/>
      <c r="X49" s="267"/>
      <c r="Y49" s="218"/>
      <c r="Z49" s="228"/>
      <c r="AA49" s="228"/>
    </row>
    <row r="50" spans="4:27" x14ac:dyDescent="0.25">
      <c r="D50" t="s">
        <v>251</v>
      </c>
      <c r="G50" s="525"/>
      <c r="H50" s="227" t="s">
        <v>169</v>
      </c>
      <c r="I50" s="224"/>
      <c r="J50" s="226" t="s">
        <v>168</v>
      </c>
      <c r="K50" s="225"/>
      <c r="L50" s="222"/>
      <c r="M50" s="224"/>
      <c r="N50" s="226" t="s">
        <v>168</v>
      </c>
      <c r="O50" s="225"/>
      <c r="P50" s="222"/>
      <c r="Q50" s="224"/>
      <c r="R50" s="222"/>
      <c r="S50" s="222"/>
      <c r="T50" s="222"/>
      <c r="U50" s="224"/>
      <c r="V50" s="222"/>
      <c r="W50" s="222"/>
      <c r="X50" s="223"/>
      <c r="Y50" s="218"/>
      <c r="Z50" s="228"/>
      <c r="AA50" s="228"/>
    </row>
    <row r="51" spans="4:27" ht="19" x14ac:dyDescent="0.25">
      <c r="G51" s="265"/>
      <c r="H51" s="272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73"/>
      <c r="W51" s="272"/>
      <c r="X51" s="271"/>
      <c r="Y51" s="218"/>
      <c r="Z51" s="228"/>
      <c r="AA51" s="228"/>
    </row>
    <row r="52" spans="4:27" x14ac:dyDescent="0.25">
      <c r="G52" s="523" t="s">
        <v>196</v>
      </c>
      <c r="H52" s="264"/>
      <c r="I52" s="263" t="s">
        <v>200</v>
      </c>
      <c r="J52" s="262"/>
      <c r="K52" s="262"/>
      <c r="L52" s="262"/>
      <c r="M52" s="263" t="s">
        <v>199</v>
      </c>
      <c r="N52" s="262"/>
      <c r="O52" s="262"/>
      <c r="P52" s="262"/>
      <c r="Q52" s="263" t="s">
        <v>198</v>
      </c>
      <c r="R52" s="262"/>
      <c r="S52" s="262"/>
      <c r="T52" s="262"/>
      <c r="U52" s="263" t="s">
        <v>197</v>
      </c>
      <c r="V52" s="262"/>
      <c r="W52" s="262"/>
      <c r="X52" s="270"/>
      <c r="Y52" s="218"/>
      <c r="Z52" s="228"/>
      <c r="AA52" s="228"/>
    </row>
    <row r="53" spans="4:27" x14ac:dyDescent="0.25">
      <c r="G53" s="524"/>
      <c r="H53" s="227" t="s">
        <v>191</v>
      </c>
      <c r="I53" s="258" t="s">
        <v>190</v>
      </c>
      <c r="J53" s="258" t="s">
        <v>189</v>
      </c>
      <c r="K53" s="258" t="s">
        <v>188</v>
      </c>
      <c r="L53" s="257" t="s">
        <v>187</v>
      </c>
      <c r="M53" s="258" t="s">
        <v>190</v>
      </c>
      <c r="N53" s="258" t="s">
        <v>189</v>
      </c>
      <c r="O53" s="258" t="s">
        <v>188</v>
      </c>
      <c r="P53" s="257" t="s">
        <v>187</v>
      </c>
      <c r="Q53" s="258" t="s">
        <v>190</v>
      </c>
      <c r="R53" s="258" t="s">
        <v>189</v>
      </c>
      <c r="S53" s="258" t="s">
        <v>188</v>
      </c>
      <c r="T53" s="257" t="s">
        <v>187</v>
      </c>
      <c r="U53" s="258" t="s">
        <v>190</v>
      </c>
      <c r="V53" s="258" t="s">
        <v>189</v>
      </c>
      <c r="W53" s="258" t="s">
        <v>188</v>
      </c>
      <c r="X53" s="269" t="s">
        <v>187</v>
      </c>
      <c r="Y53" s="218"/>
      <c r="Z53" s="228"/>
      <c r="AA53" s="228"/>
    </row>
    <row r="54" spans="4:27" x14ac:dyDescent="0.25">
      <c r="G54" s="524"/>
      <c r="H54" s="227" t="s">
        <v>186</v>
      </c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68"/>
      <c r="Y54" s="218"/>
      <c r="Z54" s="228"/>
      <c r="AA54" s="228"/>
    </row>
    <row r="55" spans="4:27" x14ac:dyDescent="0.25">
      <c r="G55" s="524"/>
      <c r="H55" s="227" t="s">
        <v>184</v>
      </c>
      <c r="I55" s="224">
        <v>0</v>
      </c>
      <c r="J55" s="224">
        <v>0</v>
      </c>
      <c r="K55" s="224">
        <v>0</v>
      </c>
      <c r="L55" s="224">
        <v>0</v>
      </c>
      <c r="M55" s="224">
        <v>0</v>
      </c>
      <c r="N55" s="224">
        <v>0</v>
      </c>
      <c r="O55" s="224">
        <v>0</v>
      </c>
      <c r="P55" s="224">
        <v>0</v>
      </c>
      <c r="Q55" s="224">
        <v>0</v>
      </c>
      <c r="R55" s="224">
        <v>0</v>
      </c>
      <c r="S55" s="224">
        <v>0</v>
      </c>
      <c r="T55" s="224">
        <v>0</v>
      </c>
      <c r="U55" s="224">
        <v>0</v>
      </c>
      <c r="V55" s="224">
        <v>0</v>
      </c>
      <c r="W55" s="224">
        <v>0</v>
      </c>
      <c r="X55" s="268">
        <v>0</v>
      </c>
      <c r="Y55" s="218"/>
      <c r="Z55" s="228"/>
      <c r="AA55" s="228"/>
    </row>
    <row r="56" spans="4:27" x14ac:dyDescent="0.25">
      <c r="G56" s="524"/>
      <c r="H56" s="236" t="s">
        <v>182</v>
      </c>
      <c r="I56" s="249">
        <v>14</v>
      </c>
      <c r="J56" s="238" t="s">
        <v>181</v>
      </c>
      <c r="K56" s="233"/>
      <c r="L56" s="233"/>
      <c r="M56" s="249">
        <v>14</v>
      </c>
      <c r="N56" s="238" t="s">
        <v>181</v>
      </c>
      <c r="O56" s="233"/>
      <c r="P56" s="233"/>
      <c r="Q56" s="249">
        <v>13</v>
      </c>
      <c r="R56" s="238" t="s">
        <v>181</v>
      </c>
      <c r="S56" s="233"/>
      <c r="T56" s="233"/>
      <c r="U56" s="249">
        <v>22</v>
      </c>
      <c r="V56" s="238" t="s">
        <v>181</v>
      </c>
      <c r="W56" s="233"/>
      <c r="X56" s="267"/>
      <c r="Y56" s="218"/>
      <c r="Z56" s="228"/>
      <c r="AA56" s="228"/>
    </row>
    <row r="57" spans="4:27" x14ac:dyDescent="0.25">
      <c r="G57" s="524"/>
      <c r="H57" s="227" t="s">
        <v>179</v>
      </c>
      <c r="I57" s="244">
        <v>0</v>
      </c>
      <c r="J57" s="224"/>
      <c r="K57" s="222">
        <f>SUM(I55:L55)</f>
        <v>0</v>
      </c>
      <c r="L57" s="222"/>
      <c r="M57" s="244">
        <v>0</v>
      </c>
      <c r="N57" s="224"/>
      <c r="O57" s="222">
        <f>SUM(M55:P55)</f>
        <v>0</v>
      </c>
      <c r="P57" s="222"/>
      <c r="Q57" s="244">
        <v>0</v>
      </c>
      <c r="R57" s="224"/>
      <c r="S57" s="222">
        <f>SUM(Q55:T55)</f>
        <v>0</v>
      </c>
      <c r="T57" s="222"/>
      <c r="U57" s="244">
        <v>0</v>
      </c>
      <c r="V57" s="224"/>
      <c r="W57" s="222">
        <f>SUM(U55:X55)</f>
        <v>0</v>
      </c>
      <c r="X57" s="223"/>
      <c r="Y57" s="218"/>
      <c r="Z57" s="228"/>
      <c r="AA57" s="228"/>
    </row>
    <row r="58" spans="4:27" x14ac:dyDescent="0.25">
      <c r="G58" s="524"/>
      <c r="H58" s="236" t="s">
        <v>176</v>
      </c>
      <c r="I58" s="242">
        <f>ROUND(K57/I56,2)</f>
        <v>0</v>
      </c>
      <c r="J58" s="234"/>
      <c r="K58" s="233"/>
      <c r="L58" s="233"/>
      <c r="M58" s="242">
        <f>ROUND(O57/M56,2)</f>
        <v>0</v>
      </c>
      <c r="N58" s="234"/>
      <c r="O58" s="233"/>
      <c r="P58" s="233"/>
      <c r="Q58" s="242">
        <f>ROUND(S57/Q56,2)</f>
        <v>0</v>
      </c>
      <c r="R58" s="234"/>
      <c r="S58" s="233"/>
      <c r="T58" s="233"/>
      <c r="U58" s="242">
        <f>ROUND(W57/U56,2)</f>
        <v>0</v>
      </c>
      <c r="V58" s="234"/>
      <c r="W58" s="233"/>
      <c r="X58" s="267"/>
      <c r="Y58" s="218"/>
      <c r="Z58" s="228"/>
      <c r="AA58" s="228"/>
    </row>
    <row r="59" spans="4:27" x14ac:dyDescent="0.25">
      <c r="G59" s="524"/>
      <c r="H59" s="227" t="s">
        <v>174</v>
      </c>
      <c r="I59" s="224" t="e">
        <f>ROUND(K57/I57,2)</f>
        <v>#DIV/0!</v>
      </c>
      <c r="J59" s="224"/>
      <c r="K59" s="222"/>
      <c r="L59" s="222"/>
      <c r="M59" s="224" t="e">
        <f>ROUND(O57/M57,2)</f>
        <v>#DIV/0!</v>
      </c>
      <c r="N59" s="224"/>
      <c r="O59" s="222"/>
      <c r="P59" s="222"/>
      <c r="Q59" s="224" t="e">
        <f>ROUND(S57/Q57,2)</f>
        <v>#DIV/0!</v>
      </c>
      <c r="R59" s="224"/>
      <c r="S59" s="222"/>
      <c r="T59" s="222"/>
      <c r="U59" s="224" t="e">
        <f>ROUND(W57/U57,2)</f>
        <v>#DIV/0!</v>
      </c>
      <c r="V59" s="224"/>
      <c r="W59" s="222"/>
      <c r="X59" s="223"/>
      <c r="Y59" s="218"/>
      <c r="Z59" s="228"/>
      <c r="AA59" s="228"/>
    </row>
    <row r="60" spans="4:27" x14ac:dyDescent="0.25">
      <c r="G60" s="524"/>
      <c r="H60" s="236" t="s">
        <v>172</v>
      </c>
      <c r="I60" s="235">
        <v>0</v>
      </c>
      <c r="J60" s="233"/>
      <c r="K60" s="233"/>
      <c r="L60" s="233"/>
      <c r="M60" s="235">
        <v>0</v>
      </c>
      <c r="N60" s="233"/>
      <c r="O60" s="233"/>
      <c r="P60" s="233"/>
      <c r="Q60" s="235">
        <v>0</v>
      </c>
      <c r="R60" s="233"/>
      <c r="S60" s="233"/>
      <c r="T60" s="233"/>
      <c r="U60" s="235">
        <v>0</v>
      </c>
      <c r="V60" s="233"/>
      <c r="W60" s="233"/>
      <c r="X60" s="267"/>
      <c r="Y60" s="218"/>
      <c r="Z60" s="228"/>
      <c r="AA60" s="228"/>
    </row>
    <row r="61" spans="4:27" x14ac:dyDescent="0.25">
      <c r="G61" s="525"/>
      <c r="H61" s="227" t="s">
        <v>169</v>
      </c>
      <c r="I61" s="224"/>
      <c r="J61" s="226" t="s">
        <v>168</v>
      </c>
      <c r="K61" s="225"/>
      <c r="L61" s="222"/>
      <c r="M61" s="224"/>
      <c r="N61" s="226" t="s">
        <v>168</v>
      </c>
      <c r="O61" s="225"/>
      <c r="P61" s="222"/>
      <c r="Q61" s="224"/>
      <c r="R61" s="552" t="s">
        <v>168</v>
      </c>
      <c r="S61" s="552"/>
      <c r="T61" s="222"/>
      <c r="U61" s="224"/>
      <c r="V61" s="552" t="s">
        <v>168</v>
      </c>
      <c r="W61" s="552"/>
      <c r="X61" s="223"/>
      <c r="Y61" s="218"/>
      <c r="Z61" s="228"/>
      <c r="AA61" s="228"/>
    </row>
    <row r="62" spans="4:27" x14ac:dyDescent="0.25">
      <c r="G62" s="265"/>
      <c r="H62" s="266"/>
      <c r="I62" s="265"/>
      <c r="J62" s="265"/>
      <c r="K62" s="265"/>
      <c r="L62" s="265"/>
      <c r="M62" s="222"/>
      <c r="N62" s="222"/>
      <c r="O62" s="222"/>
      <c r="P62" s="222"/>
      <c r="Q62" s="265"/>
      <c r="R62" s="265"/>
      <c r="S62" s="265"/>
      <c r="T62" s="265"/>
      <c r="U62" s="265"/>
      <c r="V62" s="265"/>
      <c r="W62" s="265"/>
      <c r="X62" s="265"/>
      <c r="Y62" s="218"/>
      <c r="Z62" s="228"/>
      <c r="AA62" s="228"/>
    </row>
    <row r="63" spans="4:27" x14ac:dyDescent="0.25">
      <c r="G63" s="523" t="s">
        <v>196</v>
      </c>
      <c r="H63" s="264"/>
      <c r="I63" s="263" t="s">
        <v>195</v>
      </c>
      <c r="J63" s="262"/>
      <c r="K63" s="262"/>
      <c r="L63" s="262"/>
      <c r="M63" s="263" t="s">
        <v>194</v>
      </c>
      <c r="N63" s="262"/>
      <c r="O63" s="262"/>
      <c r="P63" s="262"/>
      <c r="Q63" s="263" t="s">
        <v>193</v>
      </c>
      <c r="R63" s="262"/>
      <c r="S63" s="262"/>
      <c r="T63" s="262"/>
      <c r="U63" s="261" t="s">
        <v>192</v>
      </c>
      <c r="V63" s="260"/>
      <c r="W63" s="260"/>
      <c r="X63" s="259"/>
      <c r="Y63" s="218"/>
      <c r="Z63" s="228"/>
      <c r="AA63" s="228"/>
    </row>
    <row r="64" spans="4:27" x14ac:dyDescent="0.25">
      <c r="G64" s="524"/>
      <c r="H64" s="227" t="s">
        <v>191</v>
      </c>
      <c r="I64" s="258" t="s">
        <v>190</v>
      </c>
      <c r="J64" s="258" t="s">
        <v>189</v>
      </c>
      <c r="K64" s="258" t="s">
        <v>188</v>
      </c>
      <c r="L64" s="257" t="s">
        <v>187</v>
      </c>
      <c r="M64" s="257"/>
      <c r="N64" s="257"/>
      <c r="O64" s="257"/>
      <c r="P64" s="257"/>
      <c r="Q64" s="256"/>
      <c r="R64" s="255"/>
      <c r="S64" s="254"/>
      <c r="T64" s="254"/>
      <c r="U64" s="253" t="s">
        <v>190</v>
      </c>
      <c r="V64" s="253" t="s">
        <v>189</v>
      </c>
      <c r="W64" s="253" t="s">
        <v>188</v>
      </c>
      <c r="X64" s="252" t="s">
        <v>187</v>
      </c>
      <c r="Y64" s="218"/>
      <c r="Z64" s="228"/>
      <c r="AA64" s="228"/>
    </row>
    <row r="65" spans="4:27" x14ac:dyDescent="0.25">
      <c r="G65" s="524"/>
      <c r="H65" s="227" t="s">
        <v>186</v>
      </c>
      <c r="I65" s="224"/>
      <c r="J65" s="224"/>
      <c r="K65" s="224"/>
      <c r="L65" s="224"/>
      <c r="M65" s="224"/>
      <c r="N65" s="224"/>
      <c r="O65" s="224"/>
      <c r="P65" s="224"/>
      <c r="Q65" s="546" t="s">
        <v>185</v>
      </c>
      <c r="R65" s="547"/>
      <c r="S65" s="548" t="str">
        <f>'[3]2017.02-2017.08'!T68</f>
        <v>13</v>
      </c>
      <c r="T65" s="549"/>
      <c r="U65" s="221"/>
      <c r="V65" s="221"/>
      <c r="W65" s="221"/>
      <c r="X65" s="250"/>
      <c r="Y65" s="218"/>
      <c r="Z65" s="228"/>
      <c r="AA65" s="228"/>
    </row>
    <row r="66" spans="4:27" x14ac:dyDescent="0.25">
      <c r="G66" s="524"/>
      <c r="H66" s="227" t="s">
        <v>184</v>
      </c>
      <c r="I66" s="224">
        <v>0</v>
      </c>
      <c r="J66" s="251">
        <v>0</v>
      </c>
      <c r="K66" s="224">
        <v>0</v>
      </c>
      <c r="L66" s="224"/>
      <c r="M66" s="224"/>
      <c r="N66" s="224"/>
      <c r="O66" s="224"/>
      <c r="P66" s="224"/>
      <c r="Q66" s="528" t="s">
        <v>183</v>
      </c>
      <c r="R66" s="529"/>
      <c r="S66" s="550">
        <f>SUM(AA72)</f>
        <v>1.32</v>
      </c>
      <c r="T66" s="551"/>
      <c r="U66" s="221">
        <f>I55+M55+Q55+U55+I66</f>
        <v>0</v>
      </c>
      <c r="V66" s="221">
        <f>J55+N55+R55+V55+J66</f>
        <v>0</v>
      </c>
      <c r="W66" s="221">
        <f>K55+O55+S55+W55+K66</f>
        <v>0</v>
      </c>
      <c r="X66" s="250">
        <f>L55+P55+T55+X55+L66</f>
        <v>0</v>
      </c>
      <c r="Y66" s="218"/>
      <c r="Z66" s="228"/>
      <c r="AA66" s="228"/>
    </row>
    <row r="67" spans="4:27" x14ac:dyDescent="0.25">
      <c r="G67" s="524"/>
      <c r="H67" s="236" t="s">
        <v>182</v>
      </c>
      <c r="I67" s="249">
        <v>21</v>
      </c>
      <c r="J67" s="238" t="s">
        <v>181</v>
      </c>
      <c r="K67" s="248"/>
      <c r="L67" s="248"/>
      <c r="M67" s="247"/>
      <c r="N67" s="238" t="s">
        <v>181</v>
      </c>
      <c r="O67" s="233"/>
      <c r="P67" s="233"/>
      <c r="Q67" s="238"/>
      <c r="R67" s="237"/>
      <c r="S67" s="233"/>
      <c r="T67" s="233"/>
      <c r="U67" s="246">
        <f>I56+M56+Q56+U56+I67</f>
        <v>84</v>
      </c>
      <c r="V67" s="245" t="s">
        <v>181</v>
      </c>
      <c r="W67" s="231"/>
      <c r="X67" s="230"/>
      <c r="Y67" s="218"/>
      <c r="Z67" s="229" t="s">
        <v>180</v>
      </c>
      <c r="AA67" s="228">
        <v>0</v>
      </c>
    </row>
    <row r="68" spans="4:27" x14ac:dyDescent="0.25">
      <c r="G68" s="524"/>
      <c r="H68" s="227" t="s">
        <v>179</v>
      </c>
      <c r="I68" s="244">
        <v>0</v>
      </c>
      <c r="J68" s="224"/>
      <c r="K68" s="222">
        <f>SUM(I66:L66)</f>
        <v>0</v>
      </c>
      <c r="L68" s="222"/>
      <c r="M68" s="244"/>
      <c r="N68" s="224"/>
      <c r="O68" s="222"/>
      <c r="P68" s="222"/>
      <c r="Q68" s="546" t="s">
        <v>178</v>
      </c>
      <c r="R68" s="547"/>
      <c r="S68" s="548">
        <f>W68/S65</f>
        <v>0</v>
      </c>
      <c r="T68" s="549"/>
      <c r="U68" s="243">
        <f>I57+M57+Q57+U57+I68</f>
        <v>0</v>
      </c>
      <c r="V68" s="221"/>
      <c r="W68" s="220">
        <f>SUM(U66:X66)</f>
        <v>0</v>
      </c>
      <c r="X68" s="219"/>
      <c r="Y68" s="218"/>
      <c r="Z68" s="229" t="s">
        <v>177</v>
      </c>
      <c r="AA68" s="228">
        <v>6</v>
      </c>
    </row>
    <row r="69" spans="4:27" x14ac:dyDescent="0.25">
      <c r="G69" s="524"/>
      <c r="H69" s="236" t="s">
        <v>176</v>
      </c>
      <c r="I69" s="242">
        <f>ROUND(K68/I67,2)</f>
        <v>0</v>
      </c>
      <c r="J69" s="234"/>
      <c r="K69" s="233"/>
      <c r="L69" s="233"/>
      <c r="M69" s="242" t="e">
        <f>ROUND(O68/M67,2)</f>
        <v>#DIV/0!</v>
      </c>
      <c r="N69" s="234"/>
      <c r="O69" s="233"/>
      <c r="P69" s="233"/>
      <c r="Q69" s="241"/>
      <c r="R69" s="240"/>
      <c r="S69" s="222"/>
      <c r="T69" s="222"/>
      <c r="U69" s="239">
        <f>ROUND(W68/U67,2)</f>
        <v>0</v>
      </c>
      <c r="V69" s="232"/>
      <c r="W69" s="231"/>
      <c r="X69" s="230"/>
      <c r="Y69" s="218"/>
      <c r="Z69" s="229" t="s">
        <v>175</v>
      </c>
      <c r="AA69" s="228">
        <v>0</v>
      </c>
    </row>
    <row r="70" spans="4:27" x14ac:dyDescent="0.25">
      <c r="G70" s="524"/>
      <c r="H70" s="227" t="s">
        <v>174</v>
      </c>
      <c r="I70" s="224" t="e">
        <f>ROUND(K68/I68,2)</f>
        <v>#DIV/0!</v>
      </c>
      <c r="J70" s="224"/>
      <c r="K70" s="222"/>
      <c r="L70" s="222"/>
      <c r="M70" s="224" t="e">
        <f>ROUND(O68/M68,2)</f>
        <v>#DIV/0!</v>
      </c>
      <c r="N70" s="224"/>
      <c r="O70" s="222"/>
      <c r="P70" s="222"/>
      <c r="Q70" s="238"/>
      <c r="R70" s="237"/>
      <c r="S70" s="233"/>
      <c r="T70" s="233"/>
      <c r="U70" s="221" t="e">
        <f>ROUND(W68/U68,2)</f>
        <v>#DIV/0!</v>
      </c>
      <c r="V70" s="221"/>
      <c r="W70" s="220"/>
      <c r="X70" s="219"/>
      <c r="Y70" s="218"/>
      <c r="Z70" s="229" t="s">
        <v>173</v>
      </c>
      <c r="AA70" s="228">
        <v>0.45</v>
      </c>
    </row>
    <row r="71" spans="4:27" x14ac:dyDescent="0.25">
      <c r="G71" s="524"/>
      <c r="H71" s="236" t="s">
        <v>172</v>
      </c>
      <c r="I71" s="235">
        <v>0</v>
      </c>
      <c r="J71" s="233"/>
      <c r="K71" s="233"/>
      <c r="L71" s="233"/>
      <c r="M71" s="234"/>
      <c r="N71" s="233"/>
      <c r="O71" s="233"/>
      <c r="P71" s="233"/>
      <c r="Q71" s="546" t="s">
        <v>171</v>
      </c>
      <c r="R71" s="547"/>
      <c r="S71" s="548">
        <f>SUM(W68/S66)</f>
        <v>0</v>
      </c>
      <c r="T71" s="549"/>
      <c r="U71" s="232"/>
      <c r="V71" s="231"/>
      <c r="W71" s="231"/>
      <c r="X71" s="230"/>
      <c r="Y71" s="218"/>
      <c r="Z71" s="229" t="s">
        <v>170</v>
      </c>
      <c r="AA71" s="228">
        <v>0.15</v>
      </c>
    </row>
    <row r="72" spans="4:27" x14ac:dyDescent="0.25">
      <c r="G72" s="525"/>
      <c r="H72" s="227" t="s">
        <v>169</v>
      </c>
      <c r="I72" s="224"/>
      <c r="J72" s="226" t="s">
        <v>168</v>
      </c>
      <c r="K72" s="225"/>
      <c r="L72" s="222"/>
      <c r="M72" s="224"/>
      <c r="N72" s="225"/>
      <c r="O72" s="225"/>
      <c r="P72" s="222"/>
      <c r="Q72" s="224"/>
      <c r="R72" s="223"/>
      <c r="S72" s="222"/>
      <c r="T72" s="222"/>
      <c r="U72" s="221"/>
      <c r="V72" s="220"/>
      <c r="W72" s="220"/>
      <c r="X72" s="219"/>
      <c r="Y72" s="218"/>
      <c r="Z72" s="217"/>
      <c r="AA72" s="217">
        <f>AVERAGE(AA67:AA71)</f>
        <v>1.32</v>
      </c>
    </row>
    <row r="75" spans="4:27" ht="22" x14ac:dyDescent="0.25">
      <c r="G75" s="285" t="s">
        <v>209</v>
      </c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33"/>
      <c r="Z75" s="228"/>
      <c r="AA75" s="228"/>
    </row>
    <row r="76" spans="4:27" x14ac:dyDescent="0.25">
      <c r="D76" t="s">
        <v>240</v>
      </c>
      <c r="G76" s="283" t="s">
        <v>239</v>
      </c>
      <c r="H76" s="279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80"/>
      <c r="W76" s="279"/>
      <c r="X76" s="282" t="s">
        <v>227</v>
      </c>
      <c r="Y76" s="233"/>
      <c r="Z76" s="228"/>
      <c r="AA76" s="228"/>
    </row>
    <row r="77" spans="4:27" ht="19" x14ac:dyDescent="0.25">
      <c r="D77" t="s">
        <v>205</v>
      </c>
      <c r="E77" t="s">
        <v>225</v>
      </c>
      <c r="G77" s="281"/>
      <c r="H77" s="279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80"/>
      <c r="W77" s="279"/>
      <c r="X77" s="278" t="s">
        <v>203</v>
      </c>
      <c r="Y77" s="233"/>
      <c r="Z77" s="228"/>
      <c r="AA77" s="228"/>
    </row>
    <row r="78" spans="4:27" x14ac:dyDescent="0.25">
      <c r="D78">
        <v>2</v>
      </c>
      <c r="E78" s="274">
        <f>K83</f>
        <v>114.3</v>
      </c>
      <c r="G78" s="523" t="s">
        <v>228</v>
      </c>
      <c r="H78" s="264"/>
      <c r="I78" s="263" t="s">
        <v>202</v>
      </c>
      <c r="J78" s="262"/>
      <c r="K78" s="262"/>
      <c r="L78" s="262"/>
      <c r="M78" s="263" t="s">
        <v>201</v>
      </c>
      <c r="N78" s="262"/>
      <c r="O78" s="262"/>
      <c r="P78" s="262"/>
      <c r="Q78" s="306"/>
      <c r="R78" s="307"/>
      <c r="S78" s="307"/>
      <c r="T78" s="307"/>
      <c r="U78" s="306"/>
      <c r="V78" s="307"/>
      <c r="W78" s="307"/>
      <c r="X78" s="308"/>
      <c r="Y78" s="287"/>
      <c r="Z78" s="218"/>
      <c r="AA78" s="218"/>
    </row>
    <row r="79" spans="4:27" x14ac:dyDescent="0.25">
      <c r="D79">
        <v>3</v>
      </c>
      <c r="E79" s="274">
        <f>O83</f>
        <v>108.9</v>
      </c>
      <c r="G79" s="524"/>
      <c r="H79" s="227" t="s">
        <v>191</v>
      </c>
      <c r="I79" s="258" t="s">
        <v>229</v>
      </c>
      <c r="J79" s="258" t="s">
        <v>230</v>
      </c>
      <c r="K79" s="258" t="s">
        <v>231</v>
      </c>
      <c r="L79" s="258" t="s">
        <v>232</v>
      </c>
      <c r="M79" s="258" t="s">
        <v>229</v>
      </c>
      <c r="N79" s="258" t="s">
        <v>230</v>
      </c>
      <c r="O79" s="258" t="s">
        <v>231</v>
      </c>
      <c r="P79" s="258" t="s">
        <v>232</v>
      </c>
      <c r="Q79" s="309"/>
      <c r="R79" s="309"/>
      <c r="S79" s="309"/>
      <c r="T79" s="309"/>
      <c r="U79" s="309"/>
      <c r="V79" s="309"/>
      <c r="W79" s="309"/>
      <c r="X79" s="310"/>
      <c r="Y79" s="287"/>
      <c r="Z79" s="218"/>
      <c r="AA79" s="218"/>
    </row>
    <row r="80" spans="4:27" x14ac:dyDescent="0.25">
      <c r="D80">
        <v>4</v>
      </c>
      <c r="E80" s="274">
        <f>K94</f>
        <v>90.405000000000001</v>
      </c>
      <c r="G80" s="524"/>
      <c r="H80" s="227" t="s">
        <v>186</v>
      </c>
      <c r="I80" s="224"/>
      <c r="J80" s="224"/>
      <c r="K80" s="224"/>
      <c r="L80" s="224"/>
      <c r="M80" s="224"/>
      <c r="N80" s="224"/>
      <c r="O80" s="224"/>
      <c r="P80" s="224"/>
      <c r="Q80" s="311"/>
      <c r="R80" s="311"/>
      <c r="S80" s="311"/>
      <c r="T80" s="311"/>
      <c r="U80" s="311"/>
      <c r="V80" s="311"/>
      <c r="W80" s="311"/>
      <c r="X80" s="312"/>
      <c r="Y80" s="287"/>
      <c r="Z80" s="218"/>
      <c r="AA80" s="218"/>
    </row>
    <row r="81" spans="4:27" x14ac:dyDescent="0.25">
      <c r="D81">
        <v>5</v>
      </c>
      <c r="E81" s="274">
        <f>O94</f>
        <v>99.614999999999995</v>
      </c>
      <c r="G81" s="524"/>
      <c r="H81" s="227" t="s">
        <v>184</v>
      </c>
      <c r="I81" s="224"/>
      <c r="J81" s="251"/>
      <c r="K81" s="224"/>
      <c r="L81" s="224"/>
      <c r="M81" s="224"/>
      <c r="N81" s="224"/>
      <c r="O81" s="224"/>
      <c r="P81" s="224"/>
      <c r="Q81" s="311"/>
      <c r="R81" s="311"/>
      <c r="S81" s="311"/>
      <c r="T81" s="311"/>
      <c r="U81" s="311"/>
      <c r="V81" s="311"/>
      <c r="W81" s="311"/>
      <c r="X81" s="312"/>
      <c r="Y81" s="287"/>
      <c r="Z81" s="218"/>
      <c r="AA81" s="218"/>
    </row>
    <row r="82" spans="4:27" x14ac:dyDescent="0.25">
      <c r="D82">
        <v>6</v>
      </c>
      <c r="E82" s="274">
        <f>S94</f>
        <v>88.74</v>
      </c>
      <c r="G82" s="524"/>
      <c r="H82" s="236" t="s">
        <v>182</v>
      </c>
      <c r="I82" s="249"/>
      <c r="J82" s="313" t="s">
        <v>181</v>
      </c>
      <c r="K82" s="233"/>
      <c r="L82" s="233"/>
      <c r="M82" s="249"/>
      <c r="N82" s="296" t="s">
        <v>181</v>
      </c>
      <c r="O82" s="233"/>
      <c r="P82" s="233"/>
      <c r="Q82" s="314"/>
      <c r="R82" s="315"/>
      <c r="S82" s="287"/>
      <c r="T82" s="287"/>
      <c r="U82" s="314"/>
      <c r="V82" s="315"/>
      <c r="W82" s="287"/>
      <c r="X82" s="316"/>
      <c r="Y82" s="287"/>
      <c r="Z82" s="218"/>
      <c r="AA82" s="218"/>
    </row>
    <row r="83" spans="4:27" x14ac:dyDescent="0.25">
      <c r="D83">
        <v>7</v>
      </c>
      <c r="E83" s="274">
        <f>W94</f>
        <v>55.034999999999997</v>
      </c>
      <c r="G83" s="524"/>
      <c r="H83" s="317" t="s">
        <v>179</v>
      </c>
      <c r="I83" s="244"/>
      <c r="J83" s="224"/>
      <c r="K83" s="265">
        <v>114.3</v>
      </c>
      <c r="L83" s="222"/>
      <c r="M83" s="244"/>
      <c r="N83" s="224"/>
      <c r="O83" s="265">
        <v>108.9</v>
      </c>
      <c r="P83" s="222"/>
      <c r="Q83" s="318"/>
      <c r="R83" s="311"/>
      <c r="S83" s="265"/>
      <c r="T83" s="265"/>
      <c r="U83" s="318"/>
      <c r="V83" s="311"/>
      <c r="W83" s="265"/>
      <c r="X83" s="319"/>
      <c r="Y83" s="287"/>
      <c r="Z83" s="218"/>
      <c r="AA83" s="218"/>
    </row>
    <row r="84" spans="4:27" x14ac:dyDescent="0.25">
      <c r="D84">
        <v>8</v>
      </c>
      <c r="E84" s="274">
        <f>K105</f>
        <v>37.47</v>
      </c>
      <c r="G84" s="524"/>
      <c r="H84" s="236" t="s">
        <v>176</v>
      </c>
      <c r="I84" s="242" t="e">
        <f>ROUND(K83/I82,2)</f>
        <v>#DIV/0!</v>
      </c>
      <c r="J84" s="234"/>
      <c r="K84" s="233"/>
      <c r="L84" s="233"/>
      <c r="M84" s="242" t="e">
        <f>ROUND(O83/M82,2)</f>
        <v>#DIV/0!</v>
      </c>
      <c r="N84" s="234"/>
      <c r="O84" s="233"/>
      <c r="P84" s="233"/>
      <c r="Q84" s="320"/>
      <c r="R84" s="235"/>
      <c r="S84" s="287"/>
      <c r="T84" s="287"/>
      <c r="U84" s="320"/>
      <c r="V84" s="235"/>
      <c r="W84" s="287"/>
      <c r="X84" s="316"/>
      <c r="Y84" s="218"/>
      <c r="Z84" s="218"/>
      <c r="AA84" s="218"/>
    </row>
    <row r="85" spans="4:27" x14ac:dyDescent="0.25">
      <c r="D85">
        <v>9</v>
      </c>
      <c r="E85" s="274">
        <f>O105</f>
        <v>0</v>
      </c>
      <c r="G85" s="524"/>
      <c r="H85" s="317" t="s">
        <v>174</v>
      </c>
      <c r="I85" s="224" t="e">
        <f>ROUND(K83/I83,2)</f>
        <v>#DIV/0!</v>
      </c>
      <c r="J85" s="224"/>
      <c r="K85" s="222"/>
      <c r="L85" s="222"/>
      <c r="M85" s="224" t="e">
        <f>ROUND(O83/M83,2)</f>
        <v>#DIV/0!</v>
      </c>
      <c r="N85" s="224"/>
      <c r="O85" s="222"/>
      <c r="P85" s="222"/>
      <c r="Q85" s="311"/>
      <c r="R85" s="311"/>
      <c r="S85" s="265"/>
      <c r="T85" s="265"/>
      <c r="U85" s="311"/>
      <c r="V85" s="311"/>
      <c r="W85" s="265"/>
      <c r="X85" s="319"/>
      <c r="Y85" s="287"/>
      <c r="Z85" s="218"/>
      <c r="AA85" s="218"/>
    </row>
    <row r="86" spans="4:27" x14ac:dyDescent="0.25">
      <c r="D86" t="s">
        <v>222</v>
      </c>
      <c r="E86" s="274">
        <f>SUM(E78:E85)</f>
        <v>594.46500000000003</v>
      </c>
      <c r="G86" s="524"/>
      <c r="H86" s="236" t="s">
        <v>172</v>
      </c>
      <c r="I86" s="234"/>
      <c r="J86" s="233"/>
      <c r="K86" s="233"/>
      <c r="L86" s="233"/>
      <c r="M86" s="234"/>
      <c r="N86" s="233"/>
      <c r="O86" s="233"/>
      <c r="P86" s="233"/>
      <c r="Q86" s="235"/>
      <c r="R86" s="287"/>
      <c r="S86" s="287"/>
      <c r="T86" s="287"/>
      <c r="U86" s="235"/>
      <c r="V86" s="287"/>
      <c r="W86" s="287"/>
      <c r="X86" s="316"/>
      <c r="Y86" s="287"/>
      <c r="Z86" s="218"/>
      <c r="AA86" s="218"/>
    </row>
    <row r="87" spans="4:27" x14ac:dyDescent="0.25">
      <c r="D87" t="s">
        <v>241</v>
      </c>
      <c r="E87" s="274">
        <f>SUM(E80:E84)</f>
        <v>371.26499999999999</v>
      </c>
      <c r="G87" s="525"/>
      <c r="H87" s="227" t="s">
        <v>169</v>
      </c>
      <c r="I87" s="224"/>
      <c r="J87" s="321" t="e">
        <f>SUM(K83/'[4]2017.02-2017.08'!H83)</f>
        <v>#DIV/0!</v>
      </c>
      <c r="K87" s="225"/>
      <c r="L87" s="222"/>
      <c r="M87" s="224"/>
      <c r="N87" s="322" t="e">
        <f>SUM(O83/'[4]2017.02-2017.08'!L83)</f>
        <v>#DIV/0!</v>
      </c>
      <c r="O87" s="225"/>
      <c r="P87" s="222"/>
      <c r="Q87" s="311"/>
      <c r="R87" s="265"/>
      <c r="S87" s="265"/>
      <c r="T87" s="265"/>
      <c r="U87" s="311"/>
      <c r="V87" s="265"/>
      <c r="W87" s="265"/>
      <c r="X87" s="319"/>
      <c r="Y87" s="287"/>
      <c r="Z87" s="218"/>
      <c r="AA87" s="218"/>
    </row>
    <row r="88" spans="4:27" ht="19" x14ac:dyDescent="0.25">
      <c r="G88" s="265"/>
      <c r="H88" s="272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73"/>
      <c r="W88" s="272"/>
      <c r="X88" s="271"/>
      <c r="Y88" s="287"/>
      <c r="Z88" s="218"/>
      <c r="AA88" s="218"/>
    </row>
    <row r="89" spans="4:27" x14ac:dyDescent="0.25">
      <c r="G89" s="523" t="s">
        <v>228</v>
      </c>
      <c r="H89" s="264"/>
      <c r="I89" s="263" t="s">
        <v>200</v>
      </c>
      <c r="J89" s="262"/>
      <c r="K89" s="262"/>
      <c r="L89" s="262"/>
      <c r="M89" s="263" t="s">
        <v>199</v>
      </c>
      <c r="N89" s="262"/>
      <c r="O89" s="262"/>
      <c r="P89" s="262"/>
      <c r="Q89" s="323" t="s">
        <v>198</v>
      </c>
      <c r="R89" s="324"/>
      <c r="S89" s="324"/>
      <c r="T89" s="324"/>
      <c r="U89" s="323" t="s">
        <v>197</v>
      </c>
      <c r="V89" s="324"/>
      <c r="W89" s="324"/>
      <c r="X89" s="325"/>
      <c r="Y89" s="287"/>
      <c r="Z89" s="218"/>
      <c r="AA89" s="218"/>
    </row>
    <row r="90" spans="4:27" x14ac:dyDescent="0.25">
      <c r="G90" s="524"/>
      <c r="H90" s="227" t="s">
        <v>191</v>
      </c>
      <c r="I90" s="258" t="s">
        <v>229</v>
      </c>
      <c r="J90" s="258" t="s">
        <v>230</v>
      </c>
      <c r="K90" s="258" t="s">
        <v>231</v>
      </c>
      <c r="L90" s="258" t="s">
        <v>232</v>
      </c>
      <c r="M90" s="258" t="s">
        <v>229</v>
      </c>
      <c r="N90" s="258" t="s">
        <v>230</v>
      </c>
      <c r="O90" s="258" t="s">
        <v>231</v>
      </c>
      <c r="P90" s="258" t="s">
        <v>232</v>
      </c>
      <c r="Q90" s="326" t="s">
        <v>229</v>
      </c>
      <c r="R90" s="326" t="s">
        <v>230</v>
      </c>
      <c r="S90" s="326" t="s">
        <v>231</v>
      </c>
      <c r="T90" s="326" t="s">
        <v>232</v>
      </c>
      <c r="U90" s="326" t="s">
        <v>229</v>
      </c>
      <c r="V90" s="326" t="s">
        <v>230</v>
      </c>
      <c r="W90" s="326" t="s">
        <v>231</v>
      </c>
      <c r="X90" s="327" t="s">
        <v>232</v>
      </c>
      <c r="Y90" s="287"/>
      <c r="Z90" s="218"/>
      <c r="AA90" s="218"/>
    </row>
    <row r="91" spans="4:27" x14ac:dyDescent="0.25">
      <c r="G91" s="524"/>
      <c r="H91" s="227" t="s">
        <v>186</v>
      </c>
      <c r="I91" s="224"/>
      <c r="J91" s="224"/>
      <c r="K91" s="224"/>
      <c r="L91" s="224"/>
      <c r="M91" s="224"/>
      <c r="N91" s="224"/>
      <c r="O91" s="224"/>
      <c r="P91" s="224"/>
      <c r="Q91" s="328"/>
      <c r="R91" s="328"/>
      <c r="S91" s="328"/>
      <c r="T91" s="328"/>
      <c r="U91" s="328"/>
      <c r="V91" s="328"/>
      <c r="W91" s="328"/>
      <c r="X91" s="329"/>
      <c r="Y91" s="287"/>
      <c r="Z91" s="218"/>
      <c r="AA91" s="218"/>
    </row>
    <row r="92" spans="4:27" x14ac:dyDescent="0.25">
      <c r="G92" s="524"/>
      <c r="H92" s="227" t="s">
        <v>184</v>
      </c>
      <c r="I92" s="224"/>
      <c r="J92" s="251"/>
      <c r="K92" s="224"/>
      <c r="L92" s="224"/>
      <c r="M92" s="224"/>
      <c r="N92" s="224"/>
      <c r="O92" s="224"/>
      <c r="P92" s="224"/>
      <c r="Q92" s="328"/>
      <c r="R92" s="328"/>
      <c r="S92" s="328"/>
      <c r="T92" s="328"/>
      <c r="U92" s="328"/>
      <c r="V92" s="328"/>
      <c r="W92" s="328"/>
      <c r="X92" s="329"/>
      <c r="Y92" s="287"/>
      <c r="Z92" s="218"/>
      <c r="AA92" s="218"/>
    </row>
    <row r="93" spans="4:27" x14ac:dyDescent="0.25">
      <c r="G93" s="524"/>
      <c r="H93" s="236" t="s">
        <v>182</v>
      </c>
      <c r="I93" s="249"/>
      <c r="J93" s="296" t="s">
        <v>181</v>
      </c>
      <c r="K93" s="233"/>
      <c r="L93" s="233"/>
      <c r="M93" s="249"/>
      <c r="N93" s="296" t="s">
        <v>181</v>
      </c>
      <c r="O93" s="233"/>
      <c r="P93" s="233"/>
      <c r="Q93" s="330"/>
      <c r="R93" s="331" t="s">
        <v>181</v>
      </c>
      <c r="S93" s="332"/>
      <c r="T93" s="332"/>
      <c r="U93" s="330"/>
      <c r="V93" s="331" t="s">
        <v>181</v>
      </c>
      <c r="W93" s="332"/>
      <c r="X93" s="333"/>
      <c r="Y93" s="287"/>
      <c r="Z93" s="218"/>
      <c r="AA93" s="218"/>
    </row>
    <row r="94" spans="4:27" x14ac:dyDescent="0.25">
      <c r="G94" s="524"/>
      <c r="H94" s="317" t="s">
        <v>179</v>
      </c>
      <c r="I94" s="244"/>
      <c r="J94" s="224"/>
      <c r="K94" s="265">
        <v>90.405000000000001</v>
      </c>
      <c r="L94" s="222"/>
      <c r="M94" s="244"/>
      <c r="N94" s="224"/>
      <c r="O94" s="265">
        <v>99.614999999999995</v>
      </c>
      <c r="P94" s="222"/>
      <c r="Q94" s="334"/>
      <c r="R94" s="328"/>
      <c r="S94" s="265">
        <v>88.74</v>
      </c>
      <c r="T94" s="335"/>
      <c r="U94" s="334"/>
      <c r="V94" s="328"/>
      <c r="W94" s="265">
        <v>55.034999999999997</v>
      </c>
      <c r="X94" s="336"/>
      <c r="Y94" s="287"/>
      <c r="Z94" s="218"/>
      <c r="AA94" s="218"/>
    </row>
    <row r="95" spans="4:27" x14ac:dyDescent="0.25">
      <c r="G95" s="524"/>
      <c r="H95" s="236" t="s">
        <v>176</v>
      </c>
      <c r="I95" s="242" t="e">
        <f>ROUND(K94/I93,2)</f>
        <v>#DIV/0!</v>
      </c>
      <c r="J95" s="234"/>
      <c r="K95" s="233"/>
      <c r="L95" s="233"/>
      <c r="M95" s="242" t="e">
        <f>ROUND(O94/M93,2)</f>
        <v>#DIV/0!</v>
      </c>
      <c r="N95" s="234"/>
      <c r="O95" s="233"/>
      <c r="P95" s="233"/>
      <c r="Q95" s="337"/>
      <c r="R95" s="338"/>
      <c r="S95" s="332"/>
      <c r="T95" s="332"/>
      <c r="U95" s="337" t="e">
        <f>ROUND(W94/U93,2)</f>
        <v>#DIV/0!</v>
      </c>
      <c r="V95" s="338"/>
      <c r="W95" s="332"/>
      <c r="X95" s="333"/>
      <c r="Y95" s="218"/>
      <c r="Z95" s="218"/>
      <c r="AA95" s="218"/>
    </row>
    <row r="96" spans="4:27" x14ac:dyDescent="0.25">
      <c r="G96" s="524"/>
      <c r="H96" s="317" t="s">
        <v>174</v>
      </c>
      <c r="I96" s="224" t="e">
        <f>ROUND(K94/I94,2)</f>
        <v>#DIV/0!</v>
      </c>
      <c r="J96" s="224"/>
      <c r="K96" s="222"/>
      <c r="L96" s="222"/>
      <c r="M96" s="224" t="e">
        <f>ROUND(O94/M94,2)</f>
        <v>#DIV/0!</v>
      </c>
      <c r="N96" s="224"/>
      <c r="O96" s="222"/>
      <c r="P96" s="222"/>
      <c r="Q96" s="328"/>
      <c r="R96" s="328"/>
      <c r="S96" s="335"/>
      <c r="T96" s="335"/>
      <c r="U96" s="328" t="e">
        <f>ROUND(W94/U94,2)</f>
        <v>#DIV/0!</v>
      </c>
      <c r="V96" s="328"/>
      <c r="W96" s="335"/>
      <c r="X96" s="336"/>
      <c r="Y96" s="287"/>
      <c r="Z96" s="218"/>
      <c r="AA96" s="218"/>
    </row>
    <row r="97" spans="7:27" x14ac:dyDescent="0.25">
      <c r="G97" s="524"/>
      <c r="H97" s="236" t="s">
        <v>172</v>
      </c>
      <c r="I97" s="234"/>
      <c r="J97" s="233"/>
      <c r="K97" s="233"/>
      <c r="L97" s="233"/>
      <c r="M97" s="234"/>
      <c r="N97" s="233"/>
      <c r="O97" s="233"/>
      <c r="P97" s="233"/>
      <c r="Q97" s="338"/>
      <c r="R97" s="332"/>
      <c r="S97" s="332"/>
      <c r="T97" s="332"/>
      <c r="U97" s="338"/>
      <c r="V97" s="332"/>
      <c r="W97" s="332"/>
      <c r="X97" s="333"/>
      <c r="Y97" s="287"/>
      <c r="Z97" s="218"/>
      <c r="AA97" s="218"/>
    </row>
    <row r="98" spans="7:27" x14ac:dyDescent="0.25">
      <c r="G98" s="525"/>
      <c r="H98" s="227" t="s">
        <v>169</v>
      </c>
      <c r="I98" s="224"/>
      <c r="J98" s="545" t="e">
        <f>SUM(K94/'[4]2017.02-2017.08'!H94)</f>
        <v>#DIV/0!</v>
      </c>
      <c r="K98" s="545"/>
      <c r="L98" s="222"/>
      <c r="M98" s="224"/>
      <c r="N98" s="545" t="e">
        <f>SUM(O94/'[4]2017.02-2017.08'!L94)</f>
        <v>#DIV/0!</v>
      </c>
      <c r="O98" s="545"/>
      <c r="P98" s="222"/>
      <c r="Q98" s="328"/>
      <c r="R98" s="545" t="e">
        <f>SUM(S94/'[4]2017.02-2017.08'!P94)</f>
        <v>#DIV/0!</v>
      </c>
      <c r="S98" s="545"/>
      <c r="T98" s="335"/>
      <c r="U98" s="328"/>
      <c r="V98" s="545" t="e">
        <f>W94/'[4]2017.02-2017.08'!T94</f>
        <v>#DIV/0!</v>
      </c>
      <c r="W98" s="545"/>
      <c r="X98" s="336"/>
      <c r="Y98" s="287"/>
      <c r="Z98" s="218"/>
      <c r="AA98" s="218"/>
    </row>
    <row r="99" spans="7:27" x14ac:dyDescent="0.25">
      <c r="G99" s="265"/>
      <c r="H99" s="266"/>
      <c r="I99" s="265"/>
      <c r="J99" s="265"/>
      <c r="K99" s="265"/>
      <c r="L99" s="265"/>
      <c r="M99" s="265"/>
      <c r="N99" s="265"/>
      <c r="O99" s="265"/>
      <c r="P99" s="265"/>
      <c r="Q99" s="265"/>
      <c r="R99" s="265"/>
      <c r="S99" s="265"/>
      <c r="T99" s="265"/>
      <c r="U99" s="265"/>
      <c r="V99" s="265"/>
      <c r="W99" s="265"/>
      <c r="X99" s="265"/>
      <c r="Y99" s="287"/>
      <c r="Z99" s="218"/>
      <c r="AA99" s="218"/>
    </row>
    <row r="100" spans="7:27" x14ac:dyDescent="0.25">
      <c r="G100" s="533" t="s">
        <v>228</v>
      </c>
      <c r="H100" s="339"/>
      <c r="I100" s="323" t="s">
        <v>195</v>
      </c>
      <c r="J100" s="324"/>
      <c r="K100" s="324"/>
      <c r="L100" s="324"/>
      <c r="M100" s="323" t="s">
        <v>194</v>
      </c>
      <c r="N100" s="324"/>
      <c r="O100" s="324"/>
      <c r="P100" s="324"/>
      <c r="Q100" s="323" t="s">
        <v>193</v>
      </c>
      <c r="R100" s="324"/>
      <c r="S100" s="324"/>
      <c r="T100" s="324"/>
      <c r="U100" s="323" t="s">
        <v>192</v>
      </c>
      <c r="V100" s="324"/>
      <c r="W100" s="324"/>
      <c r="X100" s="325"/>
      <c r="Y100" s="287"/>
      <c r="Z100" s="218"/>
      <c r="AA100" s="218"/>
    </row>
    <row r="101" spans="7:27" x14ac:dyDescent="0.25">
      <c r="G101" s="534"/>
      <c r="H101" s="340" t="s">
        <v>191</v>
      </c>
      <c r="I101" s="326" t="s">
        <v>229</v>
      </c>
      <c r="J101" s="326" t="s">
        <v>230</v>
      </c>
      <c r="K101" s="326" t="s">
        <v>231</v>
      </c>
      <c r="L101" s="326" t="s">
        <v>232</v>
      </c>
      <c r="M101" s="326" t="s">
        <v>229</v>
      </c>
      <c r="N101" s="326" t="s">
        <v>230</v>
      </c>
      <c r="O101" s="326" t="s">
        <v>231</v>
      </c>
      <c r="P101" s="326" t="s">
        <v>232</v>
      </c>
      <c r="Q101" s="341"/>
      <c r="R101" s="342"/>
      <c r="S101" s="343"/>
      <c r="T101" s="343"/>
      <c r="U101" s="326" t="s">
        <v>229</v>
      </c>
      <c r="V101" s="326" t="s">
        <v>230</v>
      </c>
      <c r="W101" s="344" t="s">
        <v>231</v>
      </c>
      <c r="X101" s="345" t="s">
        <v>232</v>
      </c>
      <c r="Y101" s="287"/>
      <c r="Z101" s="218"/>
      <c r="AA101" s="218"/>
    </row>
    <row r="102" spans="7:27" x14ac:dyDescent="0.25">
      <c r="G102" s="534"/>
      <c r="H102" s="340" t="s">
        <v>186</v>
      </c>
      <c r="I102" s="328"/>
      <c r="J102" s="328"/>
      <c r="K102" s="328"/>
      <c r="L102" s="328"/>
      <c r="M102" s="328"/>
      <c r="N102" s="328"/>
      <c r="O102" s="328"/>
      <c r="P102" s="328"/>
      <c r="Q102" s="536" t="s">
        <v>233</v>
      </c>
      <c r="R102" s="537"/>
      <c r="S102" s="538">
        <f>'[4]2017.02-2017.08'!T105</f>
        <v>0</v>
      </c>
      <c r="T102" s="539"/>
      <c r="U102" s="328"/>
      <c r="V102" s="328"/>
      <c r="W102" s="328"/>
      <c r="X102" s="329"/>
      <c r="Y102" s="287"/>
      <c r="Z102" s="218"/>
      <c r="AA102" s="218"/>
    </row>
    <row r="103" spans="7:27" x14ac:dyDescent="0.25">
      <c r="G103" s="534"/>
      <c r="H103" s="340" t="s">
        <v>184</v>
      </c>
      <c r="I103" s="328"/>
      <c r="J103" s="346"/>
      <c r="K103" s="328"/>
      <c r="L103" s="328"/>
      <c r="M103" s="328"/>
      <c r="N103" s="328"/>
      <c r="O103" s="328"/>
      <c r="P103" s="328"/>
      <c r="Q103" s="540" t="s">
        <v>234</v>
      </c>
      <c r="R103" s="541"/>
      <c r="S103" s="542">
        <f>AA109</f>
        <v>471.69219999999996</v>
      </c>
      <c r="T103" s="543"/>
      <c r="U103" s="328"/>
      <c r="V103" s="328"/>
      <c r="W103" s="328"/>
      <c r="X103" s="329"/>
      <c r="Y103" s="287"/>
      <c r="Z103" s="347"/>
      <c r="AA103" s="218"/>
    </row>
    <row r="104" spans="7:27" x14ac:dyDescent="0.25">
      <c r="G104" s="534"/>
      <c r="H104" s="348" t="s">
        <v>182</v>
      </c>
      <c r="I104" s="330"/>
      <c r="J104" s="331" t="s">
        <v>181</v>
      </c>
      <c r="K104" s="332"/>
      <c r="L104" s="332"/>
      <c r="M104" s="330"/>
      <c r="N104" s="331" t="s">
        <v>181</v>
      </c>
      <c r="O104" s="332"/>
      <c r="P104" s="332"/>
      <c r="Q104" s="338"/>
      <c r="R104" s="333"/>
      <c r="S104" s="332"/>
      <c r="T104" s="332"/>
      <c r="U104" s="330"/>
      <c r="V104" s="349" t="s">
        <v>181</v>
      </c>
      <c r="W104" s="332"/>
      <c r="X104" s="333"/>
      <c r="Y104" s="287"/>
      <c r="Z104" s="347" t="s">
        <v>235</v>
      </c>
      <c r="AA104" s="218">
        <v>456.89299999999997</v>
      </c>
    </row>
    <row r="105" spans="7:27" x14ac:dyDescent="0.25">
      <c r="G105" s="534"/>
      <c r="H105" s="350" t="s">
        <v>179</v>
      </c>
      <c r="I105" s="334"/>
      <c r="J105" s="328"/>
      <c r="K105" s="265">
        <v>37.47</v>
      </c>
      <c r="L105" s="335"/>
      <c r="M105" s="334"/>
      <c r="N105" s="328"/>
      <c r="O105" s="335"/>
      <c r="P105" s="335"/>
      <c r="Q105" s="536" t="s">
        <v>236</v>
      </c>
      <c r="R105" s="537"/>
      <c r="S105" s="538" t="e">
        <f>W105/S102</f>
        <v>#DIV/0!</v>
      </c>
      <c r="T105" s="544"/>
      <c r="U105" s="334"/>
      <c r="V105" s="328"/>
      <c r="W105" s="266">
        <f>K94+O94+S94+W94+K105</f>
        <v>371.26499999999999</v>
      </c>
      <c r="X105" s="351"/>
      <c r="Y105" s="287"/>
      <c r="Z105" s="347" t="s">
        <v>237</v>
      </c>
      <c r="AA105" s="218">
        <v>458.91299999999995</v>
      </c>
    </row>
    <row r="106" spans="7:27" x14ac:dyDescent="0.25">
      <c r="G106" s="534"/>
      <c r="H106" s="348" t="s">
        <v>176</v>
      </c>
      <c r="I106" s="337" t="e">
        <f>ROUND(K105/I104,2)</f>
        <v>#DIV/0!</v>
      </c>
      <c r="J106" s="338"/>
      <c r="K106" s="332"/>
      <c r="L106" s="332"/>
      <c r="M106" s="337" t="e">
        <f>ROUND(O105/M104,2)</f>
        <v>#DIV/0!</v>
      </c>
      <c r="N106" s="338"/>
      <c r="O106" s="332"/>
      <c r="P106" s="332"/>
      <c r="Q106" s="328"/>
      <c r="R106" s="336"/>
      <c r="S106" s="335"/>
      <c r="T106" s="335"/>
      <c r="U106" s="337" t="e">
        <f>ROUND(W105/U104,2)</f>
        <v>#DIV/0!</v>
      </c>
      <c r="V106" s="338"/>
      <c r="W106" s="332"/>
      <c r="X106" s="333"/>
      <c r="Y106" s="218"/>
      <c r="Z106" s="347" t="s">
        <v>175</v>
      </c>
      <c r="AA106" s="218">
        <v>637.87199999999996</v>
      </c>
    </row>
    <row r="107" spans="7:27" x14ac:dyDescent="0.25">
      <c r="G107" s="534"/>
      <c r="H107" s="350" t="s">
        <v>174</v>
      </c>
      <c r="I107" s="328" t="e">
        <f>ROUND(K105/I105,2)</f>
        <v>#DIV/0!</v>
      </c>
      <c r="J107" s="328"/>
      <c r="K107" s="335"/>
      <c r="L107" s="335"/>
      <c r="M107" s="328" t="e">
        <f>ROUND(O105/M105,2)</f>
        <v>#DIV/0!</v>
      </c>
      <c r="N107" s="328"/>
      <c r="O107" s="335"/>
      <c r="P107" s="335"/>
      <c r="Q107" s="338"/>
      <c r="R107" s="333"/>
      <c r="S107" s="332"/>
      <c r="T107" s="332"/>
      <c r="U107" s="328" t="e">
        <f>ROUND(W105/U105,2)</f>
        <v>#DIV/0!</v>
      </c>
      <c r="V107" s="328"/>
      <c r="W107" s="335"/>
      <c r="X107" s="336"/>
      <c r="Y107" s="287"/>
      <c r="Z107" s="347" t="s">
        <v>173</v>
      </c>
      <c r="AA107" s="218">
        <v>448.89299999999997</v>
      </c>
    </row>
    <row r="108" spans="7:27" x14ac:dyDescent="0.25">
      <c r="G108" s="534"/>
      <c r="H108" s="348" t="s">
        <v>172</v>
      </c>
      <c r="I108" s="338"/>
      <c r="J108" s="332"/>
      <c r="K108" s="332"/>
      <c r="L108" s="332"/>
      <c r="M108" s="338"/>
      <c r="N108" s="332"/>
      <c r="O108" s="332"/>
      <c r="P108" s="332"/>
      <c r="Q108" s="536" t="s">
        <v>238</v>
      </c>
      <c r="R108" s="537"/>
      <c r="S108" s="538">
        <f>SUM(W105/S103)</f>
        <v>0.78709166698113731</v>
      </c>
      <c r="T108" s="544"/>
      <c r="U108" s="338"/>
      <c r="V108" s="332"/>
      <c r="W108" s="332"/>
      <c r="X108" s="333"/>
      <c r="Y108" s="287"/>
      <c r="Z108" s="347" t="s">
        <v>170</v>
      </c>
      <c r="AA108" s="218">
        <v>355.89</v>
      </c>
    </row>
    <row r="109" spans="7:27" x14ac:dyDescent="0.25">
      <c r="G109" s="535"/>
      <c r="H109" s="340" t="s">
        <v>169</v>
      </c>
      <c r="I109" s="328"/>
      <c r="J109" s="545" t="e">
        <f>K105/'[4]2017.02-2017.08'!H105</f>
        <v>#DIV/0!</v>
      </c>
      <c r="K109" s="545"/>
      <c r="L109" s="335"/>
      <c r="M109" s="328"/>
      <c r="N109" s="352"/>
      <c r="O109" s="352"/>
      <c r="P109" s="335"/>
      <c r="Q109" s="328"/>
      <c r="R109" s="336"/>
      <c r="S109" s="335"/>
      <c r="T109" s="335"/>
      <c r="U109" s="328"/>
      <c r="V109" s="335"/>
      <c r="W109" s="335"/>
      <c r="X109" s="336"/>
      <c r="Y109" s="287"/>
      <c r="Z109" s="286"/>
      <c r="AA109" s="286">
        <f>AVERAGE(AA104:AA108)</f>
        <v>471.69219999999996</v>
      </c>
    </row>
    <row r="112" spans="7:27" ht="19" x14ac:dyDescent="0.25">
      <c r="G112" s="353" t="s">
        <v>209</v>
      </c>
      <c r="H112" s="354"/>
      <c r="I112" s="355"/>
      <c r="J112" s="355"/>
      <c r="K112" s="355"/>
      <c r="L112" s="355"/>
      <c r="M112" s="355"/>
      <c r="N112" s="355"/>
      <c r="O112" s="356"/>
      <c r="P112" s="355"/>
      <c r="Q112" s="355"/>
      <c r="R112" s="355"/>
      <c r="S112" s="355"/>
      <c r="T112" s="355"/>
      <c r="U112" s="355"/>
      <c r="V112" s="355"/>
      <c r="W112" s="355"/>
      <c r="X112" s="355"/>
      <c r="Y112" s="357"/>
      <c r="Z112" s="358"/>
      <c r="AA112" s="357"/>
    </row>
    <row r="113" spans="4:27" x14ac:dyDescent="0.25">
      <c r="D113" t="s">
        <v>249</v>
      </c>
      <c r="G113" s="359" t="s">
        <v>248</v>
      </c>
      <c r="H113" s="360"/>
      <c r="I113" s="361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  <c r="V113" s="362"/>
      <c r="W113" s="361"/>
      <c r="X113" s="363" t="s">
        <v>242</v>
      </c>
      <c r="Y113" s="357"/>
      <c r="Z113" s="358"/>
      <c r="AA113" s="357"/>
    </row>
    <row r="114" spans="4:27" ht="19" x14ac:dyDescent="0.25">
      <c r="D114" t="s">
        <v>205</v>
      </c>
      <c r="E114" t="s">
        <v>225</v>
      </c>
      <c r="G114" s="364"/>
      <c r="H114" s="360"/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  <c r="V114" s="362"/>
      <c r="W114" s="360"/>
      <c r="X114" s="365" t="s">
        <v>203</v>
      </c>
      <c r="Y114" s="357"/>
      <c r="Z114" s="358"/>
      <c r="AA114" s="357"/>
    </row>
    <row r="115" spans="4:27" x14ac:dyDescent="0.25">
      <c r="D115">
        <v>2</v>
      </c>
      <c r="E115" s="408">
        <f>K120</f>
        <v>17.82</v>
      </c>
      <c r="G115" s="523" t="s">
        <v>243</v>
      </c>
      <c r="H115" s="366"/>
      <c r="I115" s="367" t="s">
        <v>202</v>
      </c>
      <c r="J115" s="368"/>
      <c r="K115" s="368"/>
      <c r="L115" s="368"/>
      <c r="M115" s="367" t="s">
        <v>201</v>
      </c>
      <c r="N115" s="368"/>
      <c r="O115" s="368"/>
      <c r="P115" s="368"/>
      <c r="Q115" s="369"/>
      <c r="R115" s="366"/>
      <c r="S115" s="366"/>
      <c r="T115" s="366"/>
      <c r="U115" s="369"/>
      <c r="V115" s="366"/>
      <c r="W115" s="366"/>
      <c r="X115" s="370"/>
      <c r="Y115" s="371"/>
      <c r="Z115" s="358"/>
      <c r="AA115" s="357"/>
    </row>
    <row r="116" spans="4:27" x14ac:dyDescent="0.25">
      <c r="D116">
        <v>3</v>
      </c>
      <c r="E116" s="408">
        <f>O120</f>
        <v>0</v>
      </c>
      <c r="G116" s="524"/>
      <c r="H116" s="372" t="s">
        <v>191</v>
      </c>
      <c r="I116" s="373"/>
      <c r="J116" s="373"/>
      <c r="K116" s="373"/>
      <c r="L116" s="373"/>
      <c r="M116" s="373"/>
      <c r="N116" s="373"/>
      <c r="O116" s="373"/>
      <c r="P116" s="373"/>
      <c r="Q116" s="373"/>
      <c r="R116" s="373"/>
      <c r="S116" s="373"/>
      <c r="T116" s="373"/>
      <c r="U116" s="373"/>
      <c r="V116" s="373"/>
      <c r="W116" s="373"/>
      <c r="X116" s="374"/>
      <c r="Y116" s="375"/>
      <c r="Z116" s="376"/>
      <c r="AA116" s="377"/>
    </row>
    <row r="117" spans="4:27" x14ac:dyDescent="0.25">
      <c r="D117">
        <v>4</v>
      </c>
      <c r="E117" s="408">
        <f>K131</f>
        <v>435.51</v>
      </c>
      <c r="G117" s="524"/>
      <c r="H117" s="372" t="s">
        <v>186</v>
      </c>
      <c r="I117" s="378"/>
      <c r="J117" s="378"/>
      <c r="K117" s="378"/>
      <c r="L117" s="378"/>
      <c r="M117" s="378"/>
      <c r="N117" s="378"/>
      <c r="O117" s="378"/>
      <c r="P117" s="378"/>
      <c r="Q117" s="378"/>
      <c r="R117" s="378"/>
      <c r="S117" s="378"/>
      <c r="T117" s="378"/>
      <c r="U117" s="378"/>
      <c r="V117" s="378"/>
      <c r="W117" s="378"/>
      <c r="X117" s="379"/>
      <c r="Y117" s="375"/>
      <c r="Z117" s="376"/>
      <c r="AA117" s="377"/>
    </row>
    <row r="118" spans="4:27" x14ac:dyDescent="0.25">
      <c r="D118">
        <v>5</v>
      </c>
      <c r="E118" s="408">
        <f>O131</f>
        <v>38.826000000000001</v>
      </c>
      <c r="G118" s="524"/>
      <c r="H118" s="372" t="s">
        <v>184</v>
      </c>
      <c r="I118" s="378"/>
      <c r="J118" s="380"/>
      <c r="K118" s="381">
        <v>17.82</v>
      </c>
      <c r="L118" s="378"/>
      <c r="M118" s="378"/>
      <c r="N118" s="378"/>
      <c r="O118" s="381">
        <v>0</v>
      </c>
      <c r="P118" s="378"/>
      <c r="Q118" s="378"/>
      <c r="R118" s="378"/>
      <c r="S118" s="378"/>
      <c r="T118" s="378"/>
      <c r="U118" s="378"/>
      <c r="V118" s="378"/>
      <c r="W118" s="378"/>
      <c r="X118" s="379"/>
      <c r="Y118" s="375"/>
      <c r="Z118" s="376"/>
      <c r="AA118" s="377"/>
    </row>
    <row r="119" spans="4:27" x14ac:dyDescent="0.25">
      <c r="D119">
        <v>6</v>
      </c>
      <c r="E119" s="408">
        <f>S131</f>
        <v>196.79400000000001</v>
      </c>
      <c r="G119" s="524"/>
      <c r="H119" s="382" t="s">
        <v>182</v>
      </c>
      <c r="I119" s="383">
        <v>87</v>
      </c>
      <c r="J119" s="384" t="s">
        <v>181</v>
      </c>
      <c r="K119" s="385"/>
      <c r="L119" s="385"/>
      <c r="M119" s="383">
        <v>77</v>
      </c>
      <c r="N119" s="384" t="s">
        <v>181</v>
      </c>
      <c r="O119" s="358"/>
      <c r="P119" s="358"/>
      <c r="Q119" s="386"/>
      <c r="R119" s="387"/>
      <c r="S119" s="358"/>
      <c r="T119" s="358"/>
      <c r="U119" s="386"/>
      <c r="V119" s="387"/>
      <c r="W119" s="358"/>
      <c r="X119" s="388"/>
      <c r="Y119" s="375"/>
      <c r="Z119" s="376"/>
      <c r="AA119" s="377"/>
    </row>
    <row r="120" spans="4:27" x14ac:dyDescent="0.25">
      <c r="D120">
        <v>7</v>
      </c>
      <c r="E120" s="408">
        <f>W131</f>
        <v>433.53</v>
      </c>
      <c r="G120" s="524"/>
      <c r="H120" s="372" t="s">
        <v>179</v>
      </c>
      <c r="I120" s="389">
        <v>1</v>
      </c>
      <c r="J120" s="378"/>
      <c r="K120" s="390">
        <f>SUM(I118:L118)</f>
        <v>17.82</v>
      </c>
      <c r="L120" s="390"/>
      <c r="M120" s="389">
        <v>0</v>
      </c>
      <c r="N120" s="378"/>
      <c r="O120" s="390">
        <f>SUM(M118:P118)</f>
        <v>0</v>
      </c>
      <c r="P120" s="390"/>
      <c r="Q120" s="378"/>
      <c r="R120" s="378"/>
      <c r="S120" s="390"/>
      <c r="T120" s="390"/>
      <c r="U120" s="378"/>
      <c r="V120" s="378"/>
      <c r="W120" s="390"/>
      <c r="X120" s="391"/>
      <c r="Y120" s="375"/>
      <c r="Z120" s="376"/>
      <c r="AA120" s="377"/>
    </row>
    <row r="121" spans="4:27" x14ac:dyDescent="0.25">
      <c r="D121">
        <v>8</v>
      </c>
      <c r="E121" s="408">
        <f>K142</f>
        <v>0</v>
      </c>
      <c r="G121" s="524"/>
      <c r="H121" s="382" t="s">
        <v>176</v>
      </c>
      <c r="I121" s="386">
        <f>ROUND(K120/I119,2)</f>
        <v>0.2</v>
      </c>
      <c r="J121" s="371"/>
      <c r="K121" s="358"/>
      <c r="L121" s="358"/>
      <c r="M121" s="386">
        <f>ROUND(O120/M119,2)</f>
        <v>0</v>
      </c>
      <c r="N121" s="371"/>
      <c r="O121" s="358"/>
      <c r="P121" s="358"/>
      <c r="Q121" s="386"/>
      <c r="R121" s="371"/>
      <c r="S121" s="358"/>
      <c r="T121" s="358"/>
      <c r="U121" s="386"/>
      <c r="V121" s="371"/>
      <c r="W121" s="358"/>
      <c r="X121" s="388"/>
      <c r="Y121" s="375"/>
      <c r="Z121" s="377"/>
      <c r="AA121" s="377"/>
    </row>
    <row r="122" spans="4:27" x14ac:dyDescent="0.25">
      <c r="D122">
        <v>9</v>
      </c>
      <c r="E122" s="408">
        <f>O142</f>
        <v>0</v>
      </c>
      <c r="G122" s="524"/>
      <c r="H122" s="372" t="s">
        <v>174</v>
      </c>
      <c r="I122" s="378">
        <f>ROUND(K120/I120,2)</f>
        <v>17.82</v>
      </c>
      <c r="J122" s="378"/>
      <c r="K122" s="390"/>
      <c r="L122" s="390"/>
      <c r="M122" s="378" t="e">
        <f>ROUND(O120/M120,2)</f>
        <v>#DIV/0!</v>
      </c>
      <c r="N122" s="378"/>
      <c r="O122" s="390"/>
      <c r="P122" s="390"/>
      <c r="Q122" s="378"/>
      <c r="R122" s="378"/>
      <c r="S122" s="390"/>
      <c r="T122" s="390"/>
      <c r="U122" s="378"/>
      <c r="V122" s="378"/>
      <c r="W122" s="390"/>
      <c r="X122" s="391"/>
      <c r="Y122" s="375"/>
      <c r="Z122" s="376"/>
      <c r="AA122" s="377"/>
    </row>
    <row r="123" spans="4:27" x14ac:dyDescent="0.25">
      <c r="D123" t="s">
        <v>222</v>
      </c>
      <c r="E123" s="408">
        <f>SUM(E115:E122)</f>
        <v>1122.48</v>
      </c>
      <c r="G123" s="524"/>
      <c r="H123" s="382" t="s">
        <v>172</v>
      </c>
      <c r="I123" s="371"/>
      <c r="J123" s="358"/>
      <c r="K123" s="358"/>
      <c r="L123" s="358"/>
      <c r="M123" s="371"/>
      <c r="N123" s="358"/>
      <c r="O123" s="358"/>
      <c r="P123" s="358"/>
      <c r="Q123" s="371"/>
      <c r="R123" s="358"/>
      <c r="S123" s="358"/>
      <c r="T123" s="358"/>
      <c r="U123" s="371"/>
      <c r="V123" s="358"/>
      <c r="W123" s="358"/>
      <c r="X123" s="388"/>
      <c r="Y123" s="375"/>
      <c r="Z123" s="376"/>
      <c r="AA123" s="377"/>
    </row>
    <row r="124" spans="4:27" x14ac:dyDescent="0.25">
      <c r="D124" t="s">
        <v>241</v>
      </c>
      <c r="E124" s="408">
        <f>SUM(E117:E121)</f>
        <v>1104.6599999999999</v>
      </c>
      <c r="G124" s="525"/>
      <c r="H124" s="372" t="s">
        <v>169</v>
      </c>
      <c r="I124" s="378"/>
      <c r="J124" s="532" t="e">
        <f>SUM(K120/'[5]2017.02-2017.08'!H120)</f>
        <v>#DIV/0!</v>
      </c>
      <c r="K124" s="532"/>
      <c r="L124" s="390"/>
      <c r="M124" s="378"/>
      <c r="N124" s="522" t="e">
        <f>SUM(O120/'[5]2017.02-2017.08'!L120)</f>
        <v>#DIV/0!</v>
      </c>
      <c r="O124" s="522"/>
      <c r="P124" s="390"/>
      <c r="Q124" s="378"/>
      <c r="R124" s="390"/>
      <c r="S124" s="390"/>
      <c r="T124" s="390"/>
      <c r="U124" s="378"/>
      <c r="V124" s="390"/>
      <c r="W124" s="390"/>
      <c r="X124" s="391"/>
      <c r="Y124" s="375"/>
      <c r="Z124" s="376"/>
      <c r="AA124" s="377"/>
    </row>
    <row r="125" spans="4:27" ht="19" x14ac:dyDescent="0.25">
      <c r="G125" s="390"/>
      <c r="H125" s="360"/>
      <c r="I125" s="357"/>
      <c r="J125" s="357"/>
      <c r="K125" s="357"/>
      <c r="L125" s="357"/>
      <c r="M125" s="357"/>
      <c r="N125" s="357"/>
      <c r="O125" s="357"/>
      <c r="P125" s="357"/>
      <c r="Q125" s="357"/>
      <c r="R125" s="357"/>
      <c r="S125" s="357"/>
      <c r="T125" s="357"/>
      <c r="U125" s="357"/>
      <c r="V125" s="362"/>
      <c r="W125" s="360"/>
      <c r="X125" s="392"/>
      <c r="Y125" s="377"/>
      <c r="Z125" s="376"/>
      <c r="AA125" s="377"/>
    </row>
    <row r="126" spans="4:27" x14ac:dyDescent="0.25">
      <c r="G126" s="523" t="s">
        <v>243</v>
      </c>
      <c r="H126" s="366"/>
      <c r="I126" s="367" t="s">
        <v>200</v>
      </c>
      <c r="J126" s="368"/>
      <c r="K126" s="368"/>
      <c r="L126" s="368"/>
      <c r="M126" s="367" t="s">
        <v>199</v>
      </c>
      <c r="N126" s="368"/>
      <c r="O126" s="368"/>
      <c r="P126" s="368"/>
      <c r="Q126" s="367" t="s">
        <v>198</v>
      </c>
      <c r="R126" s="368"/>
      <c r="S126" s="368"/>
      <c r="T126" s="368"/>
      <c r="U126" s="367" t="s">
        <v>197</v>
      </c>
      <c r="V126" s="368"/>
      <c r="W126" s="368"/>
      <c r="X126" s="393"/>
      <c r="Y126" s="371"/>
      <c r="Z126" s="358"/>
      <c r="AA126" s="377"/>
    </row>
    <row r="127" spans="4:27" x14ac:dyDescent="0.25">
      <c r="G127" s="524"/>
      <c r="H127" s="372" t="s">
        <v>191</v>
      </c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  <c r="X127" s="374"/>
      <c r="Y127" s="375"/>
      <c r="Z127" s="376"/>
      <c r="AA127" s="377"/>
    </row>
    <row r="128" spans="4:27" x14ac:dyDescent="0.25">
      <c r="G128" s="524"/>
      <c r="H128" s="372" t="s">
        <v>186</v>
      </c>
      <c r="I128" s="378"/>
      <c r="J128" s="378"/>
      <c r="K128" s="378"/>
      <c r="L128" s="378"/>
      <c r="M128" s="378"/>
      <c r="N128" s="378"/>
      <c r="O128" s="378"/>
      <c r="P128" s="378"/>
      <c r="Q128" s="378"/>
      <c r="R128" s="378"/>
      <c r="S128" s="378"/>
      <c r="T128" s="378"/>
      <c r="U128" s="378"/>
      <c r="V128" s="378"/>
      <c r="W128" s="378"/>
      <c r="X128" s="379"/>
      <c r="Y128" s="375"/>
      <c r="Z128" s="376"/>
      <c r="AA128" s="377"/>
    </row>
    <row r="129" spans="7:27" x14ac:dyDescent="0.25">
      <c r="G129" s="524"/>
      <c r="H129" s="372" t="s">
        <v>184</v>
      </c>
      <c r="I129" s="378"/>
      <c r="J129" s="380"/>
      <c r="K129" s="381">
        <v>435.51</v>
      </c>
      <c r="L129" s="378"/>
      <c r="M129" s="378"/>
      <c r="N129" s="378"/>
      <c r="O129" s="381">
        <v>38.826000000000001</v>
      </c>
      <c r="P129" s="378"/>
      <c r="Q129" s="378"/>
      <c r="R129" s="378"/>
      <c r="S129" s="394">
        <v>196.79400000000001</v>
      </c>
      <c r="T129" s="378"/>
      <c r="U129" s="378"/>
      <c r="V129" s="378"/>
      <c r="W129" s="381">
        <v>433.53</v>
      </c>
      <c r="X129" s="379"/>
      <c r="Y129" s="375"/>
      <c r="Z129" s="376"/>
      <c r="AA129" s="377"/>
    </row>
    <row r="130" spans="7:27" x14ac:dyDescent="0.25">
      <c r="G130" s="524"/>
      <c r="H130" s="382" t="s">
        <v>182</v>
      </c>
      <c r="I130" s="383">
        <v>119</v>
      </c>
      <c r="J130" s="384" t="s">
        <v>181</v>
      </c>
      <c r="K130" s="358"/>
      <c r="L130" s="358"/>
      <c r="M130" s="383">
        <v>88</v>
      </c>
      <c r="N130" s="384" t="s">
        <v>181</v>
      </c>
      <c r="O130" s="358"/>
      <c r="P130" s="358"/>
      <c r="Q130" s="383">
        <v>134</v>
      </c>
      <c r="R130" s="384" t="s">
        <v>181</v>
      </c>
      <c r="S130" s="358"/>
      <c r="T130" s="358"/>
      <c r="U130" s="383">
        <v>127</v>
      </c>
      <c r="V130" s="384" t="s">
        <v>181</v>
      </c>
      <c r="W130" s="358"/>
      <c r="X130" s="388"/>
      <c r="Y130" s="375"/>
      <c r="Z130" s="376"/>
      <c r="AA130" s="377"/>
    </row>
    <row r="131" spans="7:27" x14ac:dyDescent="0.25">
      <c r="G131" s="524"/>
      <c r="H131" s="372" t="s">
        <v>179</v>
      </c>
      <c r="I131" s="389">
        <v>34</v>
      </c>
      <c r="J131" s="378"/>
      <c r="K131" s="390">
        <f>SUM(I129:L129)</f>
        <v>435.51</v>
      </c>
      <c r="L131" s="390"/>
      <c r="M131" s="389">
        <v>5</v>
      </c>
      <c r="N131" s="378"/>
      <c r="O131" s="390">
        <f>SUM(M129:P129)</f>
        <v>38.826000000000001</v>
      </c>
      <c r="P131" s="390"/>
      <c r="Q131" s="389">
        <v>19</v>
      </c>
      <c r="R131" s="378"/>
      <c r="S131" s="395">
        <f>SUM(Q129:T129)</f>
        <v>196.79400000000001</v>
      </c>
      <c r="T131" s="390"/>
      <c r="U131" s="389">
        <v>21</v>
      </c>
      <c r="V131" s="378"/>
      <c r="W131" s="390">
        <f>SUM(U129:X129)</f>
        <v>433.53</v>
      </c>
      <c r="X131" s="391"/>
      <c r="Y131" s="375"/>
      <c r="Z131" s="376"/>
      <c r="AA131" s="377"/>
    </row>
    <row r="132" spans="7:27" x14ac:dyDescent="0.25">
      <c r="G132" s="524"/>
      <c r="H132" s="382" t="s">
        <v>176</v>
      </c>
      <c r="I132" s="396">
        <f>(K131/I130)</f>
        <v>3.6597478991596639</v>
      </c>
      <c r="J132" s="371"/>
      <c r="K132" s="397"/>
      <c r="L132" s="358"/>
      <c r="M132" s="386">
        <f>ROUND(O131/M130,2)</f>
        <v>0.44</v>
      </c>
      <c r="N132" s="371"/>
      <c r="O132" s="358"/>
      <c r="P132" s="358"/>
      <c r="Q132" s="386">
        <f>ROUND(S131/Q130,2)</f>
        <v>1.47</v>
      </c>
      <c r="R132" s="371"/>
      <c r="S132" s="358"/>
      <c r="T132" s="358"/>
      <c r="U132" s="386">
        <f>ROUND(W131/U130,2)</f>
        <v>3.41</v>
      </c>
      <c r="V132" s="371"/>
      <c r="W132" s="358"/>
      <c r="X132" s="388"/>
      <c r="Y132" s="375"/>
      <c r="Z132" s="377"/>
      <c r="AA132" s="377"/>
    </row>
    <row r="133" spans="7:27" x14ac:dyDescent="0.25">
      <c r="G133" s="524"/>
      <c r="H133" s="372" t="s">
        <v>174</v>
      </c>
      <c r="I133" s="378">
        <f>ROUND(K131/I131,2)</f>
        <v>12.81</v>
      </c>
      <c r="J133" s="378"/>
      <c r="K133" s="390"/>
      <c r="L133" s="390"/>
      <c r="M133" s="378">
        <f>ROUND(O131/M131,2)</f>
        <v>7.77</v>
      </c>
      <c r="N133" s="378"/>
      <c r="O133" s="390"/>
      <c r="P133" s="390"/>
      <c r="Q133" s="378">
        <f>ROUND(S131/Q131,2)</f>
        <v>10.36</v>
      </c>
      <c r="R133" s="378"/>
      <c r="S133" s="390"/>
      <c r="T133" s="390"/>
      <c r="U133" s="378">
        <f>ROUND(W131/U131,2)</f>
        <v>20.64</v>
      </c>
      <c r="V133" s="378"/>
      <c r="W133" s="390"/>
      <c r="X133" s="391"/>
      <c r="Y133" s="375"/>
      <c r="Z133" s="376"/>
      <c r="AA133" s="377"/>
    </row>
    <row r="134" spans="7:27" x14ac:dyDescent="0.25">
      <c r="G134" s="524"/>
      <c r="H134" s="382" t="s">
        <v>172</v>
      </c>
      <c r="I134" s="371"/>
      <c r="J134" s="358"/>
      <c r="K134" s="358"/>
      <c r="L134" s="358"/>
      <c r="M134" s="371"/>
      <c r="N134" s="358"/>
      <c r="O134" s="358"/>
      <c r="P134" s="358"/>
      <c r="Q134" s="371"/>
      <c r="R134" s="358"/>
      <c r="S134" s="358"/>
      <c r="T134" s="358"/>
      <c r="U134" s="371"/>
      <c r="V134" s="358"/>
      <c r="W134" s="358"/>
      <c r="X134" s="388"/>
      <c r="Y134" s="375"/>
      <c r="Z134" s="376"/>
      <c r="AA134" s="377"/>
    </row>
    <row r="135" spans="7:27" x14ac:dyDescent="0.25">
      <c r="G135" s="525"/>
      <c r="H135" s="372" t="s">
        <v>169</v>
      </c>
      <c r="I135" s="378"/>
      <c r="J135" s="522" t="e">
        <f>SUM(K131/'[5]2017.02-2017.08'!H131)</f>
        <v>#DIV/0!</v>
      </c>
      <c r="K135" s="522"/>
      <c r="L135" s="390"/>
      <c r="M135" s="378"/>
      <c r="N135" s="522" t="e">
        <f>SUM(O131/'[5]2017.02-2017.08'!L131)</f>
        <v>#DIV/0!</v>
      </c>
      <c r="O135" s="522"/>
      <c r="P135" s="390"/>
      <c r="Q135" s="378"/>
      <c r="R135" s="522" t="e">
        <f>SUM(S131/'[5]2017.02-2017.08'!P131)</f>
        <v>#DIV/0!</v>
      </c>
      <c r="S135" s="522"/>
      <c r="T135" s="390"/>
      <c r="U135" s="378"/>
      <c r="V135" s="522" t="e">
        <f>SUM(W131/'[5]2017.02-2017.08'!T131)</f>
        <v>#DIV/0!</v>
      </c>
      <c r="W135" s="522"/>
      <c r="X135" s="391"/>
      <c r="Y135" s="375"/>
      <c r="Z135" s="376"/>
      <c r="AA135" s="377"/>
    </row>
    <row r="136" spans="7:27" x14ac:dyDescent="0.25">
      <c r="G136" s="390"/>
      <c r="H136" s="398"/>
      <c r="I136" s="390"/>
      <c r="J136" s="390"/>
      <c r="K136" s="390"/>
      <c r="L136" s="390"/>
      <c r="M136" s="390"/>
      <c r="N136" s="390"/>
      <c r="O136" s="390"/>
      <c r="P136" s="390"/>
      <c r="Q136" s="390"/>
      <c r="R136" s="390"/>
      <c r="S136" s="390"/>
      <c r="T136" s="390"/>
      <c r="U136" s="390"/>
      <c r="V136" s="390"/>
      <c r="W136" s="390"/>
      <c r="X136" s="390"/>
      <c r="Y136" s="377"/>
      <c r="Z136" s="376"/>
      <c r="AA136" s="377"/>
    </row>
    <row r="137" spans="7:27" x14ac:dyDescent="0.25">
      <c r="G137" s="523" t="s">
        <v>243</v>
      </c>
      <c r="H137" s="366"/>
      <c r="I137" s="367" t="s">
        <v>195</v>
      </c>
      <c r="J137" s="368"/>
      <c r="K137" s="368"/>
      <c r="L137" s="368"/>
      <c r="M137" s="367" t="s">
        <v>194</v>
      </c>
      <c r="N137" s="368"/>
      <c r="O137" s="368"/>
      <c r="P137" s="368"/>
      <c r="Q137" s="367" t="s">
        <v>193</v>
      </c>
      <c r="R137" s="368"/>
      <c r="S137" s="368"/>
      <c r="T137" s="368"/>
      <c r="U137" s="367" t="s">
        <v>192</v>
      </c>
      <c r="V137" s="368"/>
      <c r="W137" s="368"/>
      <c r="X137" s="393"/>
      <c r="Y137" s="375"/>
      <c r="Z137" s="376"/>
      <c r="AA137" s="377"/>
    </row>
    <row r="138" spans="7:27" x14ac:dyDescent="0.25">
      <c r="G138" s="524"/>
      <c r="H138" s="372" t="s">
        <v>191</v>
      </c>
      <c r="I138" s="373"/>
      <c r="J138" s="373"/>
      <c r="K138" s="373"/>
      <c r="L138" s="373"/>
      <c r="M138" s="373"/>
      <c r="N138" s="373"/>
      <c r="O138" s="373"/>
      <c r="P138" s="373"/>
      <c r="Q138" s="399"/>
      <c r="R138" s="255"/>
      <c r="S138" s="400"/>
      <c r="T138" s="400"/>
      <c r="U138" s="373"/>
      <c r="V138" s="373"/>
      <c r="W138" s="373"/>
      <c r="X138" s="374"/>
      <c r="Y138" s="375"/>
      <c r="Z138" s="401"/>
      <c r="AA138" s="377"/>
    </row>
    <row r="139" spans="7:27" x14ac:dyDescent="0.25">
      <c r="G139" s="524"/>
      <c r="H139" s="372" t="s">
        <v>186</v>
      </c>
      <c r="I139" s="378"/>
      <c r="J139" s="378"/>
      <c r="K139" s="378"/>
      <c r="L139" s="378"/>
      <c r="M139" s="378"/>
      <c r="N139" s="378"/>
      <c r="O139" s="378"/>
      <c r="P139" s="378"/>
      <c r="Q139" s="402" t="s">
        <v>244</v>
      </c>
      <c r="R139" s="403"/>
      <c r="S139" s="526">
        <f>'[5]2017.02-2017.08'!T142</f>
        <v>0</v>
      </c>
      <c r="T139" s="527"/>
      <c r="U139" s="378"/>
      <c r="V139" s="378"/>
      <c r="W139" s="378"/>
      <c r="X139" s="379"/>
      <c r="Y139" s="375"/>
      <c r="Z139" s="377"/>
      <c r="AA139" s="377"/>
    </row>
    <row r="140" spans="7:27" x14ac:dyDescent="0.25">
      <c r="G140" s="524"/>
      <c r="H140" s="372" t="s">
        <v>184</v>
      </c>
      <c r="I140" s="378"/>
      <c r="J140" s="380"/>
      <c r="K140" s="381">
        <v>0</v>
      </c>
      <c r="L140" s="378"/>
      <c r="M140" s="378"/>
      <c r="N140" s="378"/>
      <c r="O140" s="378"/>
      <c r="P140" s="378"/>
      <c r="Q140" s="528" t="s">
        <v>245</v>
      </c>
      <c r="R140" s="529"/>
      <c r="S140" s="530">
        <f>SUM(AA146)</f>
        <v>809.76520000000005</v>
      </c>
      <c r="T140" s="531"/>
      <c r="U140" s="378"/>
      <c r="V140" s="378"/>
      <c r="W140" s="381">
        <f>K129+O129+S129+W129+K140</f>
        <v>1104.6599999999999</v>
      </c>
      <c r="X140" s="379"/>
      <c r="Y140" s="375"/>
      <c r="Z140" s="401"/>
      <c r="AA140" s="377"/>
    </row>
    <row r="141" spans="7:27" x14ac:dyDescent="0.25">
      <c r="G141" s="524"/>
      <c r="H141" s="382" t="s">
        <v>182</v>
      </c>
      <c r="I141" s="383">
        <v>124</v>
      </c>
      <c r="J141" s="384" t="s">
        <v>181</v>
      </c>
      <c r="K141" s="358"/>
      <c r="L141" s="358"/>
      <c r="M141" s="386"/>
      <c r="N141" s="384" t="s">
        <v>181</v>
      </c>
      <c r="O141" s="358"/>
      <c r="P141" s="358"/>
      <c r="Q141" s="238"/>
      <c r="R141" s="237"/>
      <c r="S141" s="358"/>
      <c r="T141" s="358"/>
      <c r="U141" s="404">
        <f>I130+M130+Q130+U130+I141</f>
        <v>592</v>
      </c>
      <c r="V141" s="384" t="s">
        <v>181</v>
      </c>
      <c r="W141" s="358"/>
      <c r="X141" s="388"/>
      <c r="Y141" s="375"/>
      <c r="Z141" s="401" t="s">
        <v>180</v>
      </c>
      <c r="AA141" s="377">
        <v>437.23799999999994</v>
      </c>
    </row>
    <row r="142" spans="7:27" x14ac:dyDescent="0.25">
      <c r="G142" s="524"/>
      <c r="H142" s="372" t="s">
        <v>179</v>
      </c>
      <c r="I142" s="389">
        <v>0</v>
      </c>
      <c r="J142" s="378"/>
      <c r="K142" s="390">
        <f>SUM(I140:L140)</f>
        <v>0</v>
      </c>
      <c r="L142" s="390"/>
      <c r="M142" s="378"/>
      <c r="N142" s="378"/>
      <c r="O142" s="390"/>
      <c r="P142" s="390"/>
      <c r="Q142" s="402" t="s">
        <v>246</v>
      </c>
      <c r="R142" s="403"/>
      <c r="S142" s="526" t="e">
        <f>W142/S139</f>
        <v>#DIV/0!</v>
      </c>
      <c r="T142" s="527"/>
      <c r="U142" s="405">
        <f>I131+M131+Q131+U131+I142</f>
        <v>79</v>
      </c>
      <c r="V142" s="378"/>
      <c r="W142" s="390">
        <f>K131+O131+S131+W131+K142</f>
        <v>1104.6599999999999</v>
      </c>
      <c r="X142" s="391"/>
      <c r="Y142" s="375"/>
      <c r="Z142" s="401" t="s">
        <v>237</v>
      </c>
      <c r="AA142" s="377">
        <v>393.87199999999996</v>
      </c>
    </row>
    <row r="143" spans="7:27" x14ac:dyDescent="0.25">
      <c r="G143" s="524"/>
      <c r="H143" s="382" t="s">
        <v>176</v>
      </c>
      <c r="I143" s="386">
        <f>ROUND(K142/I141,2)</f>
        <v>0</v>
      </c>
      <c r="J143" s="371"/>
      <c r="K143" s="358"/>
      <c r="L143" s="358"/>
      <c r="M143" s="386"/>
      <c r="N143" s="371"/>
      <c r="O143" s="358"/>
      <c r="P143" s="358"/>
      <c r="Q143" s="241"/>
      <c r="R143" s="240"/>
      <c r="S143" s="390"/>
      <c r="T143" s="390"/>
      <c r="U143" s="386">
        <f>ROUND(W142/U141,2)</f>
        <v>1.87</v>
      </c>
      <c r="V143" s="371"/>
      <c r="W143" s="358"/>
      <c r="X143" s="388"/>
      <c r="Y143" s="375"/>
      <c r="Z143" s="401">
        <v>15</v>
      </c>
      <c r="AA143" s="377">
        <v>434.78999999999996</v>
      </c>
    </row>
    <row r="144" spans="7:27" x14ac:dyDescent="0.25">
      <c r="G144" s="524"/>
      <c r="H144" s="372" t="s">
        <v>174</v>
      </c>
      <c r="I144" s="378" t="e">
        <f>ROUND(K142/I142,2)</f>
        <v>#DIV/0!</v>
      </c>
      <c r="J144" s="378"/>
      <c r="K144" s="390"/>
      <c r="L144" s="390"/>
      <c r="M144" s="378"/>
      <c r="N144" s="378"/>
      <c r="O144" s="390"/>
      <c r="P144" s="390"/>
      <c r="Q144" s="238"/>
      <c r="R144" s="237"/>
      <c r="S144" s="358"/>
      <c r="T144" s="358"/>
      <c r="U144" s="378">
        <f>ROUND(W142/U142,2)</f>
        <v>13.98</v>
      </c>
      <c r="V144" s="378"/>
      <c r="W144" s="390"/>
      <c r="X144" s="391"/>
      <c r="Y144" s="375"/>
      <c r="Z144" s="401" t="s">
        <v>173</v>
      </c>
      <c r="AA144" s="377">
        <v>2532.636</v>
      </c>
    </row>
    <row r="145" spans="7:27" x14ac:dyDescent="0.25">
      <c r="G145" s="524"/>
      <c r="H145" s="382" t="s">
        <v>172</v>
      </c>
      <c r="I145" s="371"/>
      <c r="J145" s="358"/>
      <c r="K145" s="358"/>
      <c r="L145" s="358"/>
      <c r="M145" s="371"/>
      <c r="N145" s="358"/>
      <c r="O145" s="358"/>
      <c r="P145" s="358"/>
      <c r="Q145" s="402" t="s">
        <v>247</v>
      </c>
      <c r="R145" s="403"/>
      <c r="S145" s="526">
        <f>SUM(W142/S140)</f>
        <v>1.3641732195950131</v>
      </c>
      <c r="T145" s="527"/>
      <c r="U145" s="371"/>
      <c r="V145" s="358"/>
      <c r="W145" s="358"/>
      <c r="X145" s="388"/>
      <c r="Y145" s="375"/>
      <c r="Z145" s="401" t="s">
        <v>170</v>
      </c>
      <c r="AA145" s="377">
        <v>250.29</v>
      </c>
    </row>
    <row r="146" spans="7:27" x14ac:dyDescent="0.25">
      <c r="G146" s="525"/>
      <c r="H146" s="372" t="s">
        <v>169</v>
      </c>
      <c r="I146" s="378"/>
      <c r="J146" s="522" t="e">
        <f>SUM(K142/'[5]2017.02-2017.08'!H142)</f>
        <v>#DIV/0!</v>
      </c>
      <c r="K146" s="522"/>
      <c r="L146" s="390"/>
      <c r="M146" s="378"/>
      <c r="N146" s="406"/>
      <c r="O146" s="406"/>
      <c r="P146" s="390"/>
      <c r="Q146" s="224"/>
      <c r="R146" s="223"/>
      <c r="S146" s="390"/>
      <c r="T146" s="390"/>
      <c r="U146" s="378"/>
      <c r="V146" s="390"/>
      <c r="W146" s="390"/>
      <c r="X146" s="391"/>
      <c r="Y146" s="375"/>
      <c r="Z146" s="407"/>
      <c r="AA146" s="407">
        <f>AVERAGE(AA141:AA145)</f>
        <v>809.76520000000005</v>
      </c>
    </row>
  </sheetData>
  <mergeCells count="59">
    <mergeCell ref="W3:X3"/>
    <mergeCell ref="G4:G13"/>
    <mergeCell ref="J13:K13"/>
    <mergeCell ref="N13:O13"/>
    <mergeCell ref="G15:G24"/>
    <mergeCell ref="U15:X15"/>
    <mergeCell ref="V61:W61"/>
    <mergeCell ref="G41:G50"/>
    <mergeCell ref="G52:G61"/>
    <mergeCell ref="R61:S61"/>
    <mergeCell ref="Q31:R31"/>
    <mergeCell ref="S31:T31"/>
    <mergeCell ref="Q34:R34"/>
    <mergeCell ref="S34:T34"/>
    <mergeCell ref="G26:G35"/>
    <mergeCell ref="Q28:R28"/>
    <mergeCell ref="S28:T28"/>
    <mergeCell ref="Q29:R29"/>
    <mergeCell ref="S29:T29"/>
    <mergeCell ref="V98:W98"/>
    <mergeCell ref="G63:G72"/>
    <mergeCell ref="Q65:R65"/>
    <mergeCell ref="S65:T65"/>
    <mergeCell ref="Q66:R66"/>
    <mergeCell ref="S66:T66"/>
    <mergeCell ref="Q68:R68"/>
    <mergeCell ref="S68:T68"/>
    <mergeCell ref="Q71:R71"/>
    <mergeCell ref="S71:T71"/>
    <mergeCell ref="G78:G87"/>
    <mergeCell ref="G89:G98"/>
    <mergeCell ref="J98:K98"/>
    <mergeCell ref="N98:O98"/>
    <mergeCell ref="R98:S98"/>
    <mergeCell ref="G100:G109"/>
    <mergeCell ref="Q102:R102"/>
    <mergeCell ref="S102:T102"/>
    <mergeCell ref="Q103:R103"/>
    <mergeCell ref="S103:T103"/>
    <mergeCell ref="Q105:R105"/>
    <mergeCell ref="S105:T105"/>
    <mergeCell ref="Q108:R108"/>
    <mergeCell ref="S108:T108"/>
    <mergeCell ref="J109:K109"/>
    <mergeCell ref="G115:G124"/>
    <mergeCell ref="J124:K124"/>
    <mergeCell ref="N124:O124"/>
    <mergeCell ref="G126:G135"/>
    <mergeCell ref="J135:K135"/>
    <mergeCell ref="N135:O135"/>
    <mergeCell ref="R135:S135"/>
    <mergeCell ref="V135:W135"/>
    <mergeCell ref="G137:G146"/>
    <mergeCell ref="S139:T139"/>
    <mergeCell ref="Q140:R140"/>
    <mergeCell ref="S140:T140"/>
    <mergeCell ref="S142:T142"/>
    <mergeCell ref="S145:T145"/>
    <mergeCell ref="J146:K14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ウルメイワシ</vt:lpstr>
      <vt:lpstr>マイワシ</vt:lpstr>
      <vt:lpstr>カタクチイワシ</vt:lpstr>
      <vt:lpstr>鹿児島</vt:lpstr>
      <vt:lpstr>熊本</vt:lpstr>
      <vt:lpstr>佐賀</vt:lpstr>
      <vt:lpstr>福岡</vt:lpstr>
      <vt:lpstr>山口</vt:lpstr>
      <vt:lpstr>長崎</vt:lpstr>
      <vt:lpstr>201810漁海況</vt:lpstr>
      <vt:lpstr>201803漁海況</vt:lpstr>
      <vt:lpstr>201710漁海況</vt:lpstr>
      <vt:lpstr>201703漁海況</vt:lpstr>
      <vt:lpstr>201610漁海況</vt:lpstr>
      <vt:lpstr>鹿児島棒受（3種）</vt:lpstr>
      <vt:lpstr>山陰漁況（マイワシ）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大下 誠二</dc:creator>
  <cp:lastModifiedBy>Microsoft Office User</cp:lastModifiedBy>
  <cp:lastPrinted>2012-10-17T04:51:41Z</cp:lastPrinted>
  <dcterms:created xsi:type="dcterms:W3CDTF">2001-10-12T01:40:12Z</dcterms:created>
  <dcterms:modified xsi:type="dcterms:W3CDTF">2018-10-11T05:16:29Z</dcterms:modified>
</cp:coreProperties>
</file>