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ilibiliUps\工程\2024.1\明日方舟时装系列2024\原始文件\"/>
    </mc:Choice>
  </mc:AlternateContent>
  <xr:revisionPtr revIDLastSave="0" documentId="13_ncr:1_{C6F16F94-BFD4-4C15-93B4-504876D35AF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2" i="1" l="1"/>
  <c r="F291" i="1"/>
  <c r="F290" i="1"/>
  <c r="E292" i="1"/>
  <c r="E291" i="1"/>
  <c r="E290" i="1"/>
  <c r="F289" i="1"/>
  <c r="F288" i="1"/>
  <c r="E289" i="1"/>
  <c r="E288" i="1"/>
  <c r="F287" i="1"/>
  <c r="F286" i="1"/>
  <c r="F285" i="1"/>
  <c r="E287" i="1"/>
  <c r="E286" i="1"/>
  <c r="E285" i="1"/>
  <c r="F284" i="1"/>
  <c r="F283" i="1"/>
  <c r="E284" i="1"/>
  <c r="E283" i="1"/>
  <c r="F282" i="1"/>
  <c r="F281" i="1"/>
  <c r="F280" i="1"/>
  <c r="F279" i="1"/>
  <c r="F277" i="1"/>
  <c r="F276" i="1"/>
  <c r="E279" i="1"/>
  <c r="E280" i="1"/>
  <c r="E281" i="1"/>
  <c r="E282" i="1"/>
  <c r="E277" i="1"/>
  <c r="E276" i="1"/>
  <c r="F275" i="1"/>
  <c r="F274" i="1"/>
  <c r="F273" i="1"/>
  <c r="F272" i="1"/>
  <c r="E275" i="1"/>
  <c r="E274" i="1"/>
  <c r="E273" i="1"/>
  <c r="E272" i="1"/>
  <c r="F271" i="1"/>
  <c r="E271" i="1"/>
  <c r="F278" i="1"/>
  <c r="F270" i="1"/>
  <c r="E278" i="1"/>
  <c r="E270" i="1"/>
  <c r="F269" i="1"/>
  <c r="F268" i="1"/>
  <c r="F267" i="1"/>
  <c r="E269" i="1"/>
  <c r="E268" i="1"/>
  <c r="E267" i="1"/>
  <c r="F265" i="1"/>
  <c r="E265" i="1"/>
  <c r="F266" i="1"/>
  <c r="E266" i="1"/>
  <c r="F264" i="1"/>
  <c r="E264" i="1"/>
  <c r="F263" i="1"/>
  <c r="F259" i="1"/>
  <c r="E263" i="1"/>
  <c r="F262" i="1"/>
  <c r="F261" i="1"/>
  <c r="F260" i="1"/>
  <c r="E262" i="1"/>
  <c r="E261" i="1"/>
  <c r="E260" i="1"/>
  <c r="E259" i="1"/>
  <c r="F258" i="1"/>
  <c r="E258" i="1"/>
  <c r="F257" i="1"/>
  <c r="F256" i="1"/>
  <c r="F255" i="1"/>
  <c r="F254" i="1"/>
  <c r="E257" i="1"/>
  <c r="E256" i="1"/>
  <c r="E255" i="1"/>
  <c r="E254" i="1"/>
  <c r="F253" i="1"/>
  <c r="E253" i="1"/>
  <c r="F252" i="1"/>
  <c r="E252" i="1"/>
  <c r="F251" i="1"/>
  <c r="F250" i="1"/>
  <c r="F249" i="1"/>
  <c r="F248" i="1"/>
  <c r="F247" i="1"/>
  <c r="E251" i="1"/>
  <c r="E250" i="1"/>
  <c r="E249" i="1"/>
  <c r="E248" i="1"/>
  <c r="E247" i="1"/>
  <c r="F246" i="1"/>
  <c r="E246" i="1"/>
  <c r="F245" i="1"/>
  <c r="F244" i="1"/>
  <c r="F243" i="1"/>
  <c r="F242" i="1"/>
  <c r="F241" i="1"/>
  <c r="F239" i="1"/>
  <c r="F240" i="1"/>
  <c r="F238" i="1"/>
  <c r="E245" i="1"/>
  <c r="E244" i="1"/>
  <c r="E243" i="1"/>
  <c r="E242" i="1"/>
  <c r="E241" i="1"/>
  <c r="E240" i="1"/>
  <c r="E41" i="1"/>
  <c r="E239" i="1"/>
  <c r="E238" i="1"/>
  <c r="E237" i="1"/>
  <c r="F237" i="1"/>
  <c r="E236" i="1"/>
  <c r="E235" i="1"/>
  <c r="E234" i="1"/>
  <c r="F236" i="1"/>
  <c r="F235" i="1"/>
  <c r="F234" i="1"/>
  <c r="E233" i="1"/>
  <c r="F233" i="1"/>
  <c r="F232" i="1"/>
  <c r="E232" i="1"/>
  <c r="E231" i="1"/>
  <c r="F231" i="1"/>
  <c r="E230" i="1"/>
  <c r="F230" i="1"/>
  <c r="F228" i="1"/>
  <c r="E228" i="1"/>
  <c r="E229" i="1"/>
  <c r="E227" i="1"/>
  <c r="F229" i="1"/>
  <c r="F227" i="1"/>
  <c r="F223" i="1"/>
  <c r="F226" i="1"/>
  <c r="F225" i="1"/>
  <c r="F224" i="1"/>
  <c r="F222" i="1"/>
  <c r="E226" i="1"/>
  <c r="E225" i="1"/>
  <c r="E224" i="1"/>
  <c r="E223" i="1"/>
  <c r="E222" i="1"/>
  <c r="F221" i="1"/>
  <c r="E221" i="1"/>
  <c r="F220" i="1"/>
  <c r="E220" i="1"/>
  <c r="F217" i="1"/>
  <c r="F218" i="1"/>
  <c r="E217" i="1"/>
  <c r="F219" i="1"/>
  <c r="E219" i="1"/>
  <c r="F7" i="1"/>
  <c r="F41" i="1"/>
  <c r="F42" i="1"/>
  <c r="F43" i="1"/>
  <c r="F44" i="1"/>
  <c r="F48" i="1"/>
  <c r="F97" i="1"/>
  <c r="F98" i="1"/>
  <c r="F99" i="1"/>
  <c r="F100" i="1"/>
  <c r="F148" i="1"/>
  <c r="F154" i="1"/>
  <c r="F155" i="1"/>
  <c r="F156" i="1"/>
  <c r="F157" i="1"/>
  <c r="F158" i="1"/>
  <c r="F159" i="1"/>
  <c r="F160" i="1"/>
  <c r="F161" i="1"/>
  <c r="F162" i="1"/>
  <c r="F209" i="1"/>
  <c r="F216" i="1"/>
  <c r="E218" i="1"/>
  <c r="E216" i="1"/>
  <c r="E215" i="1"/>
  <c r="E214" i="1"/>
  <c r="F215" i="1"/>
  <c r="F214" i="1"/>
  <c r="F213" i="1"/>
  <c r="E7" i="1"/>
  <c r="E66" i="1"/>
  <c r="E204" i="1"/>
  <c r="E154" i="1"/>
  <c r="E174" i="1"/>
  <c r="E52" i="1"/>
  <c r="E42" i="1"/>
  <c r="E3" i="1"/>
  <c r="E84" i="1"/>
  <c r="E28" i="1"/>
  <c r="E4" i="1"/>
  <c r="E44" i="1"/>
  <c r="E31" i="1"/>
  <c r="E25" i="1"/>
  <c r="E96" i="1"/>
  <c r="E24" i="1"/>
  <c r="E125" i="1"/>
  <c r="E92" i="1"/>
  <c r="E47" i="1"/>
  <c r="E68" i="1"/>
  <c r="E177" i="1"/>
  <c r="E213" i="1"/>
  <c r="F212" i="1"/>
  <c r="F211" i="1"/>
  <c r="E212" i="1"/>
  <c r="E211" i="1"/>
  <c r="E210" i="1"/>
  <c r="F210" i="1"/>
  <c r="E209" i="1"/>
  <c r="F208" i="1"/>
  <c r="F207" i="1"/>
  <c r="F206" i="1"/>
  <c r="F205" i="1"/>
  <c r="F204" i="1"/>
  <c r="F203" i="1"/>
  <c r="E208" i="1"/>
  <c r="E207" i="1"/>
  <c r="E206" i="1"/>
  <c r="E205" i="1"/>
  <c r="E203" i="1"/>
  <c r="F202" i="1"/>
  <c r="F201" i="1"/>
  <c r="F200" i="1"/>
  <c r="E200" i="1"/>
  <c r="E201" i="1"/>
  <c r="E202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2" i="1"/>
  <c r="F183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53" i="1"/>
  <c r="F152" i="1"/>
  <c r="F151" i="1"/>
  <c r="F150" i="1"/>
  <c r="F149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96" i="1"/>
  <c r="F95" i="1"/>
  <c r="F94" i="1"/>
  <c r="F93" i="1"/>
  <c r="F92" i="1"/>
  <c r="F82" i="1"/>
  <c r="F91" i="1"/>
  <c r="F90" i="1"/>
  <c r="F89" i="1"/>
  <c r="F88" i="1"/>
  <c r="F87" i="1"/>
  <c r="F86" i="1"/>
  <c r="F85" i="1"/>
  <c r="F84" i="1"/>
  <c r="F83" i="1"/>
  <c r="F81" i="1"/>
  <c r="F80" i="1"/>
  <c r="F79" i="1"/>
  <c r="F78" i="1"/>
  <c r="F77" i="1"/>
  <c r="F76" i="1"/>
  <c r="F75" i="1"/>
  <c r="F73" i="1"/>
  <c r="F72" i="1"/>
  <c r="F71" i="1"/>
  <c r="F70" i="1"/>
  <c r="F69" i="1"/>
  <c r="F68" i="1"/>
  <c r="F67" i="1"/>
  <c r="F66" i="1"/>
  <c r="F62" i="1"/>
  <c r="F65" i="1"/>
  <c r="F64" i="1"/>
  <c r="F63" i="1"/>
  <c r="F74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7" i="1"/>
  <c r="F46" i="1"/>
  <c r="F45" i="1"/>
  <c r="F22" i="1"/>
  <c r="F40" i="1"/>
  <c r="F39" i="1"/>
  <c r="F38" i="1"/>
  <c r="F37" i="1"/>
  <c r="F36" i="1"/>
  <c r="F35" i="1"/>
  <c r="F34" i="1"/>
  <c r="F33" i="1"/>
  <c r="F32" i="1"/>
  <c r="F31" i="1"/>
  <c r="F29" i="1"/>
  <c r="F28" i="1"/>
  <c r="F27" i="1"/>
  <c r="F26" i="1"/>
  <c r="F25" i="1"/>
  <c r="F24" i="1"/>
  <c r="F23" i="1"/>
  <c r="F30" i="1"/>
  <c r="F14" i="1"/>
  <c r="F21" i="1"/>
  <c r="F20" i="1"/>
  <c r="F19" i="1"/>
  <c r="F18" i="1"/>
  <c r="F17" i="1"/>
  <c r="F16" i="1"/>
  <c r="F15" i="1"/>
  <c r="F13" i="1"/>
  <c r="F12" i="1"/>
  <c r="F11" i="1"/>
  <c r="F10" i="1"/>
  <c r="F9" i="1"/>
  <c r="F8" i="1"/>
  <c r="F6" i="1"/>
  <c r="F5" i="1"/>
  <c r="F4" i="1"/>
  <c r="F3" i="1"/>
  <c r="F2" i="1"/>
  <c r="E19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6" i="1"/>
  <c r="E27" i="1"/>
  <c r="E29" i="1"/>
  <c r="E30" i="1"/>
  <c r="E32" i="1"/>
  <c r="E33" i="1"/>
  <c r="E34" i="1"/>
  <c r="E35" i="1"/>
  <c r="E36" i="1"/>
  <c r="E37" i="1"/>
  <c r="E38" i="1"/>
  <c r="E39" i="1"/>
  <c r="E40" i="1"/>
  <c r="E43" i="1"/>
  <c r="E45" i="1"/>
  <c r="E46" i="1"/>
  <c r="E48" i="1"/>
  <c r="E49" i="1"/>
  <c r="E50" i="1"/>
  <c r="E51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7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5" i="1"/>
  <c r="E86" i="1"/>
  <c r="E87" i="1"/>
  <c r="E88" i="1"/>
  <c r="E89" i="1"/>
  <c r="E90" i="1"/>
  <c r="E91" i="1"/>
  <c r="E93" i="1"/>
  <c r="E94" i="1"/>
  <c r="E95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5" i="1"/>
  <c r="E176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8" i="1"/>
  <c r="E9" i="1"/>
  <c r="E6" i="1"/>
  <c r="E2" i="1"/>
  <c r="E5" i="1"/>
</calcChain>
</file>

<file path=xl/sharedStrings.xml><?xml version="1.0" encoding="utf-8"?>
<sst xmlns="http://schemas.openxmlformats.org/spreadsheetml/2006/main" count="879" uniqueCount="607">
  <si>
    <t>干员名称</t>
    <phoneticPr fontId="1" type="noConversion"/>
  </si>
  <si>
    <t>服装名称</t>
    <phoneticPr fontId="1" type="noConversion"/>
  </si>
  <si>
    <t>实装日期</t>
    <phoneticPr fontId="1" type="noConversion"/>
  </si>
  <si>
    <t>所属系列</t>
    <phoneticPr fontId="1" type="noConversion"/>
  </si>
  <si>
    <t>十字郡</t>
  </si>
  <si>
    <t>芬</t>
  </si>
  <si>
    <t>寒武纪系列</t>
  </si>
  <si>
    <t>寒冬信使</t>
  </si>
  <si>
    <t>德克萨斯</t>
  </si>
  <si>
    <t>幽灵鲨</t>
  </si>
  <si>
    <t>暗流</t>
  </si>
  <si>
    <t>新航线</t>
  </si>
  <si>
    <t>讯使</t>
  </si>
  <si>
    <t>忒斯特收藏</t>
  </si>
  <si>
    <t>0011制造</t>
  </si>
  <si>
    <t>守岁</t>
  </si>
  <si>
    <t>报童</t>
  </si>
  <si>
    <t>生命之地</t>
  </si>
  <si>
    <t>野地秘行 </t>
  </si>
  <si>
    <t>孤攀客</t>
  </si>
  <si>
    <t>四边形</t>
  </si>
  <si>
    <t>植物种志 </t>
  </si>
  <si>
    <t>辛味</t>
  </si>
  <si>
    <t>SUM019</t>
  </si>
  <si>
    <t>沙滩护卫 GT.001</t>
  </si>
  <si>
    <t>悠然假日 HDm06</t>
  </si>
  <si>
    <t>夏卉 FA011</t>
  </si>
  <si>
    <t>夏卉 FA361</t>
  </si>
  <si>
    <t>日晒 SS.SP</t>
  </si>
  <si>
    <t>红豆</t>
    <phoneticPr fontId="1" type="noConversion"/>
  </si>
  <si>
    <t>悠然假日 HD01</t>
  </si>
  <si>
    <t>静谧午夜 DN02</t>
  </si>
  <si>
    <t>珊瑚海岸</t>
  </si>
  <si>
    <t>雷神开拓者</t>
  </si>
  <si>
    <t>石墨</t>
  </si>
  <si>
    <t>漆匠</t>
  </si>
  <si>
    <t>铁块</t>
  </si>
  <si>
    <t>威塞克斯的信件</t>
  </si>
  <si>
    <t>时代</t>
  </si>
  <si>
    <t>巫异盛宴</t>
  </si>
  <si>
    <t>挽歌</t>
  </si>
  <si>
    <t>盛宴</t>
    <phoneticPr fontId="1" type="noConversion"/>
  </si>
  <si>
    <t>魔术师</t>
  </si>
  <si>
    <t>暗索</t>
    <phoneticPr fontId="1" type="noConversion"/>
  </si>
  <si>
    <t>小鬼当家</t>
  </si>
  <si>
    <t>清晨七点</t>
    <phoneticPr fontId="1" type="noConversion"/>
  </si>
  <si>
    <t>儿童派对</t>
  </si>
  <si>
    <t>合作款</t>
  </si>
  <si>
    <t>燃灰</t>
  </si>
  <si>
    <t>杰西卡</t>
    <phoneticPr fontId="1" type="noConversion"/>
  </si>
  <si>
    <t>遗石</t>
  </si>
  <si>
    <t>枯柏</t>
  </si>
  <si>
    <t>片场一角</t>
  </si>
  <si>
    <t>快乐卫士</t>
  </si>
  <si>
    <t>初雪</t>
    <phoneticPr fontId="1" type="noConversion"/>
  </si>
  <si>
    <t>开斯特之霜</t>
  </si>
  <si>
    <t>银灰</t>
    <phoneticPr fontId="1" type="noConversion"/>
  </si>
  <si>
    <t>约克的寒风</t>
  </si>
  <si>
    <t>厚礼</t>
  </si>
  <si>
    <t>冰原信使</t>
  </si>
  <si>
    <t>时代</t>
    <phoneticPr fontId="1" type="noConversion"/>
  </si>
  <si>
    <t>未知的旅行</t>
  </si>
  <si>
    <t>春竜</t>
  </si>
  <si>
    <t>富贵荣华</t>
  </si>
  <si>
    <t>高原访客</t>
  </si>
  <si>
    <t>战医</t>
  </si>
  <si>
    <t>狩标浪人</t>
  </si>
  <si>
    <t>整装待发</t>
  </si>
  <si>
    <t>幽静</t>
    <phoneticPr fontId="1" type="noConversion"/>
  </si>
  <si>
    <t>0011飙系列</t>
  </si>
  <si>
    <t>见习联结者</t>
  </si>
  <si>
    <t>无题密令</t>
  </si>
  <si>
    <t>斗争血脉</t>
  </si>
  <si>
    <t>灰喉</t>
    <phoneticPr fontId="1" type="noConversion"/>
  </si>
  <si>
    <t>归巢</t>
  </si>
  <si>
    <t>无畏</t>
  </si>
  <si>
    <t>第七夜苏醒魔君</t>
    <phoneticPr fontId="1" type="noConversion"/>
  </si>
  <si>
    <t>典雅噩兆</t>
  </si>
  <si>
    <t>质素访客</t>
  </si>
  <si>
    <t>坚城</t>
  </si>
  <si>
    <t>罗德厨房</t>
  </si>
  <si>
    <t>回味冰霜雪</t>
  </si>
  <si>
    <t>书味</t>
  </si>
  <si>
    <t>掠蜜能手</t>
  </si>
  <si>
    <t>无形悼挽</t>
  </si>
  <si>
    <t>光影</t>
  </si>
  <si>
    <t>除魅</t>
  </si>
  <si>
    <t>寻耀</t>
  </si>
  <si>
    <t>灿阳朝露 SD01</t>
  </si>
  <si>
    <t>驭浪 WR04</t>
  </si>
  <si>
    <t>悠然夏日 HD08</t>
  </si>
  <si>
    <t>灿阳朝露 SD05</t>
  </si>
  <si>
    <t>探寻者 SKm01</t>
  </si>
  <si>
    <t>夏卉 FA333</t>
  </si>
  <si>
    <t>探寻者 SK03</t>
  </si>
  <si>
    <t>夏卉 FA661</t>
  </si>
  <si>
    <t>弃土花开</t>
  </si>
  <si>
    <t>宝藏行家</t>
  </si>
  <si>
    <t>远望</t>
    <phoneticPr fontId="1" type="noConversion"/>
  </si>
  <si>
    <t>美妙时光</t>
  </si>
  <si>
    <t>缠梦古堡</t>
  </si>
  <si>
    <t>梦魇之梦</t>
  </si>
  <si>
    <t>庭院寻梦尖兵</t>
  </si>
  <si>
    <t>广场扫荡客</t>
  </si>
  <si>
    <t>古堡清洁专家</t>
  </si>
  <si>
    <t>恍惚</t>
  </si>
  <si>
    <t>意志</t>
    <phoneticPr fontId="1" type="noConversion"/>
  </si>
  <si>
    <t>少尉</t>
    <phoneticPr fontId="1" type="noConversion"/>
  </si>
  <si>
    <t>皇后一号</t>
  </si>
  <si>
    <t>渗透</t>
  </si>
  <si>
    <t>八音蛋匠人</t>
  </si>
  <si>
    <t>铁律</t>
    <phoneticPr fontId="1" type="noConversion"/>
  </si>
  <si>
    <t>糖果仙子 </t>
  </si>
  <si>
    <t>极境</t>
    <phoneticPr fontId="1" type="noConversion"/>
  </si>
  <si>
    <t>雪夜回音</t>
  </si>
  <si>
    <t>守林人</t>
    <phoneticPr fontId="1" type="noConversion"/>
  </si>
  <si>
    <t>覆雪</t>
  </si>
  <si>
    <t>寒武纪系列</t>
    <phoneticPr fontId="1" type="noConversion"/>
  </si>
  <si>
    <t>软绒</t>
    <phoneticPr fontId="1" type="noConversion"/>
  </si>
  <si>
    <t>随性</t>
  </si>
  <si>
    <t>模特之夜</t>
  </si>
  <si>
    <t>霜息</t>
  </si>
  <si>
    <t>年</t>
    <phoneticPr fontId="1" type="noConversion"/>
  </si>
  <si>
    <t>乐逍遥</t>
  </si>
  <si>
    <t>百面郎中</t>
  </si>
  <si>
    <t>一介车夫</t>
  </si>
  <si>
    <t>孤寒峭</t>
  </si>
  <si>
    <t>游侠 </t>
  </si>
  <si>
    <t>领主</t>
  </si>
  <si>
    <t>天际线</t>
    <phoneticPr fontId="1" type="noConversion"/>
  </si>
  <si>
    <t>雷神推进者</t>
  </si>
  <si>
    <t>超载</t>
  </si>
  <si>
    <t>播种者</t>
  </si>
  <si>
    <t>斗争血脉</t>
    <phoneticPr fontId="1" type="noConversion"/>
  </si>
  <si>
    <t>歧路幻影</t>
  </si>
  <si>
    <t>曲刃晴风</t>
  </si>
  <si>
    <t>乌云</t>
  </si>
  <si>
    <t>受验者</t>
  </si>
  <si>
    <t>熔锻铸匠</t>
  </si>
  <si>
    <t>绚烂夏花</t>
  </si>
  <si>
    <t>斑点</t>
    <phoneticPr fontId="1" type="noConversion"/>
  </si>
  <si>
    <t>专业人士</t>
  </si>
  <si>
    <t>爆裂菲林</t>
    <phoneticPr fontId="1" type="noConversion"/>
  </si>
  <si>
    <t>音律联觉</t>
  </si>
  <si>
    <t>无言狂响 </t>
  </si>
  <si>
    <t>漆黑热浪</t>
    <phoneticPr fontId="1" type="noConversion"/>
  </si>
  <si>
    <t>浅滩律动</t>
  </si>
  <si>
    <t>惬意</t>
  </si>
  <si>
    <t>自由//失效</t>
  </si>
  <si>
    <t>残葛</t>
  </si>
  <si>
    <t>乌萨斯IO79</t>
  </si>
  <si>
    <t>白沙</t>
  </si>
  <si>
    <t>伦式巫女</t>
  </si>
  <si>
    <t>闲适午后</t>
  </si>
  <si>
    <t>波登可</t>
    <phoneticPr fontId="1" type="noConversion"/>
  </si>
  <si>
    <t>小憩初醒</t>
  </si>
  <si>
    <t>荒原行者</t>
  </si>
  <si>
    <t>夏卉 FA018</t>
  </si>
  <si>
    <t>夏卉 FA017</t>
  </si>
  <si>
    <t>静谧午夜 DN04</t>
  </si>
  <si>
    <t>夏卉 FA026</t>
  </si>
  <si>
    <t>轻风 LB01</t>
  </si>
  <si>
    <t>轻风 LB03</t>
  </si>
  <si>
    <t>沙滩护卫 GT002</t>
  </si>
  <si>
    <t>静谧午夜 DN06</t>
  </si>
  <si>
    <t>悠然假日 HD31</t>
  </si>
  <si>
    <t>宣传策略</t>
  </si>
  <si>
    <t>闪耀阶梯</t>
  </si>
  <si>
    <t>殿堂上的游禽</t>
  </si>
  <si>
    <t>倾声歌唱</t>
  </si>
  <si>
    <t>诗人的假日</t>
  </si>
  <si>
    <t>荣耀之紫</t>
    <phoneticPr fontId="1" type="noConversion"/>
  </si>
  <si>
    <t>异月灾裔</t>
  </si>
  <si>
    <t>魔城回响</t>
  </si>
  <si>
    <t>天命勇者</t>
  </si>
  <si>
    <t>安息处的怪盗</t>
    <phoneticPr fontId="1" type="noConversion"/>
  </si>
  <si>
    <t>传承</t>
  </si>
  <si>
    <t>杰作</t>
  </si>
  <si>
    <t>暗矢</t>
  </si>
  <si>
    <t>淡金庆典</t>
  </si>
  <si>
    <t>妙手玄心</t>
  </si>
  <si>
    <t>原野的馈赠</t>
  </si>
  <si>
    <t>霍恩洛厄的寒沙</t>
  </si>
  <si>
    <t>希望巡游</t>
  </si>
  <si>
    <t>纸板仙子</t>
  </si>
  <si>
    <t>未完成的礼物</t>
    <phoneticPr fontId="1" type="noConversion"/>
  </si>
  <si>
    <t>暮影藤萝</t>
  </si>
  <si>
    <t>染尘烟</t>
  </si>
  <si>
    <t>冷山月</t>
  </si>
  <si>
    <t>且试箸</t>
  </si>
  <si>
    <t>深靛</t>
    <phoneticPr fontId="1" type="noConversion"/>
  </si>
  <si>
    <t>待晴日</t>
  </si>
  <si>
    <t>无拘无束</t>
  </si>
  <si>
    <t>街道狂花</t>
    <phoneticPr fontId="1" type="noConversion"/>
  </si>
  <si>
    <t>杰克</t>
    <phoneticPr fontId="1" type="noConversion"/>
  </si>
  <si>
    <t>纵身一跃</t>
  </si>
  <si>
    <t>幽谷奏鸣</t>
  </si>
  <si>
    <t>琴柳</t>
    <phoneticPr fontId="1" type="noConversion"/>
  </si>
  <si>
    <t>识芳</t>
  </si>
  <si>
    <t>植药</t>
  </si>
  <si>
    <t>培翠</t>
    <phoneticPr fontId="1" type="noConversion"/>
  </si>
  <si>
    <t>幽苔</t>
  </si>
  <si>
    <t>超级断罪朋友</t>
  </si>
  <si>
    <t>成就之星</t>
  </si>
  <si>
    <t>焦点</t>
  </si>
  <si>
    <t>摧城</t>
  </si>
  <si>
    <t>悍将</t>
  </si>
  <si>
    <t>生存</t>
  </si>
  <si>
    <t>海岸救援改装</t>
  </si>
  <si>
    <t>破冰</t>
  </si>
  <si>
    <t>黑曜石</t>
  </si>
  <si>
    <t>开牌制胜</t>
  </si>
  <si>
    <t>翡翠假日</t>
  </si>
  <si>
    <t>升华</t>
  </si>
  <si>
    <t>先驱</t>
  </si>
  <si>
    <t>极昼捕手</t>
  </si>
  <si>
    <t>返航</t>
  </si>
  <si>
    <t>小健将</t>
  </si>
  <si>
    <t>光铳调试员</t>
  </si>
  <si>
    <t>前沿玩家</t>
  </si>
  <si>
    <t>夏卉 FA641</t>
  </si>
  <si>
    <t>灿阳朝露 SD08</t>
  </si>
  <si>
    <t>悠然假日 HDm04</t>
  </si>
  <si>
    <t>无痕行者</t>
    <phoneticPr fontId="1" type="noConversion"/>
  </si>
  <si>
    <t>夏卉 FA210</t>
  </si>
  <si>
    <t>缤纷奇境 CW03</t>
  </si>
  <si>
    <t>夏卉 FA374</t>
  </si>
  <si>
    <t>组间休息</t>
  </si>
  <si>
    <t>伪装</t>
  </si>
  <si>
    <t>读者</t>
  </si>
  <si>
    <t>心性</t>
  </si>
  <si>
    <t>欢唱之前</t>
    <phoneticPr fontId="1" type="noConversion"/>
  </si>
  <si>
    <t>正义缔造者</t>
  </si>
  <si>
    <t>温差 RT.RX01</t>
    <phoneticPr fontId="1" type="noConversion"/>
  </si>
  <si>
    <t>岁红霞 </t>
    <phoneticPr fontId="1" type="noConversion"/>
  </si>
  <si>
    <t>夏卉 FA008</t>
    <phoneticPr fontId="1" type="noConversion"/>
  </si>
  <si>
    <t>0011制造</t>
    <phoneticPr fontId="1" type="noConversion"/>
  </si>
  <si>
    <t>阿米娅</t>
    <phoneticPr fontId="1" type="noConversion"/>
  </si>
  <si>
    <t>蛇屠箱</t>
    <phoneticPr fontId="1" type="noConversion"/>
  </si>
  <si>
    <t>崖心</t>
    <phoneticPr fontId="1" type="noConversion"/>
  </si>
  <si>
    <t>能天使</t>
    <phoneticPr fontId="1" type="noConversion"/>
  </si>
  <si>
    <t>芙蓉</t>
    <phoneticPr fontId="1" type="noConversion"/>
  </si>
  <si>
    <t>野鬃</t>
    <phoneticPr fontId="1" type="noConversion"/>
  </si>
  <si>
    <t>洛洛</t>
    <phoneticPr fontId="1" type="noConversion"/>
  </si>
  <si>
    <t>铃兰</t>
    <phoneticPr fontId="1" type="noConversion"/>
  </si>
  <si>
    <t>赤冬</t>
    <phoneticPr fontId="1" type="noConversion"/>
  </si>
  <si>
    <t>山</t>
    <phoneticPr fontId="1" type="noConversion"/>
  </si>
  <si>
    <t> 宴</t>
    <phoneticPr fontId="1" type="noConversion"/>
  </si>
  <si>
    <t>布洛卡</t>
    <phoneticPr fontId="1" type="noConversion"/>
  </si>
  <si>
    <t>罗比菈塔</t>
    <phoneticPr fontId="1" type="noConversion"/>
  </si>
  <si>
    <t>史尔特尔</t>
    <phoneticPr fontId="1" type="noConversion"/>
  </si>
  <si>
    <t>羽毛笔</t>
    <phoneticPr fontId="1" type="noConversion"/>
  </si>
  <si>
    <t>安德切尔</t>
    <phoneticPr fontId="1" type="noConversion"/>
  </si>
  <si>
    <t>炎客</t>
    <phoneticPr fontId="1" type="noConversion"/>
  </si>
  <si>
    <t>卡涅利安</t>
    <phoneticPr fontId="1" type="noConversion"/>
  </si>
  <si>
    <t>夜半</t>
    <phoneticPr fontId="1" type="noConversion"/>
  </si>
  <si>
    <t>绮良</t>
    <phoneticPr fontId="1" type="noConversion"/>
  </si>
  <si>
    <t>奥斯塔</t>
    <phoneticPr fontId="1" type="noConversion"/>
  </si>
  <si>
    <t>焰尾</t>
    <phoneticPr fontId="1" type="noConversion"/>
  </si>
  <si>
    <t>歌蕾蒂娅</t>
    <phoneticPr fontId="1" type="noConversion"/>
  </si>
  <si>
    <t>极光</t>
    <phoneticPr fontId="1" type="noConversion"/>
  </si>
  <si>
    <t>灵知</t>
    <phoneticPr fontId="1" type="noConversion"/>
  </si>
  <si>
    <t>浊心斯卡蒂</t>
    <phoneticPr fontId="1" type="noConversion"/>
  </si>
  <si>
    <t>霜叶</t>
    <phoneticPr fontId="1" type="noConversion"/>
  </si>
  <si>
    <t>Lancet-2</t>
    <phoneticPr fontId="1" type="noConversion"/>
  </si>
  <si>
    <t>苇草</t>
    <phoneticPr fontId="1" type="noConversion"/>
  </si>
  <si>
    <t>龙舌兰</t>
    <phoneticPr fontId="1" type="noConversion"/>
  </si>
  <si>
    <t>泥岩</t>
    <phoneticPr fontId="1" type="noConversion"/>
  </si>
  <si>
    <t>清道夫</t>
    <phoneticPr fontId="1" type="noConversion"/>
  </si>
  <si>
    <t>因陀罗</t>
    <phoneticPr fontId="1" type="noConversion"/>
  </si>
  <si>
    <t>推进之王</t>
    <phoneticPr fontId="1" type="noConversion"/>
  </si>
  <si>
    <t>傀影</t>
    <phoneticPr fontId="1" type="noConversion"/>
  </si>
  <si>
    <t>断罪者</t>
    <phoneticPr fontId="1" type="noConversion"/>
  </si>
  <si>
    <t>暴雨</t>
    <phoneticPr fontId="1" type="noConversion"/>
  </si>
  <si>
    <t>图耶</t>
    <phoneticPr fontId="1" type="noConversion"/>
  </si>
  <si>
    <t>桑葚</t>
    <phoneticPr fontId="1" type="noConversion"/>
  </si>
  <si>
    <t>石棉</t>
    <phoneticPr fontId="1" type="noConversion"/>
  </si>
  <si>
    <t>槐琥</t>
    <phoneticPr fontId="1" type="noConversion"/>
  </si>
  <si>
    <t>刻俄柏</t>
    <phoneticPr fontId="1" type="noConversion"/>
  </si>
  <si>
    <t>食铁兽</t>
    <phoneticPr fontId="1" type="noConversion"/>
  </si>
  <si>
    <t>乌有</t>
    <phoneticPr fontId="1" type="noConversion"/>
  </si>
  <si>
    <t>夕</t>
    <phoneticPr fontId="1" type="noConversion"/>
  </si>
  <si>
    <t>炎狱炎熔</t>
    <phoneticPr fontId="1" type="noConversion"/>
  </si>
  <si>
    <t>豆苗</t>
    <phoneticPr fontId="1" type="noConversion"/>
  </si>
  <si>
    <t>卡夫卡</t>
    <phoneticPr fontId="1" type="noConversion"/>
  </si>
  <si>
    <t>莱恩哈特</t>
    <phoneticPr fontId="1" type="noConversion"/>
  </si>
  <si>
    <t>罗宾</t>
    <phoneticPr fontId="1" type="noConversion"/>
  </si>
  <si>
    <t>阿</t>
    <phoneticPr fontId="1" type="noConversion"/>
  </si>
  <si>
    <t>桃金娘</t>
    <phoneticPr fontId="1" type="noConversion"/>
  </si>
  <si>
    <t>安哲拉</t>
    <phoneticPr fontId="1" type="noConversion"/>
  </si>
  <si>
    <t>早露</t>
    <phoneticPr fontId="1" type="noConversion"/>
  </si>
  <si>
    <t>帕拉斯</t>
    <phoneticPr fontId="1" type="noConversion"/>
  </si>
  <si>
    <t>卡达</t>
    <phoneticPr fontId="1" type="noConversion"/>
  </si>
  <si>
    <t>雪雉</t>
    <phoneticPr fontId="1" type="noConversion"/>
  </si>
  <si>
    <t>巫恋</t>
    <phoneticPr fontId="1" type="noConversion"/>
  </si>
  <si>
    <t>瑕光</t>
    <phoneticPr fontId="1" type="noConversion"/>
  </si>
  <si>
    <t>鞭刃</t>
    <phoneticPr fontId="1" type="noConversion"/>
  </si>
  <si>
    <t>流星</t>
    <phoneticPr fontId="1" type="noConversion"/>
  </si>
  <si>
    <t>松果</t>
    <phoneticPr fontId="1" type="noConversion"/>
  </si>
  <si>
    <t>星极</t>
    <phoneticPr fontId="1" type="noConversion"/>
  </si>
  <si>
    <t>空弦</t>
    <phoneticPr fontId="1" type="noConversion"/>
  </si>
  <si>
    <t>蓝毒</t>
    <phoneticPr fontId="1" type="noConversion"/>
  </si>
  <si>
    <t>华法琳</t>
    <phoneticPr fontId="1" type="noConversion"/>
  </si>
  <si>
    <t>铸铁</t>
    <phoneticPr fontId="1" type="noConversion"/>
  </si>
  <si>
    <t>孑</t>
    <phoneticPr fontId="1" type="noConversion"/>
  </si>
  <si>
    <t>红</t>
    <phoneticPr fontId="1" type="noConversion"/>
  </si>
  <si>
    <t>苏苏洛</t>
    <phoneticPr fontId="1" type="noConversion"/>
  </si>
  <si>
    <t>特米米</t>
    <phoneticPr fontId="1" type="noConversion"/>
  </si>
  <si>
    <t>安洁莉娜</t>
    <phoneticPr fontId="1" type="noConversion"/>
  </si>
  <si>
    <t>艾雅法拉</t>
    <phoneticPr fontId="1" type="noConversion"/>
  </si>
  <si>
    <t>普罗旺斯</t>
    <phoneticPr fontId="1" type="noConversion"/>
  </si>
  <si>
    <t>调香师</t>
    <phoneticPr fontId="1" type="noConversion"/>
  </si>
  <si>
    <t>月禾</t>
    <phoneticPr fontId="1" type="noConversion"/>
  </si>
  <si>
    <t>蜜蜡</t>
    <phoneticPr fontId="1" type="noConversion"/>
  </si>
  <si>
    <t>亚叶</t>
    <phoneticPr fontId="1" type="noConversion"/>
  </si>
  <si>
    <t>凛冬</t>
    <phoneticPr fontId="1" type="noConversion"/>
  </si>
  <si>
    <t>棘刺</t>
    <phoneticPr fontId="1" type="noConversion"/>
  </si>
  <si>
    <t>讯使</t>
    <phoneticPr fontId="1" type="noConversion"/>
  </si>
  <si>
    <t>煌</t>
    <phoneticPr fontId="1" type="noConversion"/>
  </si>
  <si>
    <t>燧石</t>
    <phoneticPr fontId="1" type="noConversion"/>
  </si>
  <si>
    <t>断崖</t>
    <phoneticPr fontId="1" type="noConversion"/>
  </si>
  <si>
    <t>森蚺</t>
    <phoneticPr fontId="1" type="noConversion"/>
  </si>
  <si>
    <t>白雪</t>
    <phoneticPr fontId="1" type="noConversion"/>
  </si>
  <si>
    <t>赫拉格</t>
    <phoneticPr fontId="1" type="noConversion"/>
  </si>
  <si>
    <t>雷蛇</t>
    <phoneticPr fontId="1" type="noConversion"/>
  </si>
  <si>
    <t>黑</t>
    <phoneticPr fontId="1" type="noConversion"/>
  </si>
  <si>
    <t>战车</t>
    <phoneticPr fontId="1" type="noConversion"/>
  </si>
  <si>
    <t>灰烬</t>
    <phoneticPr fontId="1" type="noConversion"/>
  </si>
  <si>
    <t>絮雨</t>
    <phoneticPr fontId="1" type="noConversion"/>
  </si>
  <si>
    <t>吽</t>
    <phoneticPr fontId="1" type="noConversion"/>
  </si>
  <si>
    <t>赫默</t>
    <phoneticPr fontId="1" type="noConversion"/>
  </si>
  <si>
    <t>砾</t>
    <phoneticPr fontId="1" type="noConversion"/>
  </si>
  <si>
    <t>芳汀</t>
    <phoneticPr fontId="1" type="noConversion"/>
  </si>
  <si>
    <t>柏喙</t>
    <phoneticPr fontId="1" type="noConversion"/>
  </si>
  <si>
    <t>格雷伊</t>
    <phoneticPr fontId="1" type="noConversion"/>
  </si>
  <si>
    <t>温蒂</t>
    <phoneticPr fontId="1" type="noConversion"/>
  </si>
  <si>
    <t>塞雷娅</t>
    <phoneticPr fontId="1" type="noConversion"/>
  </si>
  <si>
    <t>风笛</t>
    <phoneticPr fontId="1" type="noConversion"/>
  </si>
  <si>
    <t>伊桑</t>
    <phoneticPr fontId="1" type="noConversion"/>
  </si>
  <si>
    <t>杜宾</t>
    <phoneticPr fontId="1" type="noConversion"/>
  </si>
  <si>
    <t>德克萨斯</t>
    <phoneticPr fontId="1" type="noConversion"/>
  </si>
  <si>
    <t>W</t>
    <phoneticPr fontId="1" type="noConversion"/>
  </si>
  <si>
    <t>阿消</t>
    <phoneticPr fontId="1" type="noConversion"/>
  </si>
  <si>
    <t>格劳克斯</t>
    <phoneticPr fontId="1" type="noConversion"/>
  </si>
  <si>
    <t>梅尔</t>
    <phoneticPr fontId="1" type="noConversion"/>
  </si>
  <si>
    <t>格拉尼</t>
    <phoneticPr fontId="1" type="noConversion"/>
  </si>
  <si>
    <t>四月</t>
    <phoneticPr fontId="1" type="noConversion"/>
  </si>
  <si>
    <t>宴</t>
    <phoneticPr fontId="1" type="noConversion"/>
  </si>
  <si>
    <t>可颂</t>
    <phoneticPr fontId="1" type="noConversion"/>
  </si>
  <si>
    <t>白金</t>
    <phoneticPr fontId="1" type="noConversion"/>
  </si>
  <si>
    <t>斯卡蒂</t>
    <phoneticPr fontId="1" type="noConversion"/>
  </si>
  <si>
    <t>临光</t>
    <phoneticPr fontId="1" type="noConversion"/>
  </si>
  <si>
    <t>莫斯提马</t>
    <phoneticPr fontId="1" type="noConversion"/>
  </si>
  <si>
    <t>夜魔</t>
    <phoneticPr fontId="1" type="noConversion"/>
  </si>
  <si>
    <t>狮蝎</t>
    <phoneticPr fontId="1" type="noConversion"/>
  </si>
  <si>
    <t>猎蜂</t>
    <phoneticPr fontId="1" type="noConversion"/>
  </si>
  <si>
    <t>真理</t>
    <phoneticPr fontId="1" type="noConversion"/>
  </si>
  <si>
    <t>麦哲伦</t>
    <phoneticPr fontId="1" type="noConversion"/>
  </si>
  <si>
    <t>拉普兰德</t>
    <phoneticPr fontId="1" type="noConversion"/>
  </si>
  <si>
    <t>米格鲁</t>
    <phoneticPr fontId="1" type="noConversion"/>
  </si>
  <si>
    <t>月见夜</t>
    <phoneticPr fontId="1" type="noConversion"/>
  </si>
  <si>
    <t>送葬人</t>
    <phoneticPr fontId="1" type="noConversion"/>
  </si>
  <si>
    <t>白面鸮</t>
    <phoneticPr fontId="1" type="noConversion"/>
  </si>
  <si>
    <t>星熊</t>
    <phoneticPr fontId="1" type="noConversion"/>
  </si>
  <si>
    <t>嘉维尔</t>
    <phoneticPr fontId="1" type="noConversion"/>
  </si>
  <si>
    <t>远山</t>
    <phoneticPr fontId="1" type="noConversion"/>
  </si>
  <si>
    <t>诗怀雅</t>
    <phoneticPr fontId="1" type="noConversion"/>
  </si>
  <si>
    <t>陈</t>
    <phoneticPr fontId="1" type="noConversion"/>
  </si>
  <si>
    <t>卡缇</t>
    <phoneticPr fontId="1" type="noConversion"/>
  </si>
  <si>
    <t>伊芙利特</t>
    <phoneticPr fontId="1" type="noConversion"/>
  </si>
  <si>
    <t>克洛丝</t>
    <phoneticPr fontId="1" type="noConversion"/>
  </si>
  <si>
    <t>夜莺</t>
    <phoneticPr fontId="1" type="noConversion"/>
  </si>
  <si>
    <t>陨星</t>
    <phoneticPr fontId="1" type="noConversion"/>
  </si>
  <si>
    <t>玫兰莎</t>
    <phoneticPr fontId="1" type="noConversion"/>
  </si>
  <si>
    <t>闪灵</t>
    <phoneticPr fontId="1" type="noConversion"/>
  </si>
  <si>
    <t>天火</t>
    <phoneticPr fontId="1" type="noConversion"/>
  </si>
  <si>
    <t>空</t>
    <phoneticPr fontId="1" type="noConversion"/>
  </si>
  <si>
    <t>古米</t>
    <phoneticPr fontId="1" type="noConversion"/>
  </si>
  <si>
    <t>安赛尔</t>
    <phoneticPr fontId="1" type="noConversion"/>
  </si>
  <si>
    <t>角峰</t>
    <phoneticPr fontId="1" type="noConversion"/>
  </si>
  <si>
    <t>Castle-3</t>
    <phoneticPr fontId="1" type="noConversion"/>
  </si>
  <si>
    <t>末药</t>
    <phoneticPr fontId="1" type="noConversion"/>
  </si>
  <si>
    <t>干员积累次数</t>
    <phoneticPr fontId="1" type="noConversion"/>
  </si>
  <si>
    <t>城市骑手</t>
    <phoneticPr fontId="1" type="noConversion"/>
  </si>
  <si>
    <t>君子兰</t>
    <phoneticPr fontId="1" type="noConversion"/>
  </si>
  <si>
    <t>灿阳朝露 SDm11</t>
    <phoneticPr fontId="1" type="noConversion"/>
  </si>
  <si>
    <t>春之颂</t>
    <phoneticPr fontId="1" type="noConversion"/>
  </si>
  <si>
    <t>史都华德</t>
  </si>
  <si>
    <t>风雪邀请</t>
  </si>
  <si>
    <t>系列积累次数</t>
    <phoneticPr fontId="1" type="noConversion"/>
  </si>
  <si>
    <t>忒斯特收藏</t>
    <phoneticPr fontId="1" type="noConversion"/>
  </si>
  <si>
    <t>生命之地</t>
    <phoneticPr fontId="1" type="noConversion"/>
  </si>
  <si>
    <t>珊瑚海岸</t>
    <phoneticPr fontId="1" type="noConversion"/>
  </si>
  <si>
    <t>雷神开拓者</t>
    <phoneticPr fontId="1" type="noConversion"/>
  </si>
  <si>
    <t>巫异盛宴</t>
    <phoneticPr fontId="1" type="noConversion"/>
  </si>
  <si>
    <t>合作款</t>
    <phoneticPr fontId="1" type="noConversion"/>
  </si>
  <si>
    <t>冰原信使</t>
    <phoneticPr fontId="1" type="noConversion"/>
  </si>
  <si>
    <t>玛尔特</t>
    <phoneticPr fontId="1" type="noConversion"/>
  </si>
  <si>
    <t>0011飙系列</t>
    <phoneticPr fontId="1" type="noConversion"/>
  </si>
  <si>
    <t>罗德厨房</t>
    <phoneticPr fontId="1" type="noConversion"/>
  </si>
  <si>
    <t>缠梦古堡</t>
    <phoneticPr fontId="1" type="noConversion"/>
  </si>
  <si>
    <t>啸风</t>
    <phoneticPr fontId="1" type="noConversion"/>
  </si>
  <si>
    <t>雷神推进者</t>
    <phoneticPr fontId="1" type="noConversion"/>
  </si>
  <si>
    <t>音律联觉</t>
    <phoneticPr fontId="1" type="noConversion"/>
  </si>
  <si>
    <t>闪耀阶梯</t>
    <phoneticPr fontId="1" type="noConversion"/>
  </si>
  <si>
    <t>成就之星</t>
    <phoneticPr fontId="1" type="noConversion"/>
  </si>
  <si>
    <t>手到牌来</t>
  </si>
  <si>
    <t>镜中来访</t>
  </si>
  <si>
    <t>幻影轻悄</t>
  </si>
  <si>
    <t>老鲤</t>
    <phoneticPr fontId="1" type="noConversion"/>
  </si>
  <si>
    <t>爱丽丝</t>
    <phoneticPr fontId="1" type="noConversion"/>
  </si>
  <si>
    <t>风丸</t>
    <phoneticPr fontId="1" type="noConversion"/>
  </si>
  <si>
    <t>异客</t>
    <phoneticPr fontId="1" type="noConversion"/>
  </si>
  <si>
    <t>今昔须臾之梦</t>
    <phoneticPr fontId="1" type="noConversion"/>
  </si>
  <si>
    <t>耀骑士临光</t>
    <phoneticPr fontId="1" type="noConversion"/>
  </si>
  <si>
    <t>复现荣光</t>
    <phoneticPr fontId="1" type="noConversion"/>
  </si>
  <si>
    <t>迷迭香</t>
    <phoneticPr fontId="1" type="noConversion"/>
  </si>
  <si>
    <t>拥抱新生</t>
    <phoneticPr fontId="1" type="noConversion"/>
  </si>
  <si>
    <t>蜜莓</t>
    <phoneticPr fontId="1" type="noConversion"/>
  </si>
  <si>
    <t>荒野之后</t>
    <phoneticPr fontId="1" type="noConversion"/>
  </si>
  <si>
    <t>如歌</t>
    <phoneticPr fontId="1" type="noConversion"/>
  </si>
  <si>
    <t>夏栎</t>
    <phoneticPr fontId="1" type="noConversion"/>
  </si>
  <si>
    <t>遥乡之径</t>
    <phoneticPr fontId="1" type="noConversion"/>
  </si>
  <si>
    <t>酸糖</t>
    <phoneticPr fontId="1" type="noConversion"/>
  </si>
  <si>
    <t>“下午茶时光”</t>
    <phoneticPr fontId="1" type="noConversion"/>
  </si>
  <si>
    <t>水月</t>
    <phoneticPr fontId="1" type="noConversion"/>
  </si>
  <si>
    <t>夏日餮宴</t>
    <phoneticPr fontId="1" type="noConversion"/>
  </si>
  <si>
    <t>耶拉</t>
    <phoneticPr fontId="1" type="noConversion"/>
  </si>
  <si>
    <t>灵巧侍者</t>
    <phoneticPr fontId="1" type="noConversion"/>
  </si>
  <si>
    <t>澄闪</t>
    <phoneticPr fontId="1" type="noConversion"/>
  </si>
  <si>
    <t>喜夜侍者</t>
    <phoneticPr fontId="1" type="noConversion"/>
  </si>
  <si>
    <t>冰原信使</t>
    <phoneticPr fontId="1" type="noConversion"/>
  </si>
  <si>
    <t>未讲述的故事</t>
    <phoneticPr fontId="1" type="noConversion"/>
  </si>
  <si>
    <t>埃拉托</t>
    <phoneticPr fontId="1" type="noConversion"/>
  </si>
  <si>
    <t>演出后的王子</t>
    <phoneticPr fontId="1" type="noConversion"/>
  </si>
  <si>
    <t>承曦格雷伊</t>
    <phoneticPr fontId="1" type="noConversion"/>
  </si>
  <si>
    <t>布丁</t>
    <phoneticPr fontId="1" type="noConversion"/>
  </si>
  <si>
    <t>火树灵</t>
    <phoneticPr fontId="1" type="noConversion"/>
  </si>
  <si>
    <t>寒芒克洛丝</t>
    <phoneticPr fontId="1" type="noConversion"/>
  </si>
  <si>
    <t>0011制造</t>
    <phoneticPr fontId="1" type="noConversion"/>
  </si>
  <si>
    <t>廊下游</t>
    <phoneticPr fontId="1" type="noConversion"/>
  </si>
  <si>
    <t>灯如昼</t>
    <phoneticPr fontId="1" type="noConversion"/>
  </si>
  <si>
    <t>晓歌</t>
    <phoneticPr fontId="1" type="noConversion"/>
  </si>
  <si>
    <t>濯缨</t>
    <phoneticPr fontId="1" type="noConversion"/>
  </si>
  <si>
    <t>令</t>
    <phoneticPr fontId="1" type="noConversion"/>
  </si>
  <si>
    <t>枝头馥</t>
    <phoneticPr fontId="1" type="noConversion"/>
  </si>
  <si>
    <t>夜半</t>
    <phoneticPr fontId="1" type="noConversion"/>
  </si>
  <si>
    <t>照冰轮</t>
    <phoneticPr fontId="1" type="noConversion"/>
  </si>
  <si>
    <t>桑葚</t>
    <phoneticPr fontId="1" type="noConversion"/>
  </si>
  <si>
    <t>山川的酿造</t>
    <phoneticPr fontId="1" type="noConversion"/>
  </si>
  <si>
    <t>帕拉斯</t>
    <phoneticPr fontId="1" type="noConversion"/>
  </si>
  <si>
    <t>时代</t>
    <phoneticPr fontId="1" type="noConversion"/>
  </si>
  <si>
    <t>面纱之下</t>
    <phoneticPr fontId="1" type="noConversion"/>
  </si>
  <si>
    <t>狮蝎</t>
    <phoneticPr fontId="1" type="noConversion"/>
  </si>
  <si>
    <t>绘声绘影</t>
    <phoneticPr fontId="1" type="noConversion"/>
  </si>
  <si>
    <t>深海色</t>
    <phoneticPr fontId="1" type="noConversion"/>
  </si>
  <si>
    <t>字句中的雪原</t>
    <phoneticPr fontId="1" type="noConversion"/>
  </si>
  <si>
    <t>鸿雪</t>
    <phoneticPr fontId="1" type="noConversion"/>
  </si>
  <si>
    <t>秋高气爽</t>
    <phoneticPr fontId="1" type="noConversion"/>
  </si>
  <si>
    <t>但书</t>
    <phoneticPr fontId="1" type="noConversion"/>
  </si>
  <si>
    <t>营地炊烟</t>
    <phoneticPr fontId="1" type="noConversion"/>
  </si>
  <si>
    <t>慕斯</t>
    <phoneticPr fontId="1" type="noConversion"/>
  </si>
  <si>
    <t>寒武纪系列</t>
    <phoneticPr fontId="1" type="noConversion"/>
  </si>
  <si>
    <t>忒斯特收藏</t>
    <phoneticPr fontId="1" type="noConversion"/>
  </si>
  <si>
    <t>薄绿</t>
    <phoneticPr fontId="1" type="noConversion"/>
  </si>
  <si>
    <t>能天使</t>
    <phoneticPr fontId="1" type="noConversion"/>
  </si>
  <si>
    <t>午夜邮差</t>
    <phoneticPr fontId="1" type="noConversion"/>
  </si>
  <si>
    <t>月宵</t>
    <phoneticPr fontId="1" type="noConversion"/>
  </si>
  <si>
    <t>别枝</t>
    <phoneticPr fontId="1" type="noConversion"/>
  </si>
  <si>
    <t>稀音</t>
    <phoneticPr fontId="1" type="noConversion"/>
  </si>
  <si>
    <t>拾翼</t>
    <phoneticPr fontId="1" type="noConversion"/>
  </si>
  <si>
    <t>见行者</t>
    <phoneticPr fontId="1" type="noConversion"/>
  </si>
  <si>
    <t>雪霁</t>
    <phoneticPr fontId="1" type="noConversion"/>
  </si>
  <si>
    <t>铃兰</t>
    <phoneticPr fontId="1" type="noConversion"/>
  </si>
  <si>
    <t>跃上街头</t>
    <phoneticPr fontId="1" type="noConversion"/>
  </si>
  <si>
    <t>泰拉大陆调查团</t>
    <phoneticPr fontId="1" type="noConversion"/>
  </si>
  <si>
    <t>怪物猎人</t>
    <phoneticPr fontId="1" type="noConversion"/>
  </si>
  <si>
    <t>奇工妙想</t>
    <phoneticPr fontId="1" type="noConversion"/>
  </si>
  <si>
    <t>星极</t>
    <phoneticPr fontId="1" type="noConversion"/>
  </si>
  <si>
    <t>化花</t>
    <phoneticPr fontId="1" type="noConversion"/>
  </si>
  <si>
    <t>号角</t>
    <phoneticPr fontId="1" type="noConversion"/>
  </si>
  <si>
    <t>书信零落</t>
    <phoneticPr fontId="1" type="noConversion"/>
  </si>
  <si>
    <t>海蒂</t>
    <phoneticPr fontId="1" type="noConversion"/>
  </si>
  <si>
    <t>邀约</t>
    <phoneticPr fontId="1" type="noConversion"/>
  </si>
  <si>
    <t>和弦</t>
    <phoneticPr fontId="1" type="noConversion"/>
  </si>
  <si>
    <t>下一顿午茶</t>
    <phoneticPr fontId="1" type="noConversion"/>
  </si>
  <si>
    <t>斯卡蒂</t>
    <phoneticPr fontId="1" type="noConversion"/>
  </si>
  <si>
    <t>玛尔特</t>
    <phoneticPr fontId="1" type="noConversion"/>
  </si>
  <si>
    <t>残余</t>
    <phoneticPr fontId="1" type="noConversion"/>
  </si>
  <si>
    <t>凯尔希</t>
    <phoneticPr fontId="1" type="noConversion"/>
  </si>
  <si>
    <t>斗争血脉</t>
    <phoneticPr fontId="1" type="noConversion"/>
  </si>
  <si>
    <t>生而为一</t>
    <phoneticPr fontId="1" type="noConversion"/>
  </si>
  <si>
    <t>归溟幽灵鲨</t>
    <phoneticPr fontId="1" type="noConversion"/>
  </si>
  <si>
    <t>万重山</t>
    <phoneticPr fontId="1" type="noConversion"/>
  </si>
  <si>
    <t>假日威龙陈</t>
    <phoneticPr fontId="1" type="noConversion"/>
  </si>
  <si>
    <t>变奏</t>
    <phoneticPr fontId="1" type="noConversion"/>
  </si>
  <si>
    <t>黑键</t>
    <phoneticPr fontId="1" type="noConversion"/>
  </si>
  <si>
    <t>衣缕往昔</t>
    <phoneticPr fontId="1" type="noConversion"/>
  </si>
  <si>
    <t>梓兰</t>
    <phoneticPr fontId="1" type="noConversion"/>
  </si>
  <si>
    <t>灿海浮梦</t>
    <phoneticPr fontId="1" type="noConversion"/>
  </si>
  <si>
    <t>流明</t>
    <phoneticPr fontId="1" type="noConversion"/>
  </si>
  <si>
    <t>飞羽</t>
    <phoneticPr fontId="1" type="noConversion"/>
  </si>
  <si>
    <t>艾丽妮</t>
    <phoneticPr fontId="1" type="noConversion"/>
  </si>
  <si>
    <t>音律联觉</t>
    <phoneticPr fontId="1" type="noConversion"/>
  </si>
  <si>
    <t>待绘的作品</t>
    <phoneticPr fontId="1" type="noConversion"/>
  </si>
  <si>
    <t>罗比菈塔</t>
    <phoneticPr fontId="1" type="noConversion"/>
  </si>
  <si>
    <t>竞技之梦改装</t>
    <phoneticPr fontId="1" type="noConversion"/>
  </si>
  <si>
    <t>正义骑士号</t>
    <phoneticPr fontId="1" type="noConversion"/>
  </si>
  <si>
    <t>嵯峨</t>
    <phoneticPr fontId="1" type="noConversion"/>
  </si>
  <si>
    <t>忒斯特收藏</t>
    <phoneticPr fontId="1" type="noConversion"/>
  </si>
  <si>
    <t>彼有</t>
    <phoneticPr fontId="1" type="noConversion"/>
  </si>
  <si>
    <t>一束阳光</t>
    <phoneticPr fontId="1" type="noConversion"/>
  </si>
  <si>
    <t>炎熔</t>
    <phoneticPr fontId="1" type="noConversion"/>
  </si>
  <si>
    <t>远牙</t>
    <phoneticPr fontId="1" type="noConversion"/>
  </si>
  <si>
    <t>捉风</t>
    <phoneticPr fontId="1" type="noConversion"/>
  </si>
  <si>
    <t>0011飙系列</t>
    <phoneticPr fontId="1" type="noConversion"/>
  </si>
  <si>
    <t>结果</t>
    <phoneticPr fontId="1" type="noConversion"/>
  </si>
  <si>
    <t>暮落</t>
    <phoneticPr fontId="1" type="noConversion"/>
  </si>
  <si>
    <t>来路</t>
    <phoneticPr fontId="1" type="noConversion"/>
  </si>
  <si>
    <t>明椒</t>
    <phoneticPr fontId="1" type="noConversion"/>
  </si>
  <si>
    <t>车尔尼</t>
    <phoneticPr fontId="1" type="noConversion"/>
  </si>
  <si>
    <t>荒野寻音</t>
    <phoneticPr fontId="1" type="noConversion"/>
  </si>
  <si>
    <t>生命之地</t>
    <phoneticPr fontId="1" type="noConversion"/>
  </si>
  <si>
    <t>触及星辰</t>
    <phoneticPr fontId="1" type="noConversion"/>
  </si>
  <si>
    <t>CASC</t>
    <phoneticPr fontId="1" type="noConversion"/>
  </si>
  <si>
    <t>阿米娅</t>
    <phoneticPr fontId="1" type="noConversion"/>
  </si>
  <si>
    <t>夏卉 FA317</t>
    <phoneticPr fontId="1" type="noConversion"/>
  </si>
  <si>
    <t>琴柳</t>
    <phoneticPr fontId="1" type="noConversion"/>
  </si>
  <si>
    <t>珊瑚海岸</t>
    <phoneticPr fontId="1" type="noConversion"/>
  </si>
  <si>
    <t>悠然假日 HD29</t>
    <phoneticPr fontId="1" type="noConversion"/>
  </si>
  <si>
    <t>安比尔</t>
    <phoneticPr fontId="1" type="noConversion"/>
  </si>
  <si>
    <t>蜜蜡</t>
    <phoneticPr fontId="1" type="noConversion"/>
  </si>
  <si>
    <t>悠然假日 HD61</t>
    <phoneticPr fontId="1" type="noConversion"/>
  </si>
  <si>
    <t>白铁</t>
    <phoneticPr fontId="1" type="noConversion"/>
  </si>
  <si>
    <t>沙滩护卫 GT003</t>
    <phoneticPr fontId="1" type="noConversion"/>
  </si>
  <si>
    <t>所愿</t>
    <phoneticPr fontId="1" type="noConversion"/>
  </si>
  <si>
    <t>星源</t>
    <phoneticPr fontId="1" type="noConversion"/>
  </si>
  <si>
    <t>时代</t>
    <phoneticPr fontId="1" type="noConversion"/>
  </si>
  <si>
    <t>夏卉 FA394</t>
    <phoneticPr fontId="1" type="noConversion"/>
  </si>
  <si>
    <t>澄闪</t>
    <phoneticPr fontId="1" type="noConversion"/>
  </si>
  <si>
    <t>夏卉 FA062</t>
    <phoneticPr fontId="1" type="noConversion"/>
  </si>
  <si>
    <t>桃金娘</t>
    <phoneticPr fontId="1" type="noConversion"/>
  </si>
  <si>
    <t>悠然假日 HDm57</t>
    <phoneticPr fontId="1" type="noConversion"/>
  </si>
  <si>
    <t>褐果</t>
    <phoneticPr fontId="1" type="noConversion"/>
  </si>
  <si>
    <t>悠然假日 HD26</t>
    <phoneticPr fontId="1" type="noConversion"/>
  </si>
  <si>
    <t>百炼嘉维尔</t>
    <phoneticPr fontId="1" type="noConversion"/>
  </si>
  <si>
    <t>悠然假日 HD49</t>
    <phoneticPr fontId="1" type="noConversion"/>
  </si>
  <si>
    <t>锡兰</t>
    <phoneticPr fontId="1" type="noConversion"/>
  </si>
  <si>
    <t>棠云巧梦</t>
    <phoneticPr fontId="1" type="noConversion"/>
  </si>
  <si>
    <t>子月</t>
    <phoneticPr fontId="1" type="noConversion"/>
  </si>
  <si>
    <t>0011韵系列</t>
    <phoneticPr fontId="1" type="noConversion"/>
  </si>
  <si>
    <t>悠然假日 HD71</t>
    <phoneticPr fontId="1" type="noConversion"/>
  </si>
  <si>
    <t>寒檀</t>
    <phoneticPr fontId="1" type="noConversion"/>
  </si>
  <si>
    <t>北地引路人</t>
    <phoneticPr fontId="1" type="noConversion"/>
  </si>
  <si>
    <t>提丰</t>
    <phoneticPr fontId="1" type="noConversion"/>
  </si>
  <si>
    <t>崖高梦远</t>
    <phoneticPr fontId="1" type="noConversion"/>
  </si>
  <si>
    <t>令</t>
    <phoneticPr fontId="1" type="noConversion"/>
  </si>
  <si>
    <t>国家地理</t>
    <phoneticPr fontId="1" type="noConversion"/>
  </si>
  <si>
    <t>霜林醉</t>
    <phoneticPr fontId="1" type="noConversion"/>
  </si>
  <si>
    <t>仇白</t>
    <phoneticPr fontId="1" type="noConversion"/>
  </si>
  <si>
    <t>林虹之间</t>
    <phoneticPr fontId="1" type="noConversion"/>
  </si>
  <si>
    <t>芙兰卡</t>
    <phoneticPr fontId="1" type="noConversion"/>
  </si>
  <si>
    <t>九色鹿</t>
    <phoneticPr fontId="1" type="noConversion"/>
  </si>
  <si>
    <t>古往今来的月</t>
    <phoneticPr fontId="1" type="noConversion"/>
  </si>
  <si>
    <t>星橼林</t>
    <phoneticPr fontId="1" type="noConversion"/>
  </si>
  <si>
    <t>流星</t>
    <phoneticPr fontId="1" type="noConversion"/>
  </si>
  <si>
    <t>卡缇</t>
    <phoneticPr fontId="1" type="noConversion"/>
  </si>
  <si>
    <t>晴日</t>
    <phoneticPr fontId="1" type="noConversion"/>
  </si>
  <si>
    <t>巫异盛宴</t>
    <phoneticPr fontId="1" type="noConversion"/>
  </si>
  <si>
    <t>命运主宰</t>
    <phoneticPr fontId="1" type="noConversion"/>
  </si>
  <si>
    <t>多萝西</t>
    <phoneticPr fontId="1" type="noConversion"/>
  </si>
  <si>
    <t>树影吟游</t>
    <phoneticPr fontId="1" type="noConversion"/>
  </si>
  <si>
    <t>夏栎</t>
    <phoneticPr fontId="1" type="noConversion"/>
  </si>
  <si>
    <t>幽邃隐修</t>
    <phoneticPr fontId="1" type="noConversion"/>
  </si>
  <si>
    <t>至圣誓言</t>
    <phoneticPr fontId="1" type="noConversion"/>
  </si>
  <si>
    <t>絮雨</t>
    <phoneticPr fontId="1" type="noConversion"/>
  </si>
  <si>
    <t>菲亚梅塔</t>
    <phoneticPr fontId="1" type="noConversion"/>
  </si>
  <si>
    <t>叙拉古的彼面</t>
    <phoneticPr fontId="1" type="noConversion"/>
  </si>
  <si>
    <t>伺夜</t>
    <phoneticPr fontId="1" type="noConversion"/>
  </si>
  <si>
    <t>正午余光</t>
    <phoneticPr fontId="1" type="noConversion"/>
  </si>
  <si>
    <t>苦艾</t>
    <phoneticPr fontId="1" type="noConversion"/>
  </si>
  <si>
    <t>皇家近卫</t>
    <phoneticPr fontId="1" type="noConversion"/>
  </si>
  <si>
    <t>风笛</t>
    <phoneticPr fontId="1" type="noConversion"/>
  </si>
  <si>
    <t>卡利斯卡群枪</t>
    <phoneticPr fontId="1" type="noConversion"/>
  </si>
  <si>
    <t>灰毫</t>
    <phoneticPr fontId="1" type="noConversion"/>
  </si>
  <si>
    <t>碎片之间</t>
    <phoneticPr fontId="1" type="noConversion"/>
  </si>
  <si>
    <t>谜图</t>
    <phoneticPr fontId="1" type="noConversion"/>
  </si>
  <si>
    <t>破翼者</t>
    <phoneticPr fontId="1" type="noConversion"/>
  </si>
  <si>
    <t>缄默德克萨斯</t>
    <phoneticPr fontId="1" type="noConversion"/>
  </si>
  <si>
    <t>命途迭代</t>
    <phoneticPr fontId="1" type="noConversion"/>
  </si>
  <si>
    <t>单刀</t>
    <phoneticPr fontId="1" type="noConversion"/>
  </si>
  <si>
    <t>炎客</t>
    <phoneticPr fontId="1" type="noConversion"/>
  </si>
  <si>
    <t>偶尔醉陶</t>
    <phoneticPr fontId="1" type="noConversion"/>
  </si>
  <si>
    <t>斥罪</t>
    <phoneticPr fontId="1" type="noConversion"/>
  </si>
  <si>
    <t>冰原信使</t>
    <phoneticPr fontId="1" type="noConversion"/>
  </si>
  <si>
    <t>舞</t>
    <phoneticPr fontId="1" type="noConversion"/>
  </si>
  <si>
    <t>月禾</t>
    <phoneticPr fontId="1" type="noConversion"/>
  </si>
  <si>
    <t>回礼</t>
    <phoneticPr fontId="1" type="noConversion"/>
  </si>
  <si>
    <t>雪绒</t>
    <phoneticPr fontId="1" type="noConversion"/>
  </si>
  <si>
    <t>晚间咖啡店</t>
    <phoneticPr fontId="1" type="noConversion"/>
  </si>
  <si>
    <t>安赛尔</t>
    <phoneticPr fontId="1" type="noConversion"/>
  </si>
  <si>
    <t>博物</t>
    <phoneticPr fontId="1" type="noConversion"/>
  </si>
  <si>
    <t>焰影苇草</t>
    <phoneticPr fontId="1" type="noConversion"/>
  </si>
  <si>
    <t>薄绿</t>
    <phoneticPr fontId="1" type="noConversion"/>
  </si>
  <si>
    <t>私人书房</t>
    <phoneticPr fontId="1" type="noConversion"/>
  </si>
  <si>
    <t>主修领域</t>
    <phoneticPr fontId="1" type="noConversion"/>
  </si>
  <si>
    <t>地灵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</si>
</sst>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20212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>
      <selection activeCell="E6" sqref="E6"/>
    </sheetView>
  </sheetViews>
  <sheetFormatPr defaultColWidth="8.85546875" defaultRowHeight="22.75" x14ac:dyDescent="0.55000000000000004"/>
  <cols>
    <col min="1" max="1" width="22.85546875" style="1" customWidth="1"/>
    <col min="2" max="2" width="28.640625" style="1" bestFit="1" customWidth="1"/>
    <col min="3" max="3" width="19.640625" style="1" bestFit="1" customWidth="1"/>
    <col min="4" max="4" width="19.2109375" style="2" bestFit="1" customWidth="1"/>
    <col min="5" max="6" width="22.85546875" style="1" bestFit="1" customWidth="1"/>
    <col min="7" max="7" width="10" style="1" customWidth="1"/>
    <col min="8" max="16384" width="8.85546875" style="1"/>
  </cols>
  <sheetData>
    <row r="1" spans="1:8" x14ac:dyDescent="0.55000000000000004">
      <c r="A1" s="5" t="s">
        <v>0</v>
      </c>
      <c r="B1" s="5" t="s">
        <v>1</v>
      </c>
      <c r="C1" s="5" t="s">
        <v>3</v>
      </c>
      <c r="D1" s="6" t="s">
        <v>2</v>
      </c>
      <c r="E1" s="5" t="s">
        <v>382</v>
      </c>
      <c r="F1" s="5" t="s">
        <v>389</v>
      </c>
    </row>
    <row r="2" spans="1:8" x14ac:dyDescent="0.55000000000000004">
      <c r="A2" s="8" t="s">
        <v>5</v>
      </c>
      <c r="B2" s="1" t="s">
        <v>4</v>
      </c>
      <c r="C2" s="1" t="s">
        <v>117</v>
      </c>
      <c r="D2" s="2">
        <v>43586</v>
      </c>
      <c r="E2" s="1">
        <f>COUNTIF(A2:A2,"芬")</f>
        <v>1</v>
      </c>
      <c r="F2" s="1">
        <f>COUNTIF(C2:C2,"寒武纪系列")</f>
        <v>1</v>
      </c>
    </row>
    <row r="3" spans="1:8" x14ac:dyDescent="0.55000000000000004">
      <c r="A3" s="8" t="s">
        <v>8</v>
      </c>
      <c r="B3" s="1" t="s">
        <v>7</v>
      </c>
      <c r="C3" s="1" t="s">
        <v>6</v>
      </c>
      <c r="D3" s="2">
        <v>43586</v>
      </c>
      <c r="E3" s="1">
        <f>COUNTIF(A2:A3,"*德克萨斯*")</f>
        <v>1</v>
      </c>
      <c r="F3" s="1">
        <f>COUNTIF(C2:C3,"寒武纪系列")</f>
        <v>2</v>
      </c>
    </row>
    <row r="4" spans="1:8" x14ac:dyDescent="0.55000000000000004">
      <c r="A4" s="8" t="s">
        <v>9</v>
      </c>
      <c r="B4" s="1" t="s">
        <v>10</v>
      </c>
      <c r="C4" s="1" t="s">
        <v>6</v>
      </c>
      <c r="D4" s="2">
        <v>43586</v>
      </c>
      <c r="E4" s="1">
        <f>COUNTIF(A2:A4,"*幽灵鲨*")</f>
        <v>1</v>
      </c>
      <c r="F4" s="1">
        <f>COUNTIF(C2:C4,"寒武纪系列")</f>
        <v>3</v>
      </c>
    </row>
    <row r="5" spans="1:8" x14ac:dyDescent="0.55000000000000004">
      <c r="A5" s="8" t="s">
        <v>12</v>
      </c>
      <c r="B5" s="1" t="s">
        <v>11</v>
      </c>
      <c r="C5" s="1" t="s">
        <v>6</v>
      </c>
      <c r="D5" s="2">
        <v>43586</v>
      </c>
      <c r="E5" s="1">
        <f>COUNTIF(A2:A5,"讯使")</f>
        <v>1</v>
      </c>
      <c r="F5" s="1">
        <f>COUNTIF(C2:C5,"寒武纪系列")</f>
        <v>4</v>
      </c>
    </row>
    <row r="6" spans="1:8" x14ac:dyDescent="0.55000000000000004">
      <c r="A6" s="8" t="s">
        <v>237</v>
      </c>
      <c r="B6" s="1" t="s">
        <v>16</v>
      </c>
      <c r="C6" s="1" t="s">
        <v>390</v>
      </c>
      <c r="D6" s="2">
        <v>43608</v>
      </c>
      <c r="E6" s="1">
        <f>COUNTIF(A2:A6,"阿米娅")</f>
        <v>1</v>
      </c>
      <c r="F6" s="1">
        <f>COUNTIF(C2:C6,"忒斯特收藏")</f>
        <v>1</v>
      </c>
      <c r="H6" s="2"/>
    </row>
    <row r="7" spans="1:8" x14ac:dyDescent="0.55000000000000004">
      <c r="A7" s="8" t="s">
        <v>241</v>
      </c>
      <c r="B7" s="1" t="s">
        <v>15</v>
      </c>
      <c r="C7" s="1" t="s">
        <v>236</v>
      </c>
      <c r="D7" s="2">
        <v>43615</v>
      </c>
      <c r="E7" s="1">
        <f>COUNTIF(A2:A7,"*芙蓉*")</f>
        <v>1</v>
      </c>
      <c r="F7" s="1">
        <f>COUNTIF(C2:C7,"*0011*")</f>
        <v>1</v>
      </c>
    </row>
    <row r="8" spans="1:8" x14ac:dyDescent="0.55000000000000004">
      <c r="A8" s="8" t="s">
        <v>240</v>
      </c>
      <c r="B8" s="1" t="s">
        <v>18</v>
      </c>
      <c r="C8" s="1" t="s">
        <v>391</v>
      </c>
      <c r="D8" s="2">
        <v>43655</v>
      </c>
      <c r="E8" s="1">
        <f>COUNTIF(A2:A8,"能天使")</f>
        <v>1</v>
      </c>
      <c r="F8" s="1">
        <f>COUNTIF(C2:C8,"生命之地")</f>
        <v>1</v>
      </c>
    </row>
    <row r="9" spans="1:8" x14ac:dyDescent="0.55000000000000004">
      <c r="A9" s="8" t="s">
        <v>239</v>
      </c>
      <c r="B9" s="1" t="s">
        <v>19</v>
      </c>
      <c r="C9" s="1" t="s">
        <v>17</v>
      </c>
      <c r="D9" s="2">
        <v>43655</v>
      </c>
      <c r="E9" s="1">
        <f>COUNTIF(A2:A9,"崖心")</f>
        <v>1</v>
      </c>
      <c r="F9" s="1">
        <f>COUNTIF(C2:C9,"生命之地")</f>
        <v>2</v>
      </c>
    </row>
    <row r="10" spans="1:8" x14ac:dyDescent="0.55000000000000004">
      <c r="A10" s="8" t="s">
        <v>238</v>
      </c>
      <c r="B10" s="1" t="s">
        <v>20</v>
      </c>
      <c r="C10" s="1" t="s">
        <v>17</v>
      </c>
      <c r="D10" s="2">
        <v>43655</v>
      </c>
      <c r="E10" s="1">
        <f>COUNTIF(A2:A10,"蛇屠箱")</f>
        <v>1</v>
      </c>
      <c r="F10" s="1">
        <f>COUNTIF(C2:C10,"生命之地")</f>
        <v>3</v>
      </c>
    </row>
    <row r="11" spans="1:8" x14ac:dyDescent="0.55000000000000004">
      <c r="A11" s="8" t="s">
        <v>381</v>
      </c>
      <c r="B11" s="1" t="s">
        <v>22</v>
      </c>
      <c r="C11" s="1" t="s">
        <v>17</v>
      </c>
      <c r="D11" s="2">
        <v>43655</v>
      </c>
      <c r="E11" s="1">
        <f>COUNTIF(A2:A11,"末药")</f>
        <v>1</v>
      </c>
      <c r="F11" s="1">
        <f>COUNTIF(C2:C11,"生命之地")</f>
        <v>4</v>
      </c>
    </row>
    <row r="12" spans="1:8" x14ac:dyDescent="0.55000000000000004">
      <c r="A12" s="8" t="s">
        <v>311</v>
      </c>
      <c r="B12" s="1" t="s">
        <v>21</v>
      </c>
      <c r="C12" s="1" t="s">
        <v>390</v>
      </c>
      <c r="D12" s="2">
        <v>43655</v>
      </c>
      <c r="E12" s="1">
        <f>COUNTIF(A2:A12,"调香师")</f>
        <v>1</v>
      </c>
      <c r="F12" s="1">
        <f>COUNTIF(C2:C12,"忒斯特收藏")</f>
        <v>2</v>
      </c>
    </row>
    <row r="13" spans="1:8" x14ac:dyDescent="0.55000000000000004">
      <c r="A13" s="8" t="s">
        <v>380</v>
      </c>
      <c r="B13" s="1" t="s">
        <v>23</v>
      </c>
      <c r="C13" s="1" t="s">
        <v>392</v>
      </c>
      <c r="D13" s="2">
        <v>43718</v>
      </c>
      <c r="E13" s="1">
        <f>COUNTIF(A2:A13,"Castle-3")</f>
        <v>1</v>
      </c>
      <c r="F13" s="1">
        <f>COUNTIF(C2:C13,"珊瑚海岸")</f>
        <v>1</v>
      </c>
    </row>
    <row r="14" spans="1:8" x14ac:dyDescent="0.55000000000000004">
      <c r="A14" s="4" t="s">
        <v>379</v>
      </c>
      <c r="B14" s="4" t="s">
        <v>24</v>
      </c>
      <c r="C14" s="1" t="s">
        <v>32</v>
      </c>
      <c r="D14" s="2">
        <v>43718</v>
      </c>
      <c r="E14" s="1">
        <f>COUNTIF(A2:A14,"角峰")</f>
        <v>1</v>
      </c>
      <c r="F14" s="1">
        <f>COUNTIF(C2:C14,"珊瑚海岸")</f>
        <v>2</v>
      </c>
    </row>
    <row r="15" spans="1:8" x14ac:dyDescent="0.55000000000000004">
      <c r="A15" s="4" t="s">
        <v>378</v>
      </c>
      <c r="B15" s="4" t="s">
        <v>25</v>
      </c>
      <c r="C15" s="1" t="s">
        <v>32</v>
      </c>
      <c r="D15" s="2">
        <v>43718</v>
      </c>
      <c r="E15" s="1">
        <f>COUNTIF(A2:A15,"安赛尔")</f>
        <v>1</v>
      </c>
      <c r="F15" s="1">
        <f>COUNTIF(C2:C15,"珊瑚海岸")</f>
        <v>3</v>
      </c>
    </row>
    <row r="16" spans="1:8" x14ac:dyDescent="0.55000000000000004">
      <c r="A16" s="8" t="s">
        <v>377</v>
      </c>
      <c r="B16" s="1" t="s">
        <v>26</v>
      </c>
      <c r="C16" s="1" t="s">
        <v>32</v>
      </c>
      <c r="D16" s="2">
        <v>43718</v>
      </c>
      <c r="E16" s="1">
        <f>COUNTIF(A2:A16,"古米")</f>
        <v>1</v>
      </c>
      <c r="F16" s="1">
        <f>COUNTIF(C2:C16,"珊瑚海岸")</f>
        <v>4</v>
      </c>
    </row>
    <row r="17" spans="1:8" x14ac:dyDescent="0.55000000000000004">
      <c r="A17" s="8" t="s">
        <v>376</v>
      </c>
      <c r="B17" s="1" t="s">
        <v>27</v>
      </c>
      <c r="C17" s="1" t="s">
        <v>32</v>
      </c>
      <c r="D17" s="2">
        <v>43718</v>
      </c>
      <c r="E17" s="1">
        <f>COUNTIF(A2:A17,"空")</f>
        <v>1</v>
      </c>
      <c r="F17" s="1">
        <f>COUNTIF(C2:C17,"珊瑚海岸")</f>
        <v>5</v>
      </c>
    </row>
    <row r="18" spans="1:8" x14ac:dyDescent="0.55000000000000004">
      <c r="A18" s="4" t="s">
        <v>369</v>
      </c>
      <c r="B18" s="1" t="s">
        <v>28</v>
      </c>
      <c r="C18" s="1" t="s">
        <v>32</v>
      </c>
      <c r="D18" s="2">
        <v>43718</v>
      </c>
      <c r="E18" s="1">
        <f>COUNTIF(A2:A18,"伊芙利特")</f>
        <v>1</v>
      </c>
      <c r="F18" s="1">
        <f>COUNTIF(C2:C18,"珊瑚海岸")</f>
        <v>6</v>
      </c>
    </row>
    <row r="19" spans="1:8" x14ac:dyDescent="0.55000000000000004">
      <c r="A19" s="4" t="s">
        <v>29</v>
      </c>
      <c r="B19" s="4" t="s">
        <v>30</v>
      </c>
      <c r="C19" s="1" t="s">
        <v>32</v>
      </c>
      <c r="D19" s="2">
        <v>43718</v>
      </c>
      <c r="E19" s="1">
        <f>COUNTIF(A2:A19,"红豆")</f>
        <v>1</v>
      </c>
      <c r="F19" s="1">
        <f>COUNTIF(C2:C19,"珊瑚海岸")</f>
        <v>7</v>
      </c>
    </row>
    <row r="20" spans="1:8" x14ac:dyDescent="0.55000000000000004">
      <c r="A20" s="4" t="s">
        <v>375</v>
      </c>
      <c r="B20" s="4" t="s">
        <v>233</v>
      </c>
      <c r="C20" s="1" t="s">
        <v>32</v>
      </c>
      <c r="D20" s="2">
        <v>43718</v>
      </c>
      <c r="E20" s="1">
        <f>COUNTIF(A2:A20,"天火")</f>
        <v>1</v>
      </c>
      <c r="F20" s="1">
        <f>COUNTIF(C2:C20,"珊瑚海岸")</f>
        <v>8</v>
      </c>
    </row>
    <row r="21" spans="1:8" x14ac:dyDescent="0.55000000000000004">
      <c r="A21" s="4" t="s">
        <v>374</v>
      </c>
      <c r="B21" s="4" t="s">
        <v>31</v>
      </c>
      <c r="C21" s="1" t="s">
        <v>32</v>
      </c>
      <c r="D21" s="2">
        <v>43718</v>
      </c>
      <c r="E21" s="1">
        <f>COUNTIF(A2:A21,"闪灵")</f>
        <v>1</v>
      </c>
      <c r="F21" s="1">
        <f>COUNTIF(C2:C21,"珊瑚海岸")</f>
        <v>9</v>
      </c>
    </row>
    <row r="22" spans="1:8" x14ac:dyDescent="0.55000000000000004">
      <c r="A22" s="4" t="s">
        <v>373</v>
      </c>
      <c r="B22" s="4" t="s">
        <v>37</v>
      </c>
      <c r="C22" s="1" t="s">
        <v>60</v>
      </c>
      <c r="D22" s="2">
        <v>43739</v>
      </c>
      <c r="E22" s="1">
        <f>COUNTIF(A2:A22,"玫兰莎")</f>
        <v>1</v>
      </c>
      <c r="F22" s="1">
        <f>COUNTIF(C2:C22,"时代")</f>
        <v>1</v>
      </c>
    </row>
    <row r="23" spans="1:8" x14ac:dyDescent="0.55000000000000004">
      <c r="A23" s="8" t="s">
        <v>372</v>
      </c>
      <c r="B23" s="1" t="s">
        <v>34</v>
      </c>
      <c r="C23" s="1" t="s">
        <v>393</v>
      </c>
      <c r="D23" s="2">
        <v>43753</v>
      </c>
      <c r="E23" s="1">
        <f>COUNTIF(A2:A23,"陨星")</f>
        <v>1</v>
      </c>
      <c r="F23" s="1">
        <f>COUNTIF(C2:C23,"雷神开拓者")</f>
        <v>1</v>
      </c>
    </row>
    <row r="24" spans="1:8" x14ac:dyDescent="0.55000000000000004">
      <c r="A24" s="7" t="s">
        <v>330</v>
      </c>
      <c r="B24" s="1" t="s">
        <v>35</v>
      </c>
      <c r="C24" s="1" t="s">
        <v>33</v>
      </c>
      <c r="D24" s="2">
        <v>43753</v>
      </c>
      <c r="E24" s="1">
        <f>COUNTIF(A2:A24,"*赫默*")</f>
        <v>1</v>
      </c>
      <c r="F24" s="1">
        <f>COUNTIF(C2:C24,"雷神开拓者")</f>
        <v>2</v>
      </c>
    </row>
    <row r="25" spans="1:8" x14ac:dyDescent="0.55000000000000004">
      <c r="A25" s="7" t="s">
        <v>49</v>
      </c>
      <c r="B25" s="1" t="s">
        <v>36</v>
      </c>
      <c r="C25" s="1" t="s">
        <v>33</v>
      </c>
      <c r="D25" s="2">
        <v>43753</v>
      </c>
      <c r="E25" s="1">
        <f>COUNTIF(A2:A25,"*杰西卡*")</f>
        <v>1</v>
      </c>
      <c r="F25" s="1">
        <f>COUNTIF(C2:C25,"雷神开拓者")</f>
        <v>3</v>
      </c>
      <c r="H25" s="3"/>
    </row>
    <row r="26" spans="1:8" x14ac:dyDescent="0.55000000000000004">
      <c r="A26" s="8" t="s">
        <v>371</v>
      </c>
      <c r="B26" s="1" t="s">
        <v>40</v>
      </c>
      <c r="C26" s="1" t="s">
        <v>394</v>
      </c>
      <c r="D26" s="2">
        <v>43770</v>
      </c>
      <c r="E26" s="1">
        <f>COUNTIF(A2:A26,"夜莺")</f>
        <v>1</v>
      </c>
      <c r="F26" s="1">
        <f>COUNTIF(C2:C26,"巫异盛宴")</f>
        <v>1</v>
      </c>
    </row>
    <row r="27" spans="1:8" x14ac:dyDescent="0.55000000000000004">
      <c r="A27" s="8" t="s">
        <v>302</v>
      </c>
      <c r="B27" s="1" t="s">
        <v>41</v>
      </c>
      <c r="C27" s="1" t="s">
        <v>39</v>
      </c>
      <c r="D27" s="2">
        <v>43770</v>
      </c>
      <c r="E27" s="1">
        <f>COUNTIF(A2:A27,"华法琳")</f>
        <v>1</v>
      </c>
      <c r="F27" s="1">
        <f>COUNTIF(C2:C27,"巫异盛宴")</f>
        <v>2</v>
      </c>
    </row>
    <row r="28" spans="1:8" x14ac:dyDescent="0.55000000000000004">
      <c r="A28" s="8" t="s">
        <v>370</v>
      </c>
      <c r="B28" s="1" t="s">
        <v>42</v>
      </c>
      <c r="C28" s="1" t="s">
        <v>39</v>
      </c>
      <c r="D28" s="2">
        <v>43770</v>
      </c>
      <c r="E28" s="1">
        <f>COUNTIF(A2:A28,"*克洛丝*")</f>
        <v>1</v>
      </c>
      <c r="F28" s="1">
        <f>COUNTIF(C2:C28,"巫异盛宴")</f>
        <v>3</v>
      </c>
    </row>
    <row r="29" spans="1:8" x14ac:dyDescent="0.55000000000000004">
      <c r="A29" s="8" t="s">
        <v>43</v>
      </c>
      <c r="B29" s="1" t="s">
        <v>44</v>
      </c>
      <c r="C29" s="1" t="s">
        <v>39</v>
      </c>
      <c r="D29" s="2">
        <v>43770</v>
      </c>
      <c r="E29" s="1">
        <f>COUNTIF(A2:A29,"暗索")</f>
        <v>1</v>
      </c>
      <c r="F29" s="1">
        <f>COUNTIF(C2:C29,"巫异盛宴")</f>
        <v>4</v>
      </c>
    </row>
    <row r="30" spans="1:8" x14ac:dyDescent="0.55000000000000004">
      <c r="A30" s="8" t="s">
        <v>115</v>
      </c>
      <c r="B30" s="1" t="s">
        <v>51</v>
      </c>
      <c r="C30" s="1" t="s">
        <v>17</v>
      </c>
      <c r="D30" s="2">
        <v>43788</v>
      </c>
      <c r="E30" s="1">
        <f>COUNTIF(A2:A30,"守林人")</f>
        <v>1</v>
      </c>
      <c r="F30" s="1">
        <f>COUNTIF(C2:C30,"生命之地")</f>
        <v>5</v>
      </c>
    </row>
    <row r="31" spans="1:8" x14ac:dyDescent="0.55000000000000004">
      <c r="A31" s="8" t="s">
        <v>49</v>
      </c>
      <c r="B31" s="1" t="s">
        <v>48</v>
      </c>
      <c r="C31" s="1" t="s">
        <v>17</v>
      </c>
      <c r="D31" s="2">
        <v>43788</v>
      </c>
      <c r="E31" s="1">
        <f>COUNTIF(A2:A31,"*杰西卡*")</f>
        <v>2</v>
      </c>
      <c r="F31" s="1">
        <f>COUNTIF(C2:C31,"生命之地")</f>
        <v>6</v>
      </c>
    </row>
    <row r="32" spans="1:8" x14ac:dyDescent="0.55000000000000004">
      <c r="A32" s="8" t="s">
        <v>270</v>
      </c>
      <c r="B32" s="1" t="s">
        <v>50</v>
      </c>
      <c r="C32" s="1" t="s">
        <v>17</v>
      </c>
      <c r="D32" s="2">
        <v>43788</v>
      </c>
      <c r="E32" s="1">
        <f>COUNTIF(A2:A32,"推进之王")</f>
        <v>1</v>
      </c>
      <c r="F32" s="1">
        <f>COUNTIF(C2:C32,"生命之地")</f>
        <v>7</v>
      </c>
    </row>
    <row r="33" spans="1:6" x14ac:dyDescent="0.55000000000000004">
      <c r="A33" s="8" t="s">
        <v>348</v>
      </c>
      <c r="B33" s="1" t="s">
        <v>45</v>
      </c>
      <c r="C33" s="1" t="s">
        <v>395</v>
      </c>
      <c r="D33" s="2">
        <v>43794</v>
      </c>
      <c r="E33" s="1">
        <f>COUNTIF(A2:A33,"可颂")</f>
        <v>1</v>
      </c>
      <c r="F33" s="1">
        <f>COUNTIF(C2:C33,"合作款")</f>
        <v>1</v>
      </c>
    </row>
    <row r="34" spans="1:6" x14ac:dyDescent="0.55000000000000004">
      <c r="A34" s="8" t="s">
        <v>369</v>
      </c>
      <c r="B34" s="1" t="s">
        <v>46</v>
      </c>
      <c r="C34" s="1" t="s">
        <v>47</v>
      </c>
      <c r="D34" s="2">
        <v>43794</v>
      </c>
      <c r="E34" s="1">
        <f>COUNTIF(A2:A34,"伊芙利特")</f>
        <v>2</v>
      </c>
      <c r="F34" s="1">
        <f>COUNTIF(C2:C34,"合作款")</f>
        <v>2</v>
      </c>
    </row>
    <row r="35" spans="1:6" x14ac:dyDescent="0.55000000000000004">
      <c r="A35" s="8" t="s">
        <v>240</v>
      </c>
      <c r="B35" s="1" t="s">
        <v>383</v>
      </c>
      <c r="C35" s="1" t="s">
        <v>47</v>
      </c>
      <c r="D35" s="2">
        <v>43794</v>
      </c>
      <c r="E35" s="1">
        <f>COUNTIF(A2:A35,"能天使")</f>
        <v>2</v>
      </c>
      <c r="F35" s="1">
        <f>COUNTIF(C2:C35,"合作款")</f>
        <v>3</v>
      </c>
    </row>
    <row r="36" spans="1:6" x14ac:dyDescent="0.55000000000000004">
      <c r="A36" s="8" t="s">
        <v>325</v>
      </c>
      <c r="B36" s="1" t="s">
        <v>58</v>
      </c>
      <c r="C36" s="1" t="s">
        <v>396</v>
      </c>
      <c r="D36" s="2">
        <v>43825</v>
      </c>
      <c r="E36" s="1">
        <f>COUNTIF(A2:A36,"黑")</f>
        <v>1</v>
      </c>
      <c r="F36" s="1">
        <f>COUNTIF(C2:C36,"冰原信使")</f>
        <v>1</v>
      </c>
    </row>
    <row r="37" spans="1:6" x14ac:dyDescent="0.55000000000000004">
      <c r="A37" s="8" t="s">
        <v>56</v>
      </c>
      <c r="B37" s="1" t="s">
        <v>57</v>
      </c>
      <c r="C37" s="1" t="s">
        <v>59</v>
      </c>
      <c r="D37" s="2">
        <v>43825</v>
      </c>
      <c r="E37" s="1">
        <f>COUNTIF(A2:A37,"银灰")</f>
        <v>1</v>
      </c>
      <c r="F37" s="1">
        <f>COUNTIF(C2:C37,"冰原信使")</f>
        <v>2</v>
      </c>
    </row>
    <row r="38" spans="1:6" x14ac:dyDescent="0.55000000000000004">
      <c r="A38" s="8" t="s">
        <v>54</v>
      </c>
      <c r="B38" s="1" t="s">
        <v>55</v>
      </c>
      <c r="C38" s="1" t="s">
        <v>59</v>
      </c>
      <c r="D38" s="2">
        <v>43825</v>
      </c>
      <c r="E38" s="1">
        <f>COUNTIF(A2:A38,"初雪")</f>
        <v>1</v>
      </c>
      <c r="F38" s="1">
        <f>COUNTIF(C2:C38,"冰原信使")</f>
        <v>3</v>
      </c>
    </row>
    <row r="39" spans="1:6" x14ac:dyDescent="0.55000000000000004">
      <c r="A39" s="8" t="s">
        <v>368</v>
      </c>
      <c r="B39" s="1" t="s">
        <v>53</v>
      </c>
      <c r="C39" s="1" t="s">
        <v>59</v>
      </c>
      <c r="D39" s="2">
        <v>43825</v>
      </c>
      <c r="E39" s="1">
        <f>COUNTIF(A2:A39,"卡缇")</f>
        <v>1</v>
      </c>
      <c r="F39" s="1">
        <f>COUNTIF(C2:C39,"冰原信使")</f>
        <v>4</v>
      </c>
    </row>
    <row r="40" spans="1:6" x14ac:dyDescent="0.55000000000000004">
      <c r="A40" s="8" t="s">
        <v>279</v>
      </c>
      <c r="B40" s="1" t="s">
        <v>52</v>
      </c>
      <c r="C40" s="1" t="s">
        <v>397</v>
      </c>
      <c r="D40" s="2">
        <v>43831</v>
      </c>
      <c r="E40" s="1">
        <f>COUNTIF(A2:A40,"食铁兽")</f>
        <v>1</v>
      </c>
      <c r="F40" s="1">
        <f>COUNTIF(C2:C40,"玛尔特")</f>
        <v>1</v>
      </c>
    </row>
    <row r="41" spans="1:6" x14ac:dyDescent="0.55000000000000004">
      <c r="A41" s="8" t="s">
        <v>367</v>
      </c>
      <c r="B41" s="1" t="s">
        <v>234</v>
      </c>
      <c r="C41" s="1" t="s">
        <v>236</v>
      </c>
      <c r="D41" s="2">
        <v>43855</v>
      </c>
      <c r="E41" s="1">
        <f>COUNTIF(A2:A41,"陈")+COUNTIF(A2:A41,"假日威龙陈")</f>
        <v>1</v>
      </c>
      <c r="F41" s="1">
        <f>COUNTIF(C2:C41,"*0011*")</f>
        <v>2</v>
      </c>
    </row>
    <row r="42" spans="1:6" x14ac:dyDescent="0.55000000000000004">
      <c r="A42" s="8" t="s">
        <v>366</v>
      </c>
      <c r="B42" s="1" t="s">
        <v>63</v>
      </c>
      <c r="C42" s="1" t="s">
        <v>14</v>
      </c>
      <c r="D42" s="2">
        <v>43855</v>
      </c>
      <c r="E42" s="1">
        <f>COUNTIF(A2:A42,"*诗怀雅*")</f>
        <v>1</v>
      </c>
      <c r="F42" s="1">
        <f>COUNTIF(C2:C42,"*0011*")</f>
        <v>3</v>
      </c>
    </row>
    <row r="43" spans="1:6" x14ac:dyDescent="0.55000000000000004">
      <c r="A43" s="8" t="s">
        <v>324</v>
      </c>
      <c r="B43" s="1" t="s">
        <v>62</v>
      </c>
      <c r="C43" s="1" t="s">
        <v>14</v>
      </c>
      <c r="D43" s="2">
        <v>43855</v>
      </c>
      <c r="E43" s="1">
        <f>COUNTIF(A2:A43,"雷蛇")</f>
        <v>1</v>
      </c>
      <c r="F43" s="1">
        <f>COUNTIF(C2:C43,"*0011*")</f>
        <v>4</v>
      </c>
    </row>
    <row r="44" spans="1:6" x14ac:dyDescent="0.55000000000000004">
      <c r="A44" s="8" t="s">
        <v>49</v>
      </c>
      <c r="B44" s="1" t="s">
        <v>384</v>
      </c>
      <c r="C44" s="1" t="s">
        <v>14</v>
      </c>
      <c r="D44" s="2">
        <v>43855</v>
      </c>
      <c r="E44" s="1">
        <f>COUNTIF(A2:A44,"*杰西卡*")</f>
        <v>3</v>
      </c>
      <c r="F44" s="1">
        <f>COUNTIF(C2:C44,"*0011*")</f>
        <v>5</v>
      </c>
    </row>
    <row r="45" spans="1:6" x14ac:dyDescent="0.55000000000000004">
      <c r="A45" s="8" t="s">
        <v>365</v>
      </c>
      <c r="B45" s="1" t="s">
        <v>61</v>
      </c>
      <c r="C45" s="1" t="s">
        <v>60</v>
      </c>
      <c r="D45" s="2">
        <v>43869</v>
      </c>
      <c r="E45" s="1">
        <f>COUNTIF(A2:A45,"远山")</f>
        <v>1</v>
      </c>
      <c r="F45" s="1">
        <f>COUNTIF(C2:C45,"时代")</f>
        <v>2</v>
      </c>
    </row>
    <row r="46" spans="1:6" x14ac:dyDescent="0.55000000000000004">
      <c r="A46" s="8" t="s">
        <v>239</v>
      </c>
      <c r="B46" s="1" t="s">
        <v>64</v>
      </c>
      <c r="C46" s="1" t="s">
        <v>395</v>
      </c>
      <c r="D46" s="2">
        <v>43893</v>
      </c>
      <c r="E46" s="1">
        <f>COUNTIF(A2:A46,"崖心")</f>
        <v>2</v>
      </c>
      <c r="F46" s="1">
        <f>COUNTIF(C2:C46,"合作款")</f>
        <v>4</v>
      </c>
    </row>
    <row r="47" spans="1:6" x14ac:dyDescent="0.55000000000000004">
      <c r="A47" s="8" t="s">
        <v>364</v>
      </c>
      <c r="B47" s="1" t="s">
        <v>65</v>
      </c>
      <c r="C47" s="1" t="s">
        <v>60</v>
      </c>
      <c r="D47" s="2">
        <v>43907</v>
      </c>
      <c r="E47" s="1">
        <f>COUNTIF(A2:A47,"*嘉维尔*")</f>
        <v>1</v>
      </c>
      <c r="F47" s="1">
        <f>COUNTIF(C2:C47,"时代")</f>
        <v>3</v>
      </c>
    </row>
    <row r="48" spans="1:6" x14ac:dyDescent="0.55000000000000004">
      <c r="A48" s="8" t="s">
        <v>363</v>
      </c>
      <c r="B48" s="1" t="s">
        <v>66</v>
      </c>
      <c r="C48" s="1" t="s">
        <v>398</v>
      </c>
      <c r="D48" s="2">
        <v>43907</v>
      </c>
      <c r="E48" s="1">
        <f>COUNTIF(A2:A48,"星熊")</f>
        <v>1</v>
      </c>
      <c r="F48" s="1">
        <f>COUNTIF(C2:C48,"*0011*")</f>
        <v>6</v>
      </c>
    </row>
    <row r="49" spans="1:6" x14ac:dyDescent="0.55000000000000004">
      <c r="A49" s="8" t="s">
        <v>315</v>
      </c>
      <c r="B49" s="1" t="s">
        <v>67</v>
      </c>
      <c r="C49" s="1" t="s">
        <v>397</v>
      </c>
      <c r="D49" s="2">
        <v>43907</v>
      </c>
      <c r="E49" s="1">
        <f>COUNTIF(A2:A49,"凛冬")</f>
        <v>1</v>
      </c>
      <c r="F49" s="1">
        <f>COUNTIF(C2:C49,"玛尔特")</f>
        <v>2</v>
      </c>
    </row>
    <row r="50" spans="1:6" x14ac:dyDescent="0.55000000000000004">
      <c r="A50" s="8" t="s">
        <v>362</v>
      </c>
      <c r="B50" s="1" t="s">
        <v>68</v>
      </c>
      <c r="C50" s="1" t="s">
        <v>60</v>
      </c>
      <c r="D50" s="2">
        <v>43907</v>
      </c>
      <c r="E50" s="1">
        <f>COUNTIF(A2:A50,"白面鸮")</f>
        <v>1</v>
      </c>
      <c r="F50" s="1">
        <f>COUNTIF(C2:C50,"时代")</f>
        <v>4</v>
      </c>
    </row>
    <row r="51" spans="1:6" x14ac:dyDescent="0.55000000000000004">
      <c r="A51" s="8" t="s">
        <v>237</v>
      </c>
      <c r="B51" s="1" t="s">
        <v>70</v>
      </c>
      <c r="C51" s="1" t="s">
        <v>390</v>
      </c>
      <c r="D51" s="2">
        <v>43965</v>
      </c>
      <c r="E51" s="1">
        <f>COUNTIF(A2:A51,"阿米娅")</f>
        <v>2</v>
      </c>
      <c r="F51" s="1">
        <f>COUNTIF(C2:C51,"忒斯特收藏")</f>
        <v>3</v>
      </c>
    </row>
    <row r="52" spans="1:6" x14ac:dyDescent="0.55000000000000004">
      <c r="A52" s="8" t="s">
        <v>361</v>
      </c>
      <c r="B52" s="1" t="s">
        <v>71</v>
      </c>
      <c r="C52" s="1" t="s">
        <v>133</v>
      </c>
      <c r="D52" s="2">
        <v>43966</v>
      </c>
      <c r="E52" s="1">
        <f>COUNTIF(A2:A52,"*送葬人*")</f>
        <v>1</v>
      </c>
      <c r="F52" s="1">
        <f>COUNTIF(C2:C52,"斗争血脉")</f>
        <v>1</v>
      </c>
    </row>
    <row r="53" spans="1:6" x14ac:dyDescent="0.55000000000000004">
      <c r="A53" s="8" t="s">
        <v>73</v>
      </c>
      <c r="B53" s="1" t="s">
        <v>74</v>
      </c>
      <c r="C53" s="1" t="s">
        <v>72</v>
      </c>
      <c r="D53" s="2">
        <v>43966</v>
      </c>
      <c r="E53" s="1">
        <f>COUNTIF(A2:A53,"灰喉")</f>
        <v>1</v>
      </c>
      <c r="F53" s="1">
        <f>COUNTIF(C2:C53,"斗争血脉")</f>
        <v>2</v>
      </c>
    </row>
    <row r="54" spans="1:6" x14ac:dyDescent="0.55000000000000004">
      <c r="A54" s="4" t="s">
        <v>360</v>
      </c>
      <c r="B54" s="4" t="s">
        <v>76</v>
      </c>
      <c r="C54" s="1" t="s">
        <v>72</v>
      </c>
      <c r="D54" s="2">
        <v>43966</v>
      </c>
      <c r="E54" s="1">
        <f>COUNTIF(A2:A54,"月见夜")</f>
        <v>1</v>
      </c>
      <c r="F54" s="1">
        <f>COUNTIF(C2:C54,"斗争血脉")</f>
        <v>3</v>
      </c>
    </row>
    <row r="55" spans="1:6" x14ac:dyDescent="0.55000000000000004">
      <c r="A55" s="8" t="s">
        <v>359</v>
      </c>
      <c r="B55" s="1" t="s">
        <v>75</v>
      </c>
      <c r="C55" s="1" t="s">
        <v>72</v>
      </c>
      <c r="D55" s="2">
        <v>43966</v>
      </c>
      <c r="E55" s="1">
        <f>COUNTIF(A2:A55,"米格鲁")</f>
        <v>1</v>
      </c>
      <c r="F55" s="1">
        <f>COUNTIF(C2:C55,"斗争血脉")</f>
        <v>4</v>
      </c>
    </row>
    <row r="56" spans="1:6" x14ac:dyDescent="0.55000000000000004">
      <c r="A56" s="8" t="s">
        <v>358</v>
      </c>
      <c r="B56" s="1" t="s">
        <v>77</v>
      </c>
      <c r="C56" s="1" t="s">
        <v>72</v>
      </c>
      <c r="D56" s="2">
        <v>43966</v>
      </c>
      <c r="E56" s="1">
        <f>COUNTIF(A2:A56,"拉普兰德")</f>
        <v>1</v>
      </c>
      <c r="F56" s="1">
        <f>COUNTIF(C2:C56,"斗争血脉")</f>
        <v>5</v>
      </c>
    </row>
    <row r="57" spans="1:6" x14ac:dyDescent="0.55000000000000004">
      <c r="A57" s="8" t="s">
        <v>308</v>
      </c>
      <c r="B57" s="1" t="s">
        <v>78</v>
      </c>
      <c r="C57" s="1" t="s">
        <v>72</v>
      </c>
      <c r="D57" s="2">
        <v>43966</v>
      </c>
      <c r="E57" s="1">
        <f>COUNTIF(A2:A57,"安洁莉娜")</f>
        <v>1</v>
      </c>
      <c r="F57" s="1">
        <f>COUNTIF(C2:C57,"斗争血脉")</f>
        <v>6</v>
      </c>
    </row>
    <row r="58" spans="1:6" x14ac:dyDescent="0.55000000000000004">
      <c r="A58" s="8" t="s">
        <v>336</v>
      </c>
      <c r="B58" s="1" t="s">
        <v>79</v>
      </c>
      <c r="C58" s="1" t="s">
        <v>72</v>
      </c>
      <c r="D58" s="2">
        <v>43966</v>
      </c>
      <c r="E58" s="1">
        <f>COUNTIF(A2:A58,"塞雷娅")</f>
        <v>1</v>
      </c>
      <c r="F58" s="1">
        <f>COUNTIF(C2:C58,"斗争血脉")</f>
        <v>7</v>
      </c>
    </row>
    <row r="59" spans="1:6" x14ac:dyDescent="0.55000000000000004">
      <c r="A59" s="8" t="s">
        <v>357</v>
      </c>
      <c r="B59" s="1" t="s">
        <v>81</v>
      </c>
      <c r="C59" s="1" t="s">
        <v>399</v>
      </c>
      <c r="D59" s="2">
        <v>44000</v>
      </c>
      <c r="E59" s="1">
        <f>COUNTIF(A2:A59,"麦哲伦")</f>
        <v>1</v>
      </c>
      <c r="F59" s="1">
        <f>COUNTIF(C2:C59,"罗德厨房")</f>
        <v>1</v>
      </c>
    </row>
    <row r="60" spans="1:6" x14ac:dyDescent="0.55000000000000004">
      <c r="A60" s="8" t="s">
        <v>356</v>
      </c>
      <c r="B60" s="1" t="s">
        <v>82</v>
      </c>
      <c r="C60" s="1" t="s">
        <v>80</v>
      </c>
      <c r="D60" s="2">
        <v>44000</v>
      </c>
      <c r="E60" s="1">
        <f>COUNTIF(A2:A60,"真理")</f>
        <v>1</v>
      </c>
      <c r="F60" s="1">
        <f>COUNTIF(C2:C60,"罗德厨房")</f>
        <v>2</v>
      </c>
    </row>
    <row r="61" spans="1:6" x14ac:dyDescent="0.55000000000000004">
      <c r="A61" s="8" t="s">
        <v>355</v>
      </c>
      <c r="B61" s="1" t="s">
        <v>83</v>
      </c>
      <c r="C61" s="1" t="s">
        <v>80</v>
      </c>
      <c r="D61" s="2">
        <v>44000</v>
      </c>
      <c r="E61" s="1">
        <f>COUNTIF(A56:A61,"猎蜂")</f>
        <v>1</v>
      </c>
      <c r="F61" s="1">
        <f>COUNTIF(C2:C61,"罗德厨房")</f>
        <v>3</v>
      </c>
    </row>
    <row r="62" spans="1:6" x14ac:dyDescent="0.55000000000000004">
      <c r="A62" s="8" t="s">
        <v>354</v>
      </c>
      <c r="B62" s="1" t="s">
        <v>84</v>
      </c>
      <c r="C62" s="1" t="s">
        <v>60</v>
      </c>
      <c r="D62" s="2">
        <v>44007</v>
      </c>
      <c r="E62" s="1">
        <f>COUNTIF(A2:A62,"狮蝎")</f>
        <v>1</v>
      </c>
      <c r="F62" s="1">
        <f>COUNTIF(C2:C62,"时代")</f>
        <v>5</v>
      </c>
    </row>
    <row r="63" spans="1:6" x14ac:dyDescent="0.55000000000000004">
      <c r="A63" s="8" t="s">
        <v>353</v>
      </c>
      <c r="B63" s="1" t="s">
        <v>85</v>
      </c>
      <c r="C63" s="1" t="s">
        <v>38</v>
      </c>
      <c r="D63" s="2">
        <v>44007</v>
      </c>
      <c r="E63" s="1">
        <f>COUNTIF(A2:A63,"夜魔")</f>
        <v>1</v>
      </c>
      <c r="F63" s="1">
        <f>COUNTIF(C2:C63,"时代")</f>
        <v>6</v>
      </c>
    </row>
    <row r="64" spans="1:6" x14ac:dyDescent="0.55000000000000004">
      <c r="A64" s="8" t="s">
        <v>352</v>
      </c>
      <c r="B64" s="1" t="s">
        <v>86</v>
      </c>
      <c r="C64" s="1" t="s">
        <v>38</v>
      </c>
      <c r="D64" s="2">
        <v>44021</v>
      </c>
      <c r="E64" s="1">
        <f>COUNTIF(A2:A64,"莫斯提马")</f>
        <v>1</v>
      </c>
      <c r="F64" s="1">
        <f>COUNTIF(C2:C64,"时代")</f>
        <v>7</v>
      </c>
    </row>
    <row r="65" spans="1:6" x14ac:dyDescent="0.55000000000000004">
      <c r="A65" s="8" t="s">
        <v>299</v>
      </c>
      <c r="B65" s="1" t="s">
        <v>87</v>
      </c>
      <c r="C65" s="1" t="s">
        <v>38</v>
      </c>
      <c r="D65" s="2">
        <v>44021</v>
      </c>
      <c r="E65" s="1">
        <f>COUNTIF(A2:A65,"星极")</f>
        <v>1</v>
      </c>
      <c r="F65" s="1">
        <f>COUNTIF(C2:C65,"时代")</f>
        <v>8</v>
      </c>
    </row>
    <row r="66" spans="1:6" x14ac:dyDescent="0.55000000000000004">
      <c r="A66" s="4" t="s">
        <v>351</v>
      </c>
      <c r="B66" s="4" t="s">
        <v>88</v>
      </c>
      <c r="C66" s="1" t="s">
        <v>392</v>
      </c>
      <c r="D66" s="2">
        <v>44040</v>
      </c>
      <c r="E66" s="1">
        <f>COUNTIF(A2:A66,"*临光*")</f>
        <v>1</v>
      </c>
      <c r="F66" s="1">
        <f>COUNTIF(C2:C66,"珊瑚海岸")</f>
        <v>10</v>
      </c>
    </row>
    <row r="67" spans="1:6" x14ac:dyDescent="0.55000000000000004">
      <c r="A67" s="8" t="s">
        <v>43</v>
      </c>
      <c r="B67" s="1" t="s">
        <v>235</v>
      </c>
      <c r="C67" s="1" t="s">
        <v>32</v>
      </c>
      <c r="D67" s="2">
        <v>44040</v>
      </c>
      <c r="E67" s="1">
        <f>COUNTIF(A2:A67,"暗索")</f>
        <v>2</v>
      </c>
      <c r="F67" s="1">
        <f>COUNTIF(C2:C67,"珊瑚海岸")</f>
        <v>11</v>
      </c>
    </row>
    <row r="68" spans="1:6" x14ac:dyDescent="0.55000000000000004">
      <c r="A68" s="4" t="s">
        <v>350</v>
      </c>
      <c r="B68" s="1" t="s">
        <v>89</v>
      </c>
      <c r="C68" s="1" t="s">
        <v>32</v>
      </c>
      <c r="D68" s="2">
        <v>44040</v>
      </c>
      <c r="E68" s="1">
        <f>COUNTIF(A2:A68,"*斯卡蒂*")</f>
        <v>1</v>
      </c>
      <c r="F68" s="1">
        <f>COUNTIF(C2:C68,"珊瑚海岸")</f>
        <v>12</v>
      </c>
    </row>
    <row r="69" spans="1:6" x14ac:dyDescent="0.55000000000000004">
      <c r="A69" s="4" t="s">
        <v>310</v>
      </c>
      <c r="B69" s="1" t="s">
        <v>90</v>
      </c>
      <c r="C69" s="1" t="s">
        <v>32</v>
      </c>
      <c r="D69" s="2">
        <v>44040</v>
      </c>
      <c r="E69" s="1">
        <f>COUNTIF(A2:A69,"普罗旺斯")</f>
        <v>1</v>
      </c>
      <c r="F69" s="1">
        <f>COUNTIF(C2:C69,"珊瑚海岸")</f>
        <v>13</v>
      </c>
    </row>
    <row r="70" spans="1:6" x14ac:dyDescent="0.55000000000000004">
      <c r="A70" s="4" t="s">
        <v>349</v>
      </c>
      <c r="B70" s="1" t="s">
        <v>91</v>
      </c>
      <c r="C70" s="1" t="s">
        <v>32</v>
      </c>
      <c r="D70" s="2">
        <v>44040</v>
      </c>
      <c r="E70" s="1">
        <f>COUNTIF(A2:A70,"白金")</f>
        <v>1</v>
      </c>
      <c r="F70" s="1">
        <f>COUNTIF(C2:C70,"珊瑚海岸")</f>
        <v>14</v>
      </c>
    </row>
    <row r="71" spans="1:6" x14ac:dyDescent="0.55000000000000004">
      <c r="A71" s="4" t="s">
        <v>56</v>
      </c>
      <c r="B71" s="1" t="s">
        <v>92</v>
      </c>
      <c r="C71" s="1" t="s">
        <v>32</v>
      </c>
      <c r="D71" s="2">
        <v>44040</v>
      </c>
      <c r="E71" s="1">
        <f>COUNTIF(A2:A71,"银灰")</f>
        <v>2</v>
      </c>
      <c r="F71" s="1">
        <f>COUNTIF(C2:C71,"珊瑚海岸")</f>
        <v>15</v>
      </c>
    </row>
    <row r="72" spans="1:6" x14ac:dyDescent="0.55000000000000004">
      <c r="A72" s="4" t="s">
        <v>278</v>
      </c>
      <c r="B72" s="1" t="s">
        <v>93</v>
      </c>
      <c r="C72" s="1" t="s">
        <v>32</v>
      </c>
      <c r="D72" s="2">
        <v>44040</v>
      </c>
      <c r="E72" s="1">
        <f>COUNTIF(A2:A72,"刻俄柏")</f>
        <v>1</v>
      </c>
      <c r="F72" s="1">
        <f>COUNTIF(C2:C72,"珊瑚海岸")</f>
        <v>16</v>
      </c>
    </row>
    <row r="73" spans="1:6" x14ac:dyDescent="0.55000000000000004">
      <c r="A73" s="8" t="s">
        <v>348</v>
      </c>
      <c r="B73" s="1" t="s">
        <v>94</v>
      </c>
      <c r="C73" s="1" t="s">
        <v>32</v>
      </c>
      <c r="D73" s="2">
        <v>44040</v>
      </c>
      <c r="E73" s="1">
        <f>COUNTIF(A2:A73,"可颂")</f>
        <v>2</v>
      </c>
      <c r="F73" s="1">
        <f>COUNTIF(C2:C73,"珊瑚海岸")</f>
        <v>17</v>
      </c>
    </row>
    <row r="74" spans="1:6" x14ac:dyDescent="0.55000000000000004">
      <c r="A74" s="8" t="s">
        <v>347</v>
      </c>
      <c r="B74" s="1" t="s">
        <v>95</v>
      </c>
      <c r="C74" s="1" t="s">
        <v>32</v>
      </c>
      <c r="D74" s="2">
        <v>44040</v>
      </c>
      <c r="E74" s="1">
        <f>COUNTIF(A2:A74,"宴")</f>
        <v>1</v>
      </c>
      <c r="F74" s="1">
        <f>COUNTIF(C2:C74,"珊瑚海岸")</f>
        <v>18</v>
      </c>
    </row>
    <row r="75" spans="1:6" x14ac:dyDescent="0.55000000000000004">
      <c r="A75" s="8" t="s">
        <v>244</v>
      </c>
      <c r="B75" s="1" t="s">
        <v>96</v>
      </c>
      <c r="C75" s="1" t="s">
        <v>391</v>
      </c>
      <c r="D75" s="2">
        <v>44098</v>
      </c>
      <c r="E75" s="1">
        <f>COUNTIF(A2:A75,"铃兰")</f>
        <v>1</v>
      </c>
      <c r="F75" s="1">
        <f>COUNTIF(C2:C75,"生命之地")</f>
        <v>8</v>
      </c>
    </row>
    <row r="76" spans="1:6" x14ac:dyDescent="0.55000000000000004">
      <c r="A76" s="8" t="s">
        <v>285</v>
      </c>
      <c r="B76" s="1" t="s">
        <v>97</v>
      </c>
      <c r="C76" s="1" t="s">
        <v>17</v>
      </c>
      <c r="D76" s="2">
        <v>44098</v>
      </c>
      <c r="E76" s="1">
        <f>COUNTIF(A2:A76,"莱恩哈特")</f>
        <v>1</v>
      </c>
      <c r="F76" s="1">
        <f>COUNTIF(C2:C76,"生命之地")</f>
        <v>9</v>
      </c>
    </row>
    <row r="77" spans="1:6" x14ac:dyDescent="0.55000000000000004">
      <c r="A77" s="8" t="s">
        <v>346</v>
      </c>
      <c r="B77" s="1" t="s">
        <v>98</v>
      </c>
      <c r="C77" s="1" t="s">
        <v>17</v>
      </c>
      <c r="D77" s="2">
        <v>44098</v>
      </c>
      <c r="E77" s="1">
        <f>COUNTIF(A2:A77,"四月")</f>
        <v>1</v>
      </c>
      <c r="F77" s="1">
        <f>COUNTIF(C2:C77,"生命之地")</f>
        <v>10</v>
      </c>
    </row>
    <row r="78" spans="1:6" x14ac:dyDescent="0.55000000000000004">
      <c r="A78" s="8" t="s">
        <v>345</v>
      </c>
      <c r="B78" s="1" t="s">
        <v>99</v>
      </c>
      <c r="C78" s="1" t="s">
        <v>60</v>
      </c>
      <c r="D78" s="2">
        <v>44105</v>
      </c>
      <c r="E78" s="1">
        <f>COUNTIF(A2:A78,"格拉尼")</f>
        <v>1</v>
      </c>
      <c r="F78" s="1">
        <f>COUNTIF(C2:C78,"时代")</f>
        <v>9</v>
      </c>
    </row>
    <row r="79" spans="1:6" x14ac:dyDescent="0.55000000000000004">
      <c r="A79" s="8" t="s">
        <v>271</v>
      </c>
      <c r="B79" s="1" t="s">
        <v>101</v>
      </c>
      <c r="C79" s="1" t="s">
        <v>400</v>
      </c>
      <c r="D79" s="2">
        <v>44119</v>
      </c>
      <c r="E79" s="1">
        <f>COUNTIF(A2:A79,"傀影")</f>
        <v>1</v>
      </c>
      <c r="F79" s="1">
        <f>COUNTIF(C2:C79,"缠梦古堡")</f>
        <v>1</v>
      </c>
    </row>
    <row r="80" spans="1:6" x14ac:dyDescent="0.55000000000000004">
      <c r="A80" s="8" t="s">
        <v>344</v>
      </c>
      <c r="B80" s="1" t="s">
        <v>102</v>
      </c>
      <c r="C80" s="1" t="s">
        <v>100</v>
      </c>
      <c r="D80" s="2">
        <v>44119</v>
      </c>
      <c r="E80" s="1">
        <f>COUNTIF(A2:A80,"梅尔")</f>
        <v>1</v>
      </c>
      <c r="F80" s="1">
        <f>COUNTIF(C2:C80,"缠梦古堡")</f>
        <v>2</v>
      </c>
    </row>
    <row r="81" spans="1:6" x14ac:dyDescent="0.55000000000000004">
      <c r="A81" s="4" t="s">
        <v>343</v>
      </c>
      <c r="B81" s="1" t="s">
        <v>103</v>
      </c>
      <c r="C81" s="1" t="s">
        <v>100</v>
      </c>
      <c r="D81" s="2">
        <v>44119</v>
      </c>
      <c r="E81" s="1">
        <f>COUNTIF(A2:A81,"格劳克斯")</f>
        <v>1</v>
      </c>
      <c r="F81" s="1">
        <f>COUNTIF(C2:C81,"缠梦古堡")</f>
        <v>3</v>
      </c>
    </row>
    <row r="82" spans="1:6" x14ac:dyDescent="0.55000000000000004">
      <c r="A82" s="8" t="s">
        <v>342</v>
      </c>
      <c r="B82" s="1" t="s">
        <v>104</v>
      </c>
      <c r="C82" s="1" t="s">
        <v>400</v>
      </c>
      <c r="D82" s="2">
        <v>44119</v>
      </c>
      <c r="E82" s="1">
        <f>COUNTIF(A2:A82,"阿消")</f>
        <v>1</v>
      </c>
      <c r="F82" s="1">
        <f>COUNTIF(C2:C82,"缠梦古堡")</f>
        <v>4</v>
      </c>
    </row>
    <row r="83" spans="1:6" x14ac:dyDescent="0.55000000000000004">
      <c r="A83" s="8" t="s">
        <v>341</v>
      </c>
      <c r="B83" s="1" t="s">
        <v>105</v>
      </c>
      <c r="C83" s="1" t="s">
        <v>60</v>
      </c>
      <c r="D83" s="2">
        <v>44136</v>
      </c>
      <c r="E83" s="1">
        <f>COUNTIF(A2:A83,"W")</f>
        <v>1</v>
      </c>
      <c r="F83" s="1">
        <f>COUNTIF(C2:C83,"时代")</f>
        <v>10</v>
      </c>
    </row>
    <row r="84" spans="1:6" x14ac:dyDescent="0.55000000000000004">
      <c r="A84" s="8" t="s">
        <v>340</v>
      </c>
      <c r="B84" s="1" t="s">
        <v>106</v>
      </c>
      <c r="C84" s="1" t="s">
        <v>38</v>
      </c>
      <c r="D84" s="2">
        <v>44136</v>
      </c>
      <c r="E84" s="1">
        <f>COUNTIF(A2:A84,"*德克萨斯*")</f>
        <v>2</v>
      </c>
      <c r="F84" s="1">
        <f>COUNTIF(C2:C84,"时代")</f>
        <v>11</v>
      </c>
    </row>
    <row r="85" spans="1:6" x14ac:dyDescent="0.55000000000000004">
      <c r="A85" s="8" t="s">
        <v>339</v>
      </c>
      <c r="B85" s="1" t="s">
        <v>107</v>
      </c>
      <c r="C85" s="1" t="s">
        <v>38</v>
      </c>
      <c r="D85" s="2">
        <v>44136</v>
      </c>
      <c r="E85" s="1">
        <f>COUNTIF(A2:A85,"杜宾")</f>
        <v>1</v>
      </c>
      <c r="F85" s="1">
        <f>COUNTIF(C2:C85,"时代")</f>
        <v>12</v>
      </c>
    </row>
    <row r="86" spans="1:6" x14ac:dyDescent="0.55000000000000004">
      <c r="A86" s="8" t="s">
        <v>338</v>
      </c>
      <c r="B86" s="1" t="s">
        <v>109</v>
      </c>
      <c r="C86" s="1" t="s">
        <v>38</v>
      </c>
      <c r="D86" s="2">
        <v>44136</v>
      </c>
      <c r="E86" s="1">
        <f>COUNTIF(A2:A86,"伊桑")</f>
        <v>1</v>
      </c>
      <c r="F86" s="1">
        <f>COUNTIF(C2:C86,"时代")</f>
        <v>13</v>
      </c>
    </row>
    <row r="87" spans="1:6" x14ac:dyDescent="0.55000000000000004">
      <c r="A87" s="8" t="s">
        <v>337</v>
      </c>
      <c r="B87" s="1" t="s">
        <v>108</v>
      </c>
      <c r="C87" s="1" t="s">
        <v>401</v>
      </c>
      <c r="D87" s="2">
        <v>44150</v>
      </c>
      <c r="E87" s="1">
        <f>COUNTIF(A2:A87,"风笛")</f>
        <v>1</v>
      </c>
      <c r="F87" s="1">
        <f>COUNTIF(C2:C87,"啸风")</f>
        <v>1</v>
      </c>
    </row>
    <row r="88" spans="1:6" x14ac:dyDescent="0.55000000000000004">
      <c r="A88" s="8" t="s">
        <v>336</v>
      </c>
      <c r="B88" s="1" t="s">
        <v>111</v>
      </c>
      <c r="C88" s="1" t="s">
        <v>390</v>
      </c>
      <c r="D88" s="2">
        <v>44182</v>
      </c>
      <c r="E88" s="1">
        <f>COUNTIF(A2:A88,"塞雷娅")</f>
        <v>2</v>
      </c>
      <c r="F88" s="1">
        <f>COUNTIF(C2:C88,"忒斯特收藏")</f>
        <v>4</v>
      </c>
    </row>
    <row r="89" spans="1:6" x14ac:dyDescent="0.55000000000000004">
      <c r="A89" s="8" t="s">
        <v>335</v>
      </c>
      <c r="B89" s="1" t="s">
        <v>112</v>
      </c>
      <c r="C89" s="1" t="s">
        <v>13</v>
      </c>
      <c r="D89" s="2">
        <v>44182</v>
      </c>
      <c r="E89" s="1">
        <f>COUNTIF(A2:A89,"温蒂")</f>
        <v>1</v>
      </c>
      <c r="F89" s="1">
        <f>COUNTIF(C2:C89,"忒斯特收藏")</f>
        <v>5</v>
      </c>
    </row>
    <row r="90" spans="1:6" x14ac:dyDescent="0.55000000000000004">
      <c r="A90" s="8" t="s">
        <v>113</v>
      </c>
      <c r="B90" s="1" t="s">
        <v>114</v>
      </c>
      <c r="C90" s="1" t="s">
        <v>13</v>
      </c>
      <c r="D90" s="2">
        <v>44182</v>
      </c>
      <c r="E90" s="1">
        <f>COUNTIF(A2:A90,"极境")</f>
        <v>1</v>
      </c>
      <c r="F90" s="1">
        <f>COUNTIF(C2:C90,"忒斯特收藏")</f>
        <v>6</v>
      </c>
    </row>
    <row r="91" spans="1:6" x14ac:dyDescent="0.55000000000000004">
      <c r="A91" s="8" t="s">
        <v>115</v>
      </c>
      <c r="B91" s="1" t="s">
        <v>116</v>
      </c>
      <c r="C91" s="1" t="s">
        <v>13</v>
      </c>
      <c r="D91" s="2">
        <v>44182</v>
      </c>
      <c r="E91" s="1">
        <f>COUNTIF(A2:A91,"守林人")</f>
        <v>2</v>
      </c>
      <c r="F91" s="1">
        <f>COUNTIF(C2:C91,"忒斯特收藏")</f>
        <v>7</v>
      </c>
    </row>
    <row r="92" spans="1:6" x14ac:dyDescent="0.55000000000000004">
      <c r="A92" s="8" t="s">
        <v>334</v>
      </c>
      <c r="B92" s="1" t="s">
        <v>110</v>
      </c>
      <c r="C92" s="1" t="s">
        <v>60</v>
      </c>
      <c r="D92" s="2">
        <v>44189</v>
      </c>
      <c r="E92" s="1">
        <f>COUNTIF(A2:A92,"*格雷伊*")</f>
        <v>1</v>
      </c>
      <c r="F92" s="1">
        <f>COUNTIF(C2:C92,"时代")</f>
        <v>14</v>
      </c>
    </row>
    <row r="93" spans="1:6" x14ac:dyDescent="0.55000000000000004">
      <c r="A93" s="8" t="s">
        <v>333</v>
      </c>
      <c r="B93" s="1" t="s">
        <v>118</v>
      </c>
      <c r="C93" s="1" t="s">
        <v>117</v>
      </c>
      <c r="D93" s="2">
        <v>44201</v>
      </c>
      <c r="E93" s="1">
        <f>COUNTIF(A2:A93,"柏喙")</f>
        <v>1</v>
      </c>
      <c r="F93" s="1">
        <f>COUNTIF(C2:C93,"寒武纪系列")</f>
        <v>5</v>
      </c>
    </row>
    <row r="94" spans="1:6" x14ac:dyDescent="0.55000000000000004">
      <c r="A94" s="8" t="s">
        <v>332</v>
      </c>
      <c r="B94" s="1" t="s">
        <v>119</v>
      </c>
      <c r="C94" s="1" t="s">
        <v>6</v>
      </c>
      <c r="D94" s="2">
        <v>44201</v>
      </c>
      <c r="E94" s="1">
        <f>COUNTIF(A2:A94,"芳汀")</f>
        <v>1</v>
      </c>
      <c r="F94" s="1">
        <f>COUNTIF(C2:C94,"寒武纪系列")</f>
        <v>6</v>
      </c>
    </row>
    <row r="95" spans="1:6" x14ac:dyDescent="0.55000000000000004">
      <c r="A95" s="8" t="s">
        <v>331</v>
      </c>
      <c r="B95" s="1" t="s">
        <v>120</v>
      </c>
      <c r="C95" s="1" t="s">
        <v>6</v>
      </c>
      <c r="D95" s="2">
        <v>44201</v>
      </c>
      <c r="E95" s="1">
        <f>COUNTIF(A2:A95,"砾")</f>
        <v>1</v>
      </c>
      <c r="F95" s="1">
        <f>COUNTIF(C2:C95,"寒武纪系列")</f>
        <v>7</v>
      </c>
    </row>
    <row r="96" spans="1:6" x14ac:dyDescent="0.55000000000000004">
      <c r="A96" s="8" t="s">
        <v>330</v>
      </c>
      <c r="B96" s="1" t="s">
        <v>121</v>
      </c>
      <c r="C96" s="1" t="s">
        <v>117</v>
      </c>
      <c r="D96" s="2">
        <v>44201</v>
      </c>
      <c r="E96" s="1">
        <f>COUNTIF(A2:A96,"*赫默*")</f>
        <v>2</v>
      </c>
      <c r="F96" s="1">
        <f>COUNTIF(C2:C96,"寒武纪系列")</f>
        <v>8</v>
      </c>
    </row>
    <row r="97" spans="1:6" x14ac:dyDescent="0.55000000000000004">
      <c r="A97" s="8" t="s">
        <v>122</v>
      </c>
      <c r="B97" s="1" t="s">
        <v>123</v>
      </c>
      <c r="C97" s="1" t="s">
        <v>236</v>
      </c>
      <c r="D97" s="2">
        <v>44232</v>
      </c>
      <c r="E97" s="1">
        <f>COUNTIF(A2:A97,"年")</f>
        <v>1</v>
      </c>
      <c r="F97" s="1">
        <f>COUNTIF(C2:C97,"*0011*")</f>
        <v>7</v>
      </c>
    </row>
    <row r="98" spans="1:6" x14ac:dyDescent="0.55000000000000004">
      <c r="A98" s="8" t="s">
        <v>287</v>
      </c>
      <c r="B98" s="1" t="s">
        <v>124</v>
      </c>
      <c r="C98" s="1" t="s">
        <v>14</v>
      </c>
      <c r="D98" s="2">
        <v>44232</v>
      </c>
      <c r="E98" s="1">
        <f>COUNTIF(A2:A98,"阿")</f>
        <v>1</v>
      </c>
      <c r="F98" s="1">
        <f>COUNTIF(C2:C98,"*0011*")</f>
        <v>8</v>
      </c>
    </row>
    <row r="99" spans="1:6" x14ac:dyDescent="0.55000000000000004">
      <c r="A99" s="8" t="s">
        <v>329</v>
      </c>
      <c r="B99" s="1" t="s">
        <v>125</v>
      </c>
      <c r="C99" s="1" t="s">
        <v>14</v>
      </c>
      <c r="D99" s="2">
        <v>44232</v>
      </c>
      <c r="E99" s="1">
        <f>COUNTIF(A2:A99,"吽")</f>
        <v>1</v>
      </c>
      <c r="F99" s="1">
        <f>COUNTIF(C2:C99,"*0011*")</f>
        <v>9</v>
      </c>
    </row>
    <row r="100" spans="1:6" x14ac:dyDescent="0.55000000000000004">
      <c r="A100" s="8" t="s">
        <v>328</v>
      </c>
      <c r="B100" s="1" t="s">
        <v>126</v>
      </c>
      <c r="C100" s="1" t="s">
        <v>14</v>
      </c>
      <c r="D100" s="2">
        <v>44232</v>
      </c>
      <c r="E100" s="1">
        <f>COUNTIF(A2:A100,"絮雨")</f>
        <v>1</v>
      </c>
      <c r="F100" s="1">
        <f>COUNTIF(C2:C100,"*0011*")</f>
        <v>10</v>
      </c>
    </row>
    <row r="101" spans="1:6" x14ac:dyDescent="0.55000000000000004">
      <c r="A101" s="8" t="s">
        <v>327</v>
      </c>
      <c r="B101" s="1" t="s">
        <v>127</v>
      </c>
      <c r="C101" s="1" t="s">
        <v>395</v>
      </c>
      <c r="D101" s="2">
        <v>44264</v>
      </c>
      <c r="E101" s="1">
        <f>COUNTIF(A2:A101,"灰烬")</f>
        <v>1</v>
      </c>
      <c r="F101" s="1">
        <f>COUNTIF(C2:C101,"合作款")</f>
        <v>5</v>
      </c>
    </row>
    <row r="102" spans="1:6" x14ac:dyDescent="0.55000000000000004">
      <c r="A102" s="8" t="s">
        <v>326</v>
      </c>
      <c r="B102" s="1" t="s">
        <v>128</v>
      </c>
      <c r="C102" s="1" t="s">
        <v>395</v>
      </c>
      <c r="D102" s="2">
        <v>44264</v>
      </c>
      <c r="E102" s="1">
        <f>COUNTIF(A2:A102,"战车")</f>
        <v>1</v>
      </c>
      <c r="F102" s="1">
        <f>COUNTIF(C2:C102,"合作款")</f>
        <v>6</v>
      </c>
    </row>
    <row r="103" spans="1:6" x14ac:dyDescent="0.55000000000000004">
      <c r="A103" s="8" t="s">
        <v>325</v>
      </c>
      <c r="B103" s="1" t="s">
        <v>129</v>
      </c>
      <c r="C103" s="1" t="s">
        <v>402</v>
      </c>
      <c r="D103" s="2">
        <v>44264</v>
      </c>
      <c r="E103" s="1">
        <f>COUNTIF(A2:A103,"黑")</f>
        <v>2</v>
      </c>
      <c r="F103" s="1">
        <f>COUNTIF(C2:C103,"雷神推进者")</f>
        <v>1</v>
      </c>
    </row>
    <row r="104" spans="1:6" x14ac:dyDescent="0.55000000000000004">
      <c r="A104" s="8" t="s">
        <v>324</v>
      </c>
      <c r="B104" s="1" t="s">
        <v>131</v>
      </c>
      <c r="C104" s="1" t="s">
        <v>130</v>
      </c>
      <c r="D104" s="2">
        <v>44264</v>
      </c>
      <c r="E104" s="1">
        <f>COUNTIF(A2:A104,"雷蛇")</f>
        <v>2</v>
      </c>
      <c r="F104" s="1">
        <f>COUNTIF(C2:C104,"雷神推进者")</f>
        <v>2</v>
      </c>
    </row>
    <row r="105" spans="1:6" x14ac:dyDescent="0.55000000000000004">
      <c r="A105" s="8" t="s">
        <v>237</v>
      </c>
      <c r="B105" s="1" t="s">
        <v>132</v>
      </c>
      <c r="C105" s="1" t="s">
        <v>390</v>
      </c>
      <c r="D105" s="2">
        <v>44287</v>
      </c>
      <c r="E105" s="1">
        <f>COUNTIF(A2:A105,"阿米娅")</f>
        <v>3</v>
      </c>
      <c r="F105" s="1">
        <f>COUNTIF(C2:C105,"忒斯特收藏")</f>
        <v>8</v>
      </c>
    </row>
    <row r="106" spans="1:6" x14ac:dyDescent="0.55000000000000004">
      <c r="A106" s="8" t="s">
        <v>323</v>
      </c>
      <c r="B106" s="1" t="s">
        <v>134</v>
      </c>
      <c r="C106" s="1" t="s">
        <v>133</v>
      </c>
      <c r="D106" s="2">
        <v>44301</v>
      </c>
      <c r="E106" s="1">
        <f>COUNTIF(A2:A106,"赫拉格")</f>
        <v>1</v>
      </c>
      <c r="F106" s="1">
        <f>COUNTIF(C2:C106,"斗争血脉")</f>
        <v>8</v>
      </c>
    </row>
    <row r="107" spans="1:6" x14ac:dyDescent="0.55000000000000004">
      <c r="A107" s="8" t="s">
        <v>322</v>
      </c>
      <c r="B107" s="1" t="s">
        <v>135</v>
      </c>
      <c r="C107" s="1" t="s">
        <v>133</v>
      </c>
      <c r="D107" s="2">
        <v>44301</v>
      </c>
      <c r="E107" s="1">
        <f>COUNTIF(A2:A107,"白雪")</f>
        <v>1</v>
      </c>
      <c r="F107" s="1">
        <f>COUNTIF(C2:C107,"斗争血脉")</f>
        <v>9</v>
      </c>
    </row>
    <row r="108" spans="1:6" x14ac:dyDescent="0.55000000000000004">
      <c r="A108" s="8" t="s">
        <v>246</v>
      </c>
      <c r="B108" s="1" t="s">
        <v>136</v>
      </c>
      <c r="C108" s="1" t="s">
        <v>72</v>
      </c>
      <c r="D108" s="2">
        <v>44317</v>
      </c>
      <c r="E108" s="1">
        <f>COUNTIF(A2:A108,"山")</f>
        <v>1</v>
      </c>
      <c r="F108" s="1">
        <f>COUNTIF(C2:C108,"斗争血脉")</f>
        <v>10</v>
      </c>
    </row>
    <row r="109" spans="1:6" x14ac:dyDescent="0.55000000000000004">
      <c r="A109" s="8" t="s">
        <v>321</v>
      </c>
      <c r="B109" s="1" t="s">
        <v>138</v>
      </c>
      <c r="C109" s="1" t="s">
        <v>72</v>
      </c>
      <c r="D109" s="2">
        <v>44317</v>
      </c>
      <c r="E109" s="1">
        <f>COUNTIF(A2:A109,"森蚺")</f>
        <v>1</v>
      </c>
      <c r="F109" s="1">
        <f>COUNTIF(C2:C109,"斗争血脉")</f>
        <v>11</v>
      </c>
    </row>
    <row r="110" spans="1:6" x14ac:dyDescent="0.55000000000000004">
      <c r="A110" s="8" t="s">
        <v>320</v>
      </c>
      <c r="B110" s="1" t="s">
        <v>137</v>
      </c>
      <c r="C110" s="1" t="s">
        <v>72</v>
      </c>
      <c r="D110" s="2">
        <v>44317</v>
      </c>
      <c r="E110" s="1">
        <f>COUNTIF(A2:A110,"断崖")</f>
        <v>1</v>
      </c>
      <c r="F110" s="1">
        <f>COUNTIF(C2:C110,"斗争血脉")</f>
        <v>12</v>
      </c>
    </row>
    <row r="111" spans="1:6" x14ac:dyDescent="0.55000000000000004">
      <c r="A111" s="8" t="s">
        <v>319</v>
      </c>
      <c r="B111" s="1" t="s">
        <v>139</v>
      </c>
      <c r="C111" s="1" t="s">
        <v>72</v>
      </c>
      <c r="D111" s="2">
        <v>44317</v>
      </c>
      <c r="E111" s="1">
        <f>COUNTIF(A2:A111,"燧石")</f>
        <v>1</v>
      </c>
      <c r="F111" s="1">
        <f>COUNTIF(C2:C111,"斗争血脉")</f>
        <v>13</v>
      </c>
    </row>
    <row r="112" spans="1:6" x14ac:dyDescent="0.55000000000000004">
      <c r="A112" s="8" t="s">
        <v>140</v>
      </c>
      <c r="B112" s="1" t="s">
        <v>141</v>
      </c>
      <c r="C112" s="1" t="s">
        <v>72</v>
      </c>
      <c r="D112" s="2">
        <v>44317</v>
      </c>
      <c r="E112" s="1">
        <f>COUNTIF(A2:A112,"斑点")</f>
        <v>1</v>
      </c>
      <c r="F112" s="1">
        <f>COUNTIF(C2:C112,"斗争血脉")</f>
        <v>14</v>
      </c>
    </row>
    <row r="113" spans="1:6" x14ac:dyDescent="0.55000000000000004">
      <c r="A113" s="8" t="s">
        <v>318</v>
      </c>
      <c r="B113" s="1" t="s">
        <v>142</v>
      </c>
      <c r="C113" s="1" t="s">
        <v>403</v>
      </c>
      <c r="D113" s="2">
        <v>44317</v>
      </c>
      <c r="E113" s="1">
        <f>COUNTIF(A2:A113,"煌")</f>
        <v>1</v>
      </c>
      <c r="F113" s="1">
        <f>COUNTIF(C2:C113,"音律联觉")</f>
        <v>1</v>
      </c>
    </row>
    <row r="114" spans="1:6" x14ac:dyDescent="0.55000000000000004">
      <c r="A114" s="8" t="s">
        <v>317</v>
      </c>
      <c r="B114" s="1" t="s">
        <v>144</v>
      </c>
      <c r="C114" s="1" t="s">
        <v>143</v>
      </c>
      <c r="D114" s="2">
        <v>44317</v>
      </c>
      <c r="E114" s="1">
        <f>COUNTIF(A2:A114,"讯使")</f>
        <v>2</v>
      </c>
      <c r="F114" s="1">
        <f>COUNTIF(C2:C114,"音律联觉")</f>
        <v>2</v>
      </c>
    </row>
    <row r="115" spans="1:6" x14ac:dyDescent="0.55000000000000004">
      <c r="A115" s="8" t="s">
        <v>29</v>
      </c>
      <c r="B115" s="1" t="s">
        <v>145</v>
      </c>
      <c r="C115" s="1" t="s">
        <v>143</v>
      </c>
      <c r="D115" s="2">
        <v>44317</v>
      </c>
      <c r="E115" s="1">
        <f>COUNTIF(A2:A115,"红豆")</f>
        <v>2</v>
      </c>
      <c r="F115" s="1">
        <f>COUNTIF(C2:C115,"音律联觉")</f>
        <v>3</v>
      </c>
    </row>
    <row r="116" spans="1:6" x14ac:dyDescent="0.55000000000000004">
      <c r="A116" s="8" t="s">
        <v>316</v>
      </c>
      <c r="B116" s="1" t="s">
        <v>147</v>
      </c>
      <c r="C116" s="1" t="s">
        <v>395</v>
      </c>
      <c r="D116" s="2">
        <v>44348</v>
      </c>
      <c r="E116" s="1">
        <f>COUNTIF(A2:A116,"棘刺")</f>
        <v>1</v>
      </c>
      <c r="F116" s="1">
        <f>COUNTIF(C2:C116,"合作款")</f>
        <v>7</v>
      </c>
    </row>
    <row r="117" spans="1:6" x14ac:dyDescent="0.55000000000000004">
      <c r="A117" s="4" t="s">
        <v>250</v>
      </c>
      <c r="B117" s="1" t="s">
        <v>148</v>
      </c>
      <c r="C117" s="1" t="s">
        <v>47</v>
      </c>
      <c r="D117" s="2">
        <v>44348</v>
      </c>
      <c r="E117" s="1">
        <f>COUNTIF(A2:A117,"史尔特尔")</f>
        <v>1</v>
      </c>
      <c r="F117" s="1">
        <f>COUNTIF(C2:C117,"合作款")</f>
        <v>8</v>
      </c>
    </row>
    <row r="118" spans="1:6" x14ac:dyDescent="0.55000000000000004">
      <c r="A118" s="8" t="s">
        <v>315</v>
      </c>
      <c r="B118" s="1" t="s">
        <v>150</v>
      </c>
      <c r="C118" s="1" t="s">
        <v>47</v>
      </c>
      <c r="D118" s="2">
        <v>44348</v>
      </c>
      <c r="E118" s="1">
        <f>COUNTIF(A2:A118,"凛冬")</f>
        <v>2</v>
      </c>
      <c r="F118" s="1">
        <f>COUNTIF(C2:C118,"合作款")</f>
        <v>9</v>
      </c>
    </row>
    <row r="119" spans="1:6" x14ac:dyDescent="0.55000000000000004">
      <c r="A119" s="8" t="s">
        <v>314</v>
      </c>
      <c r="B119" s="1" t="s">
        <v>149</v>
      </c>
      <c r="C119" s="1" t="s">
        <v>391</v>
      </c>
      <c r="D119" s="2">
        <v>44364</v>
      </c>
      <c r="E119" s="1">
        <f>COUNTIF(A2:A119,"亚叶")</f>
        <v>1</v>
      </c>
      <c r="F119" s="1">
        <f>COUNTIF(C2:C119,"生命之地")</f>
        <v>11</v>
      </c>
    </row>
    <row r="120" spans="1:6" x14ac:dyDescent="0.55000000000000004">
      <c r="A120" s="8" t="s">
        <v>313</v>
      </c>
      <c r="B120" s="1" t="s">
        <v>151</v>
      </c>
      <c r="C120" s="1" t="s">
        <v>60</v>
      </c>
      <c r="D120" s="2">
        <v>44379</v>
      </c>
      <c r="E120" s="1">
        <f>COUNTIF(A2:A120,"蜜蜡")</f>
        <v>1</v>
      </c>
      <c r="F120" s="1">
        <f>COUNTIF(C2:C120,"时代")</f>
        <v>15</v>
      </c>
    </row>
    <row r="121" spans="1:6" x14ac:dyDescent="0.55000000000000004">
      <c r="A121" s="8" t="s">
        <v>312</v>
      </c>
      <c r="B121" s="1" t="s">
        <v>152</v>
      </c>
      <c r="C121" s="1" t="s">
        <v>60</v>
      </c>
      <c r="D121" s="2">
        <v>44379</v>
      </c>
      <c r="E121" s="1">
        <f>COUNTIF(A2:A121,"月禾")</f>
        <v>1</v>
      </c>
      <c r="F121" s="1">
        <f>COUNTIF(C2:C121,"时代")</f>
        <v>16</v>
      </c>
    </row>
    <row r="122" spans="1:6" x14ac:dyDescent="0.55000000000000004">
      <c r="A122" s="8" t="s">
        <v>311</v>
      </c>
      <c r="B122" s="1" t="s">
        <v>153</v>
      </c>
      <c r="C122" s="1" t="s">
        <v>38</v>
      </c>
      <c r="D122" s="2">
        <v>44379</v>
      </c>
      <c r="E122" s="1">
        <f>COUNTIF(A2:A122,"调香师")</f>
        <v>2</v>
      </c>
      <c r="F122" s="1">
        <f>COUNTIF(C2:C122,"时代")</f>
        <v>17</v>
      </c>
    </row>
    <row r="123" spans="1:6" x14ac:dyDescent="0.55000000000000004">
      <c r="A123" s="8" t="s">
        <v>154</v>
      </c>
      <c r="B123" s="1" t="s">
        <v>155</v>
      </c>
      <c r="C123" s="1" t="s">
        <v>38</v>
      </c>
      <c r="D123" s="2">
        <v>44379</v>
      </c>
      <c r="E123" s="1">
        <f>COUNTIF(A2:A123,"波登可")</f>
        <v>1</v>
      </c>
      <c r="F123" s="1">
        <f>COUNTIF(C2:C123,"时代")</f>
        <v>18</v>
      </c>
    </row>
    <row r="124" spans="1:6" x14ac:dyDescent="0.55000000000000004">
      <c r="A124" s="8" t="s">
        <v>310</v>
      </c>
      <c r="B124" s="1" t="s">
        <v>156</v>
      </c>
      <c r="C124" s="1" t="s">
        <v>391</v>
      </c>
      <c r="D124" s="2">
        <v>44390</v>
      </c>
      <c r="E124" s="1">
        <f>COUNTIF(A2:A124,"普罗旺斯")</f>
        <v>2</v>
      </c>
      <c r="F124" s="1">
        <f>COUNTIF(C2:C124,"生命之地")</f>
        <v>12</v>
      </c>
    </row>
    <row r="125" spans="1:6" x14ac:dyDescent="0.55000000000000004">
      <c r="A125" s="4" t="s">
        <v>309</v>
      </c>
      <c r="B125" s="4" t="s">
        <v>157</v>
      </c>
      <c r="C125" s="1" t="s">
        <v>392</v>
      </c>
      <c r="D125" s="2">
        <v>44397</v>
      </c>
      <c r="E125" s="1">
        <f>COUNTIF(A2:A125,"*艾雅法拉*")</f>
        <v>1</v>
      </c>
      <c r="F125" s="1">
        <f>COUNTIF(C2:C125,"珊瑚海岸")</f>
        <v>19</v>
      </c>
    </row>
    <row r="126" spans="1:6" x14ac:dyDescent="0.55000000000000004">
      <c r="A126" s="4" t="s">
        <v>308</v>
      </c>
      <c r="B126" s="4" t="s">
        <v>158</v>
      </c>
      <c r="C126" s="1" t="s">
        <v>32</v>
      </c>
      <c r="D126" s="2">
        <v>44397</v>
      </c>
      <c r="E126" s="1">
        <f>COUNTIF(A2:A126,"安洁莉娜")</f>
        <v>2</v>
      </c>
      <c r="F126" s="1">
        <f>COUNTIF(C2:C126,"珊瑚海岸")</f>
        <v>20</v>
      </c>
    </row>
    <row r="127" spans="1:6" x14ac:dyDescent="0.55000000000000004">
      <c r="A127" s="4" t="s">
        <v>307</v>
      </c>
      <c r="B127" s="4" t="s">
        <v>159</v>
      </c>
      <c r="C127" s="1" t="s">
        <v>32</v>
      </c>
      <c r="D127" s="2">
        <v>44397</v>
      </c>
      <c r="E127" s="1">
        <f>COUNTIF(A2:A127,"特米米")</f>
        <v>1</v>
      </c>
      <c r="F127" s="1">
        <f>COUNTIF(C2:C127,"珊瑚海岸")</f>
        <v>21</v>
      </c>
    </row>
    <row r="128" spans="1:6" x14ac:dyDescent="0.55000000000000004">
      <c r="A128" s="4" t="s">
        <v>306</v>
      </c>
      <c r="B128" s="4" t="s">
        <v>160</v>
      </c>
      <c r="C128" s="1" t="s">
        <v>32</v>
      </c>
      <c r="D128" s="2">
        <v>44411</v>
      </c>
      <c r="E128" s="1">
        <f>COUNTIF(A2:A128,"苏苏洛")</f>
        <v>1</v>
      </c>
      <c r="F128" s="1">
        <f>COUNTIF(C2:C128,"珊瑚海岸")</f>
        <v>22</v>
      </c>
    </row>
    <row r="129" spans="1:6" x14ac:dyDescent="0.55000000000000004">
      <c r="A129" s="8" t="s">
        <v>305</v>
      </c>
      <c r="B129" s="1" t="s">
        <v>161</v>
      </c>
      <c r="C129" s="1" t="s">
        <v>32</v>
      </c>
      <c r="D129" s="2">
        <v>44411</v>
      </c>
      <c r="E129" s="1">
        <f>COUNTIF(A2:A129,"红")</f>
        <v>1</v>
      </c>
      <c r="F129" s="1">
        <f>COUNTIF(C2:C129,"珊瑚海岸")</f>
        <v>23</v>
      </c>
    </row>
    <row r="130" spans="1:6" x14ac:dyDescent="0.55000000000000004">
      <c r="A130" s="4" t="s">
        <v>304</v>
      </c>
      <c r="B130" s="4" t="s">
        <v>163</v>
      </c>
      <c r="C130" s="1" t="s">
        <v>32</v>
      </c>
      <c r="D130" s="2">
        <v>44411</v>
      </c>
      <c r="E130" s="1">
        <f>COUNTIF(A2:A130,"孑")</f>
        <v>1</v>
      </c>
      <c r="F130" s="1">
        <f>COUNTIF(C2:C130,"珊瑚海岸")</f>
        <v>24</v>
      </c>
    </row>
    <row r="131" spans="1:6" x14ac:dyDescent="0.55000000000000004">
      <c r="A131" s="8" t="s">
        <v>303</v>
      </c>
      <c r="B131" s="1" t="s">
        <v>162</v>
      </c>
      <c r="C131" s="1" t="s">
        <v>32</v>
      </c>
      <c r="D131" s="2">
        <v>44411</v>
      </c>
      <c r="E131" s="1">
        <f>COUNTIF(A2:A131,"铸铁")</f>
        <v>1</v>
      </c>
      <c r="F131" s="1">
        <f>COUNTIF(C2:C131,"珊瑚海岸")</f>
        <v>25</v>
      </c>
    </row>
    <row r="132" spans="1:6" x14ac:dyDescent="0.55000000000000004">
      <c r="A132" s="4" t="s">
        <v>267</v>
      </c>
      <c r="B132" s="4" t="s">
        <v>164</v>
      </c>
      <c r="C132" s="1" t="s">
        <v>32</v>
      </c>
      <c r="D132" s="2">
        <v>44411</v>
      </c>
      <c r="E132" s="1">
        <f>COUNTIF(A2:A132,"泥岩")</f>
        <v>1</v>
      </c>
      <c r="F132" s="1">
        <f>COUNTIF(C2:C132,"珊瑚海岸")</f>
        <v>26</v>
      </c>
    </row>
    <row r="133" spans="1:6" x14ac:dyDescent="0.55000000000000004">
      <c r="A133" s="4" t="s">
        <v>302</v>
      </c>
      <c r="B133" s="1" t="s">
        <v>165</v>
      </c>
      <c r="C133" s="1" t="s">
        <v>32</v>
      </c>
      <c r="D133" s="2">
        <v>44434</v>
      </c>
      <c r="E133" s="1">
        <f>COUNTIF(A2:A133,"华法琳")</f>
        <v>2</v>
      </c>
      <c r="F133" s="1">
        <f>COUNTIF(C2:C133,"珊瑚海岸")</f>
        <v>27</v>
      </c>
    </row>
    <row r="134" spans="1:6" x14ac:dyDescent="0.55000000000000004">
      <c r="A134" s="8" t="s">
        <v>301</v>
      </c>
      <c r="B134" s="1" t="s">
        <v>146</v>
      </c>
      <c r="C134" s="1" t="s">
        <v>397</v>
      </c>
      <c r="D134" s="2">
        <v>44434</v>
      </c>
      <c r="E134" s="1">
        <f>COUNTIF(A2:A134,"蓝毒")</f>
        <v>1</v>
      </c>
      <c r="F134" s="1">
        <f>COUNTIF(C2:C134,"玛尔特")</f>
        <v>3</v>
      </c>
    </row>
    <row r="135" spans="1:6" x14ac:dyDescent="0.55000000000000004">
      <c r="A135" s="8" t="s">
        <v>300</v>
      </c>
      <c r="B135" s="1" t="s">
        <v>166</v>
      </c>
      <c r="C135" s="1" t="s">
        <v>404</v>
      </c>
      <c r="D135" s="2">
        <v>44456</v>
      </c>
      <c r="E135" s="1">
        <f>COUNTIF(A2:A135,"空弦")</f>
        <v>1</v>
      </c>
      <c r="F135" s="1">
        <f>COUNTIF(C2:C135,"闪耀阶梯")</f>
        <v>1</v>
      </c>
    </row>
    <row r="136" spans="1:6" x14ac:dyDescent="0.55000000000000004">
      <c r="A136" s="8" t="s">
        <v>299</v>
      </c>
      <c r="B136" s="1" t="s">
        <v>168</v>
      </c>
      <c r="C136" s="1" t="s">
        <v>167</v>
      </c>
      <c r="D136" s="2">
        <v>44456</v>
      </c>
      <c r="E136" s="1">
        <f>COUNTIF(A2:A136,"星极")</f>
        <v>2</v>
      </c>
      <c r="F136" s="1">
        <f>COUNTIF(C2:C136,"闪耀阶梯")</f>
        <v>2</v>
      </c>
    </row>
    <row r="137" spans="1:6" x14ac:dyDescent="0.55000000000000004">
      <c r="A137" s="8" t="s">
        <v>298</v>
      </c>
      <c r="B137" s="1" t="s">
        <v>169</v>
      </c>
      <c r="C137" s="1" t="s">
        <v>404</v>
      </c>
      <c r="D137" s="2">
        <v>44456</v>
      </c>
      <c r="E137" s="1">
        <f>COUNTIF(A2:A137,"松果")</f>
        <v>1</v>
      </c>
      <c r="F137" s="1">
        <f>COUNTIF(C2:C137,"闪耀阶梯")</f>
        <v>3</v>
      </c>
    </row>
    <row r="138" spans="1:6" x14ac:dyDescent="0.55000000000000004">
      <c r="A138" s="8" t="s">
        <v>297</v>
      </c>
      <c r="B138" s="1" t="s">
        <v>170</v>
      </c>
      <c r="C138" s="1" t="s">
        <v>60</v>
      </c>
      <c r="D138" s="2">
        <v>44470</v>
      </c>
      <c r="E138" s="1">
        <f>COUNTIF(A2:A138,"流星")</f>
        <v>1</v>
      </c>
      <c r="F138" s="1">
        <f>COUNTIF(C2:C138,"时代")</f>
        <v>19</v>
      </c>
    </row>
    <row r="139" spans="1:6" x14ac:dyDescent="0.55000000000000004">
      <c r="A139" s="8" t="s">
        <v>296</v>
      </c>
      <c r="B139" s="1" t="s">
        <v>171</v>
      </c>
      <c r="C139" s="1" t="s">
        <v>60</v>
      </c>
      <c r="D139" s="2">
        <v>44470</v>
      </c>
      <c r="E139" s="1">
        <f>COUNTIF(A2:A139,"鞭刃")</f>
        <v>1</v>
      </c>
      <c r="F139" s="1">
        <f>COUNTIF(C2:C139,"时代")</f>
        <v>20</v>
      </c>
    </row>
    <row r="140" spans="1:6" x14ac:dyDescent="0.55000000000000004">
      <c r="A140" s="8" t="s">
        <v>295</v>
      </c>
      <c r="B140" s="1" t="s">
        <v>172</v>
      </c>
      <c r="C140" s="1" t="s">
        <v>394</v>
      </c>
      <c r="D140" s="2">
        <v>44484</v>
      </c>
      <c r="E140" s="1">
        <f>COUNTIF(A2:A140,"瑕光")</f>
        <v>1</v>
      </c>
      <c r="F140" s="1">
        <f>COUNTIF(C2:C140,"巫异盛宴")</f>
        <v>5</v>
      </c>
    </row>
    <row r="141" spans="1:6" x14ac:dyDescent="0.55000000000000004">
      <c r="A141" s="8" t="s">
        <v>294</v>
      </c>
      <c r="B141" s="1" t="s">
        <v>173</v>
      </c>
      <c r="C141" s="1" t="s">
        <v>394</v>
      </c>
      <c r="D141" s="2">
        <v>44484</v>
      </c>
      <c r="E141" s="1">
        <f>COUNTIF(A2:A141,"巫恋")</f>
        <v>1</v>
      </c>
      <c r="F141" s="1">
        <f>COUNTIF(C2:C141,"巫异盛宴")</f>
        <v>6</v>
      </c>
    </row>
    <row r="142" spans="1:6" x14ac:dyDescent="0.55000000000000004">
      <c r="A142" s="8" t="s">
        <v>293</v>
      </c>
      <c r="B142" s="1" t="s">
        <v>174</v>
      </c>
      <c r="C142" s="1" t="s">
        <v>39</v>
      </c>
      <c r="D142" s="2">
        <v>44484</v>
      </c>
      <c r="E142" s="1">
        <f>COUNTIF(A2:A142,"雪雉")</f>
        <v>1</v>
      </c>
      <c r="F142" s="1">
        <f>COUNTIF(C2:C142,"巫异盛宴")</f>
        <v>7</v>
      </c>
    </row>
    <row r="143" spans="1:6" x14ac:dyDescent="0.55000000000000004">
      <c r="A143" s="8" t="s">
        <v>292</v>
      </c>
      <c r="B143" s="1" t="s">
        <v>175</v>
      </c>
      <c r="C143" s="1" t="s">
        <v>394</v>
      </c>
      <c r="D143" s="2">
        <v>44484</v>
      </c>
      <c r="E143" s="1">
        <f>COUNTIF(A2:A143,"卡达")</f>
        <v>1</v>
      </c>
      <c r="F143" s="1">
        <f>COUNTIF(C2:C143,"巫异盛宴")</f>
        <v>8</v>
      </c>
    </row>
    <row r="144" spans="1:6" x14ac:dyDescent="0.55000000000000004">
      <c r="A144" s="8" t="s">
        <v>291</v>
      </c>
      <c r="B144" s="1" t="s">
        <v>176</v>
      </c>
      <c r="C144" s="1" t="s">
        <v>60</v>
      </c>
      <c r="D144" s="2">
        <v>44501</v>
      </c>
      <c r="E144" s="1">
        <f>COUNTIF(A2:A144,"帕拉斯")</f>
        <v>1</v>
      </c>
      <c r="F144" s="1">
        <f>COUNTIF(C2:C144,"时代")</f>
        <v>21</v>
      </c>
    </row>
    <row r="145" spans="1:6" x14ac:dyDescent="0.55000000000000004">
      <c r="A145" s="8" t="s">
        <v>290</v>
      </c>
      <c r="B145" s="1" t="s">
        <v>177</v>
      </c>
      <c r="C145" s="1" t="s">
        <v>38</v>
      </c>
      <c r="D145" s="2">
        <v>44501</v>
      </c>
      <c r="E145" s="1">
        <f>COUNTIF(A2:A145,"早露")</f>
        <v>1</v>
      </c>
      <c r="F145" s="1">
        <f>COUNTIF(C2:C145,"时代")</f>
        <v>22</v>
      </c>
    </row>
    <row r="146" spans="1:6" x14ac:dyDescent="0.55000000000000004">
      <c r="A146" s="8" t="s">
        <v>289</v>
      </c>
      <c r="B146" s="1" t="s">
        <v>178</v>
      </c>
      <c r="C146" s="1" t="s">
        <v>38</v>
      </c>
      <c r="D146" s="2">
        <v>44501</v>
      </c>
      <c r="E146" s="1">
        <f>COUNTIF(A2:A146,"安哲拉")</f>
        <v>1</v>
      </c>
      <c r="F146" s="1">
        <f>COUNTIF(C2:C146,"时代")</f>
        <v>23</v>
      </c>
    </row>
    <row r="147" spans="1:6" x14ac:dyDescent="0.55000000000000004">
      <c r="A147" s="8" t="s">
        <v>288</v>
      </c>
      <c r="B147" s="1" t="s">
        <v>179</v>
      </c>
      <c r="C147" s="1" t="s">
        <v>38</v>
      </c>
      <c r="D147" s="2">
        <v>44501</v>
      </c>
      <c r="E147" s="1">
        <f>COUNTIF(A2:A147,"桃金娘")</f>
        <v>1</v>
      </c>
      <c r="F147" s="1">
        <f>COUNTIF(C2:C147,"时代")</f>
        <v>24</v>
      </c>
    </row>
    <row r="148" spans="1:6" x14ac:dyDescent="0.55000000000000004">
      <c r="A148" s="8" t="s">
        <v>287</v>
      </c>
      <c r="B148" s="1" t="s">
        <v>180</v>
      </c>
      <c r="C148" s="1" t="s">
        <v>236</v>
      </c>
      <c r="D148" s="2">
        <v>44522</v>
      </c>
      <c r="E148" s="1">
        <f>COUNTIF(A2:A148,"阿")</f>
        <v>2</v>
      </c>
      <c r="F148" s="1">
        <f>COUNTIF(C2:C148,"*0011*")</f>
        <v>11</v>
      </c>
    </row>
    <row r="149" spans="1:6" x14ac:dyDescent="0.55000000000000004">
      <c r="A149" s="8" t="s">
        <v>286</v>
      </c>
      <c r="B149" s="1" t="s">
        <v>181</v>
      </c>
      <c r="C149" s="1" t="s">
        <v>60</v>
      </c>
      <c r="D149" s="2">
        <v>44537</v>
      </c>
      <c r="E149" s="1">
        <f>COUNTIF(A2:A149,"罗宾")</f>
        <v>1</v>
      </c>
      <c r="F149" s="1">
        <f>COUNTIF(C2:C149,"时代")</f>
        <v>25</v>
      </c>
    </row>
    <row r="150" spans="1:6" x14ac:dyDescent="0.55000000000000004">
      <c r="A150" s="4" t="s">
        <v>254</v>
      </c>
      <c r="B150" s="1" t="s">
        <v>182</v>
      </c>
      <c r="C150" s="1" t="s">
        <v>396</v>
      </c>
      <c r="D150" s="2">
        <v>44551</v>
      </c>
      <c r="E150" s="1">
        <f>COUNTIF(A2:A150,"卡涅利安")</f>
        <v>1</v>
      </c>
      <c r="F150" s="1">
        <f>COUNTIF(C2:C150,"冰原信使")</f>
        <v>5</v>
      </c>
    </row>
    <row r="151" spans="1:6" x14ac:dyDescent="0.55000000000000004">
      <c r="A151" s="8" t="s">
        <v>285</v>
      </c>
      <c r="B151" s="1" t="s">
        <v>183</v>
      </c>
      <c r="C151" s="1" t="s">
        <v>59</v>
      </c>
      <c r="D151" s="2">
        <v>44551</v>
      </c>
      <c r="E151" s="1">
        <f>COUNTIF(A2:A151,"莱恩哈特")</f>
        <v>2</v>
      </c>
      <c r="F151" s="1">
        <f>COUNTIF(C2:C151,"冰原信使")</f>
        <v>6</v>
      </c>
    </row>
    <row r="152" spans="1:6" x14ac:dyDescent="0.55000000000000004">
      <c r="A152" s="8" t="s">
        <v>284</v>
      </c>
      <c r="B152" s="1" t="s">
        <v>184</v>
      </c>
      <c r="C152" s="1" t="s">
        <v>59</v>
      </c>
      <c r="D152" s="2">
        <v>44551</v>
      </c>
      <c r="E152" s="1">
        <f>COUNTIF(A2:A152,"卡夫卡")</f>
        <v>1</v>
      </c>
      <c r="F152" s="1">
        <f>COUNTIF(C2:C152,"冰原信使")</f>
        <v>7</v>
      </c>
    </row>
    <row r="153" spans="1:6" x14ac:dyDescent="0.55000000000000004">
      <c r="A153" s="8" t="s">
        <v>283</v>
      </c>
      <c r="B153" s="1" t="s">
        <v>185</v>
      </c>
      <c r="C153" s="1" t="s">
        <v>396</v>
      </c>
      <c r="D153" s="2">
        <v>44554</v>
      </c>
      <c r="E153" s="1">
        <f>COUNTIF(A2:A153,"豆苗")</f>
        <v>1</v>
      </c>
      <c r="F153" s="1">
        <f>COUNTIF(C2:C153,"冰原信使")</f>
        <v>8</v>
      </c>
    </row>
    <row r="154" spans="1:6" x14ac:dyDescent="0.55000000000000004">
      <c r="A154" s="8" t="s">
        <v>282</v>
      </c>
      <c r="B154" s="1" t="s">
        <v>186</v>
      </c>
      <c r="C154" s="1" t="s">
        <v>236</v>
      </c>
      <c r="D154" s="2">
        <v>44571</v>
      </c>
      <c r="E154" s="1">
        <f>COUNTIF(A2:A154,"*炎熔*")</f>
        <v>1</v>
      </c>
      <c r="F154" s="1">
        <f>COUNTIF(C2:C154,"*0011*")</f>
        <v>12</v>
      </c>
    </row>
    <row r="155" spans="1:6" x14ac:dyDescent="0.55000000000000004">
      <c r="A155" s="8" t="s">
        <v>281</v>
      </c>
      <c r="B155" s="1" t="s">
        <v>187</v>
      </c>
      <c r="C155" s="1" t="s">
        <v>14</v>
      </c>
      <c r="D155" s="2">
        <v>44586</v>
      </c>
      <c r="E155" s="1">
        <f>COUNTIF(A2:A155,"夕")</f>
        <v>1</v>
      </c>
      <c r="F155" s="1">
        <f>COUNTIF(C2:C155,"*0011*")</f>
        <v>13</v>
      </c>
    </row>
    <row r="156" spans="1:6" x14ac:dyDescent="0.55000000000000004">
      <c r="A156" s="8" t="s">
        <v>280</v>
      </c>
      <c r="B156" s="1" t="s">
        <v>188</v>
      </c>
      <c r="C156" s="1" t="s">
        <v>14</v>
      </c>
      <c r="D156" s="2">
        <v>44586</v>
      </c>
      <c r="E156" s="1">
        <f>COUNTIF(A2:A156,"乌有")</f>
        <v>1</v>
      </c>
      <c r="F156" s="1">
        <f>COUNTIF(C2:C156,"*0011*")</f>
        <v>14</v>
      </c>
    </row>
    <row r="157" spans="1:6" x14ac:dyDescent="0.55000000000000004">
      <c r="A157" s="8" t="s">
        <v>279</v>
      </c>
      <c r="B157" s="1" t="s">
        <v>189</v>
      </c>
      <c r="C157" s="1" t="s">
        <v>14</v>
      </c>
      <c r="D157" s="2">
        <v>44586</v>
      </c>
      <c r="E157" s="1">
        <f>COUNTIF(A2:A157,"食铁兽")</f>
        <v>2</v>
      </c>
      <c r="F157" s="1">
        <f>COUNTIF(C2:C157,"*0011*")</f>
        <v>15</v>
      </c>
    </row>
    <row r="158" spans="1:6" x14ac:dyDescent="0.55000000000000004">
      <c r="A158" s="8" t="s">
        <v>190</v>
      </c>
      <c r="B158" s="1" t="s">
        <v>191</v>
      </c>
      <c r="C158" s="1" t="s">
        <v>236</v>
      </c>
      <c r="D158" s="2">
        <v>44586</v>
      </c>
      <c r="E158" s="1">
        <f>COUNTIF(A2:A158,"深靛")</f>
        <v>1</v>
      </c>
      <c r="F158" s="1">
        <f>COUNTIF(C2:C158,"*0011*")</f>
        <v>16</v>
      </c>
    </row>
    <row r="159" spans="1:6" x14ac:dyDescent="0.55000000000000004">
      <c r="A159" s="8" t="s">
        <v>278</v>
      </c>
      <c r="B159" s="1" t="s">
        <v>192</v>
      </c>
      <c r="C159" s="1" t="s">
        <v>398</v>
      </c>
      <c r="D159" s="2">
        <v>44607</v>
      </c>
      <c r="E159" s="1">
        <f>COUNTIF(A2:A159,"刻俄柏")</f>
        <v>2</v>
      </c>
      <c r="F159" s="1">
        <f>COUNTIF(C2:C159,"*0011*")</f>
        <v>17</v>
      </c>
    </row>
    <row r="160" spans="1:6" x14ac:dyDescent="0.55000000000000004">
      <c r="A160" s="8" t="s">
        <v>277</v>
      </c>
      <c r="B160" s="1" t="s">
        <v>193</v>
      </c>
      <c r="C160" s="1" t="s">
        <v>69</v>
      </c>
      <c r="D160" s="2">
        <v>44607</v>
      </c>
      <c r="E160" s="1">
        <f>COUNTIF(A2:A160,"槐琥")</f>
        <v>1</v>
      </c>
      <c r="F160" s="1">
        <f>COUNTIF(C2:C160,"*0011*")</f>
        <v>18</v>
      </c>
    </row>
    <row r="161" spans="1:6" x14ac:dyDescent="0.55000000000000004">
      <c r="A161" s="8" t="s">
        <v>194</v>
      </c>
      <c r="B161" s="1" t="s">
        <v>195</v>
      </c>
      <c r="C161" s="1" t="s">
        <v>398</v>
      </c>
      <c r="D161" s="2">
        <v>44607</v>
      </c>
      <c r="E161" s="1">
        <f>COUNTIF(A2:A161,"杰克")</f>
        <v>1</v>
      </c>
      <c r="F161" s="1">
        <f>COUNTIF(C2:C161,"*0011*")</f>
        <v>19</v>
      </c>
    </row>
    <row r="162" spans="1:6" x14ac:dyDescent="0.55000000000000004">
      <c r="A162" s="8" t="s">
        <v>276</v>
      </c>
      <c r="B162" s="1" t="s">
        <v>196</v>
      </c>
      <c r="C162" s="1" t="s">
        <v>398</v>
      </c>
      <c r="D162" s="2">
        <v>44616</v>
      </c>
      <c r="E162" s="1">
        <f>COUNTIF(A2:A162,"石棉")</f>
        <v>1</v>
      </c>
      <c r="F162" s="1">
        <f>COUNTIF(C2:C162,"*0011*")</f>
        <v>20</v>
      </c>
    </row>
    <row r="163" spans="1:6" x14ac:dyDescent="0.55000000000000004">
      <c r="A163" s="8" t="s">
        <v>197</v>
      </c>
      <c r="B163" s="1" t="s">
        <v>198</v>
      </c>
      <c r="C163" s="1" t="s">
        <v>60</v>
      </c>
      <c r="D163" s="2">
        <v>44635</v>
      </c>
      <c r="E163" s="1">
        <f>COUNTIF(A2:A163,"琴柳")</f>
        <v>1</v>
      </c>
      <c r="F163" s="1">
        <f>COUNTIF(C2:C163,"时代")</f>
        <v>26</v>
      </c>
    </row>
    <row r="164" spans="1:6" x14ac:dyDescent="0.55000000000000004">
      <c r="A164" s="8" t="s">
        <v>275</v>
      </c>
      <c r="B164" s="1" t="s">
        <v>199</v>
      </c>
      <c r="C164" s="1" t="s">
        <v>38</v>
      </c>
      <c r="D164" s="2">
        <v>44635</v>
      </c>
      <c r="E164" s="1">
        <f>COUNTIF(A2:A164,"桑葚")</f>
        <v>1</v>
      </c>
      <c r="F164" s="1">
        <f>COUNTIF(C2:C164,"时代")</f>
        <v>27</v>
      </c>
    </row>
    <row r="165" spans="1:6" x14ac:dyDescent="0.55000000000000004">
      <c r="A165" s="8" t="s">
        <v>274</v>
      </c>
      <c r="B165" s="1" t="s">
        <v>200</v>
      </c>
      <c r="C165" s="1" t="s">
        <v>38</v>
      </c>
      <c r="D165" s="2">
        <v>44635</v>
      </c>
      <c r="E165" s="1">
        <f>COUNTIF(A2:A165,"图耶")</f>
        <v>1</v>
      </c>
      <c r="F165" s="1">
        <f>COUNTIF(C2:C165,"时代")</f>
        <v>28</v>
      </c>
    </row>
    <row r="166" spans="1:6" x14ac:dyDescent="0.55000000000000004">
      <c r="A166" s="8" t="s">
        <v>273</v>
      </c>
      <c r="B166" s="1" t="s">
        <v>201</v>
      </c>
      <c r="C166" s="1" t="s">
        <v>391</v>
      </c>
      <c r="D166" s="2">
        <v>44649</v>
      </c>
      <c r="E166" s="1">
        <f>COUNTIF(A2:A166,"暴雨")</f>
        <v>1</v>
      </c>
      <c r="F166" s="1">
        <f>COUNTIF(C2:C166,"生命之地")</f>
        <v>13</v>
      </c>
    </row>
    <row r="167" spans="1:6" x14ac:dyDescent="0.55000000000000004">
      <c r="A167" s="4" t="s">
        <v>272</v>
      </c>
      <c r="B167" s="4" t="s">
        <v>202</v>
      </c>
      <c r="C167" s="1" t="s">
        <v>405</v>
      </c>
      <c r="D167" s="2">
        <v>44652</v>
      </c>
      <c r="E167" s="1">
        <f>COUNTIF(A2:A167,"断罪者")</f>
        <v>1</v>
      </c>
      <c r="F167" s="1">
        <f>COUNTIF(C2:C167,"成就之星")</f>
        <v>1</v>
      </c>
    </row>
    <row r="168" spans="1:6" x14ac:dyDescent="0.55000000000000004">
      <c r="A168" s="8" t="s">
        <v>271</v>
      </c>
      <c r="B168" s="1" t="s">
        <v>204</v>
      </c>
      <c r="C168" s="1" t="s">
        <v>390</v>
      </c>
      <c r="D168" s="2">
        <v>44652</v>
      </c>
      <c r="E168" s="1">
        <f>COUNTIF(A2:A168,"傀影")</f>
        <v>2</v>
      </c>
      <c r="F168" s="1">
        <f>COUNTIF(C2:C168,"忒斯特收藏")</f>
        <v>9</v>
      </c>
    </row>
    <row r="169" spans="1:6" x14ac:dyDescent="0.55000000000000004">
      <c r="A169" s="8" t="s">
        <v>270</v>
      </c>
      <c r="B169" s="1" t="s">
        <v>205</v>
      </c>
      <c r="C169" s="1" t="s">
        <v>402</v>
      </c>
      <c r="D169" s="2">
        <v>44665</v>
      </c>
      <c r="E169" s="1">
        <f>COUNTIF(A2:A169,"推进之王")</f>
        <v>2</v>
      </c>
      <c r="F169" s="1">
        <f>COUNTIF(C2:C169,"雷神推进者")</f>
        <v>3</v>
      </c>
    </row>
    <row r="170" spans="1:6" x14ac:dyDescent="0.55000000000000004">
      <c r="A170" s="8" t="s">
        <v>269</v>
      </c>
      <c r="B170" s="1" t="s">
        <v>206</v>
      </c>
      <c r="C170" s="1" t="s">
        <v>130</v>
      </c>
      <c r="D170" s="2">
        <v>44665</v>
      </c>
      <c r="E170" s="1">
        <f>COUNTIF(A2:A170,"因陀罗")</f>
        <v>1</v>
      </c>
      <c r="F170" s="1">
        <f>COUNTIF(C2:C170,"雷神推进者")</f>
        <v>4</v>
      </c>
    </row>
    <row r="171" spans="1:6" x14ac:dyDescent="0.55000000000000004">
      <c r="A171" s="8" t="s">
        <v>268</v>
      </c>
      <c r="B171" s="1" t="s">
        <v>207</v>
      </c>
      <c r="C171" s="1" t="s">
        <v>402</v>
      </c>
      <c r="D171" s="2">
        <v>44665</v>
      </c>
      <c r="E171" s="1">
        <f>COUNTIF(A2:A171,"清道夫")</f>
        <v>1</v>
      </c>
      <c r="F171" s="1">
        <f>COUNTIF(C2:C171,"雷神推进者")</f>
        <v>5</v>
      </c>
    </row>
    <row r="172" spans="1:6" x14ac:dyDescent="0.55000000000000004">
      <c r="A172" s="8" t="s">
        <v>267</v>
      </c>
      <c r="B172" s="1" t="s">
        <v>210</v>
      </c>
      <c r="C172" s="1" t="s">
        <v>403</v>
      </c>
      <c r="D172" s="2">
        <v>44682</v>
      </c>
      <c r="E172" s="1">
        <f>COUNTIF(A2:A172,"泥岩")</f>
        <v>2</v>
      </c>
      <c r="F172" s="1">
        <f>COUNTIF(C2:C172,"音律联觉")</f>
        <v>4</v>
      </c>
    </row>
    <row r="173" spans="1:6" x14ac:dyDescent="0.55000000000000004">
      <c r="A173" s="8" t="s">
        <v>266</v>
      </c>
      <c r="B173" s="1" t="s">
        <v>211</v>
      </c>
      <c r="C173" s="1" t="s">
        <v>143</v>
      </c>
      <c r="D173" s="2">
        <v>44682</v>
      </c>
      <c r="E173" s="1">
        <f>COUNTIF(A2:A173,"龙舌兰")</f>
        <v>1</v>
      </c>
      <c r="F173" s="1">
        <f>COUNTIF(C2:C173,"音律联觉")</f>
        <v>5</v>
      </c>
    </row>
    <row r="174" spans="1:6" x14ac:dyDescent="0.55000000000000004">
      <c r="A174" s="8" t="s">
        <v>265</v>
      </c>
      <c r="B174" s="1" t="s">
        <v>212</v>
      </c>
      <c r="C174" s="1" t="s">
        <v>403</v>
      </c>
      <c r="D174" s="2">
        <v>44682</v>
      </c>
      <c r="E174" s="1">
        <f>COUNTIF(A2:A174,"*苇草*")</f>
        <v>1</v>
      </c>
      <c r="F174" s="1">
        <f>COUNTIF(C2:C174,"音律联觉")</f>
        <v>6</v>
      </c>
    </row>
    <row r="175" spans="1:6" x14ac:dyDescent="0.55000000000000004">
      <c r="A175" s="4" t="s">
        <v>264</v>
      </c>
      <c r="B175" s="1" t="s">
        <v>208</v>
      </c>
      <c r="C175" s="1" t="s">
        <v>133</v>
      </c>
      <c r="D175" s="2">
        <v>44685</v>
      </c>
      <c r="E175" s="1">
        <f>COUNTIF(A2:A175,"Lancet-2")</f>
        <v>1</v>
      </c>
      <c r="F175" s="1">
        <f>COUNTIF(C2:C175,"斗争血脉")</f>
        <v>15</v>
      </c>
    </row>
    <row r="176" spans="1:6" x14ac:dyDescent="0.55000000000000004">
      <c r="A176" s="8" t="s">
        <v>263</v>
      </c>
      <c r="B176" s="1" t="s">
        <v>209</v>
      </c>
      <c r="C176" s="1" t="s">
        <v>72</v>
      </c>
      <c r="D176" s="2">
        <v>44685</v>
      </c>
      <c r="E176" s="1">
        <f>COUNTIF(A2:A176,"霜叶")</f>
        <v>1</v>
      </c>
      <c r="F176" s="1">
        <f>COUNTIF(C2:C176,"斗争血脉")</f>
        <v>16</v>
      </c>
    </row>
    <row r="177" spans="1:6" x14ac:dyDescent="0.55000000000000004">
      <c r="A177" s="8" t="s">
        <v>262</v>
      </c>
      <c r="B177" s="1" t="s">
        <v>213</v>
      </c>
      <c r="C177" s="1" t="s">
        <v>72</v>
      </c>
      <c r="D177" s="2">
        <v>44685</v>
      </c>
      <c r="E177" s="1">
        <f>COUNTIF(A2:A177,"*斯卡蒂*")</f>
        <v>2</v>
      </c>
      <c r="F177" s="1">
        <f>COUNTIF(C2:C177,"斗争血脉")</f>
        <v>17</v>
      </c>
    </row>
    <row r="178" spans="1:6" x14ac:dyDescent="0.55000000000000004">
      <c r="A178" s="8" t="s">
        <v>261</v>
      </c>
      <c r="B178" s="1" t="s">
        <v>214</v>
      </c>
      <c r="C178" s="1" t="s">
        <v>72</v>
      </c>
      <c r="D178" s="2">
        <v>44685</v>
      </c>
      <c r="E178" s="1">
        <f>COUNTIF(A2:A178,"灵知")</f>
        <v>1</v>
      </c>
      <c r="F178" s="1">
        <f>COUNTIF(C2:C178,"斗争血脉")</f>
        <v>18</v>
      </c>
    </row>
    <row r="179" spans="1:6" x14ac:dyDescent="0.55000000000000004">
      <c r="A179" s="8" t="s">
        <v>260</v>
      </c>
      <c r="B179" s="1" t="s">
        <v>215</v>
      </c>
      <c r="C179" s="1" t="s">
        <v>72</v>
      </c>
      <c r="D179" s="2">
        <v>44685</v>
      </c>
      <c r="E179" s="1">
        <f>COUNTIF(A2:A179,"极光")</f>
        <v>1</v>
      </c>
      <c r="F179" s="1">
        <f>COUNTIF(C2:C179,"斗争血脉")</f>
        <v>19</v>
      </c>
    </row>
    <row r="180" spans="1:6" x14ac:dyDescent="0.55000000000000004">
      <c r="A180" s="8" t="s">
        <v>259</v>
      </c>
      <c r="B180" s="1" t="s">
        <v>216</v>
      </c>
      <c r="C180" s="1" t="s">
        <v>133</v>
      </c>
      <c r="D180" s="2">
        <v>44711</v>
      </c>
      <c r="E180" s="1">
        <f>COUNTIF(A2:A180,"歌蕾蒂娅")</f>
        <v>1</v>
      </c>
      <c r="F180" s="1">
        <f>COUNTIF(C2:C180,"斗争血脉")</f>
        <v>20</v>
      </c>
    </row>
    <row r="181" spans="1:6" x14ac:dyDescent="0.55000000000000004">
      <c r="A181" s="8" t="s">
        <v>258</v>
      </c>
      <c r="B181" s="1" t="s">
        <v>217</v>
      </c>
      <c r="C181" s="1" t="s">
        <v>405</v>
      </c>
      <c r="D181" s="2">
        <v>44721</v>
      </c>
      <c r="E181" s="1">
        <f>COUNTIF(A2:A181,"焰尾")</f>
        <v>1</v>
      </c>
      <c r="F181" s="1">
        <f>COUNTIF(C2:C181,"成就之星")</f>
        <v>2</v>
      </c>
    </row>
    <row r="182" spans="1:6" x14ac:dyDescent="0.55000000000000004">
      <c r="A182" s="8" t="s">
        <v>257</v>
      </c>
      <c r="B182" s="1" t="s">
        <v>218</v>
      </c>
      <c r="C182" s="1" t="s">
        <v>203</v>
      </c>
      <c r="D182" s="2">
        <v>44721</v>
      </c>
      <c r="E182" s="1">
        <f>COUNTIF(A2:A182,"奥斯塔")</f>
        <v>1</v>
      </c>
      <c r="F182" s="1">
        <f>COUNTIF(C2:C182,"成就之星")</f>
        <v>3</v>
      </c>
    </row>
    <row r="183" spans="1:6" x14ac:dyDescent="0.55000000000000004">
      <c r="A183" s="8" t="s">
        <v>256</v>
      </c>
      <c r="B183" s="1" t="s">
        <v>219</v>
      </c>
      <c r="C183" s="1" t="s">
        <v>405</v>
      </c>
      <c r="D183" s="2">
        <v>44721</v>
      </c>
      <c r="E183" s="1">
        <f>COUNTIF(A2:A183,"绮良")</f>
        <v>1</v>
      </c>
      <c r="F183" s="1">
        <f>COUNTIF(C2:C183,"成就之星")</f>
        <v>4</v>
      </c>
    </row>
    <row r="184" spans="1:6" x14ac:dyDescent="0.55000000000000004">
      <c r="A184" s="4" t="s">
        <v>255</v>
      </c>
      <c r="B184" s="4" t="s">
        <v>220</v>
      </c>
      <c r="C184" s="1" t="s">
        <v>392</v>
      </c>
      <c r="D184" s="2">
        <v>44747</v>
      </c>
      <c r="E184" s="1">
        <f>COUNTIF(A2:A184,"夜半")</f>
        <v>1</v>
      </c>
      <c r="F184" s="1">
        <f>COUNTIF(C2:C184,"珊瑚海岸")</f>
        <v>28</v>
      </c>
    </row>
    <row r="185" spans="1:6" x14ac:dyDescent="0.55000000000000004">
      <c r="A185" s="4" t="s">
        <v>254</v>
      </c>
      <c r="B185" s="4" t="s">
        <v>221</v>
      </c>
      <c r="C185" s="1" t="s">
        <v>32</v>
      </c>
      <c r="D185" s="2">
        <v>44747</v>
      </c>
      <c r="E185" s="1">
        <f>COUNTIF(A2:A185,"卡涅利安")</f>
        <v>2</v>
      </c>
      <c r="F185" s="1">
        <f>COUNTIF(C2:C185,"珊瑚海岸")</f>
        <v>29</v>
      </c>
    </row>
    <row r="186" spans="1:6" x14ac:dyDescent="0.55000000000000004">
      <c r="A186" s="4" t="s">
        <v>253</v>
      </c>
      <c r="B186" s="4" t="s">
        <v>222</v>
      </c>
      <c r="C186" s="1" t="s">
        <v>32</v>
      </c>
      <c r="D186" s="2">
        <v>44747</v>
      </c>
      <c r="E186" s="1">
        <f>COUNTIF(A2:A186,"炎客")</f>
        <v>1</v>
      </c>
      <c r="F186" s="1">
        <f>COUNTIF(C2:C186,"珊瑚海岸")</f>
        <v>30</v>
      </c>
    </row>
    <row r="187" spans="1:6" x14ac:dyDescent="0.55000000000000004">
      <c r="A187" s="8" t="s">
        <v>252</v>
      </c>
      <c r="B187" s="1" t="s">
        <v>223</v>
      </c>
      <c r="C187" s="1" t="s">
        <v>390</v>
      </c>
      <c r="D187" s="2">
        <v>44761</v>
      </c>
      <c r="E187" s="1">
        <f>COUNTIF(A2:A187,"安德切尔")</f>
        <v>1</v>
      </c>
      <c r="F187" s="1">
        <f>COUNTIF(C2:C187,"忒斯特收藏")</f>
        <v>10</v>
      </c>
    </row>
    <row r="188" spans="1:6" x14ac:dyDescent="0.55000000000000004">
      <c r="A188" s="4" t="s">
        <v>113</v>
      </c>
      <c r="B188" s="4" t="s">
        <v>385</v>
      </c>
      <c r="C188" s="1" t="s">
        <v>392</v>
      </c>
      <c r="D188" s="2">
        <v>44784</v>
      </c>
      <c r="E188" s="1">
        <f>COUNTIF(A2:A188,"极境")</f>
        <v>2</v>
      </c>
      <c r="F188" s="1">
        <f>COUNTIF(C2:C188,"珊瑚海岸")</f>
        <v>31</v>
      </c>
    </row>
    <row r="189" spans="1:6" x14ac:dyDescent="0.55000000000000004">
      <c r="A189" s="4" t="s">
        <v>251</v>
      </c>
      <c r="B189" s="4" t="s">
        <v>224</v>
      </c>
      <c r="C189" s="1" t="s">
        <v>32</v>
      </c>
      <c r="D189" s="2">
        <v>44784</v>
      </c>
      <c r="E189" s="1">
        <f>COUNTIF(A2:A189,"羽毛笔")</f>
        <v>1</v>
      </c>
      <c r="F189" s="1">
        <f>COUNTIF(C2:C189,"珊瑚海岸")</f>
        <v>32</v>
      </c>
    </row>
    <row r="190" spans="1:6" x14ac:dyDescent="0.55000000000000004">
      <c r="A190" s="4" t="s">
        <v>250</v>
      </c>
      <c r="B190" s="4" t="s">
        <v>225</v>
      </c>
      <c r="C190" s="1" t="s">
        <v>32</v>
      </c>
      <c r="D190" s="2">
        <v>44784</v>
      </c>
      <c r="E190" s="1">
        <f>COUNTIF(A2:A190,"史尔特尔")</f>
        <v>2</v>
      </c>
      <c r="F190" s="1">
        <f>COUNTIF(C2:C190,"珊瑚海岸")</f>
        <v>33</v>
      </c>
    </row>
    <row r="191" spans="1:6" x14ac:dyDescent="0.55000000000000004">
      <c r="A191" s="4" t="s">
        <v>249</v>
      </c>
      <c r="B191" s="4" t="s">
        <v>226</v>
      </c>
      <c r="C191" s="1" t="s">
        <v>392</v>
      </c>
      <c r="D191" s="2">
        <v>44791</v>
      </c>
      <c r="E191" s="1">
        <f>COUNTIF(A2:A191,"罗比菈塔")</f>
        <v>1</v>
      </c>
      <c r="F191" s="1">
        <f>COUNTIF(C2:C191,"珊瑚海岸")</f>
        <v>34</v>
      </c>
    </row>
    <row r="192" spans="1:6" x14ac:dyDescent="0.55000000000000004">
      <c r="A192" s="8" t="s">
        <v>248</v>
      </c>
      <c r="B192" s="1" t="s">
        <v>227</v>
      </c>
      <c r="C192" s="1" t="s">
        <v>397</v>
      </c>
      <c r="D192" s="2">
        <v>44798</v>
      </c>
      <c r="E192" s="1">
        <f>COUNTIF(A2:A192,"布洛卡")</f>
        <v>1</v>
      </c>
      <c r="F192" s="1">
        <f>COUNTIF(C2:C192,"玛尔特")</f>
        <v>4</v>
      </c>
    </row>
    <row r="193" spans="1:6" x14ac:dyDescent="0.55000000000000004">
      <c r="A193" s="8" t="s">
        <v>247</v>
      </c>
      <c r="B193" s="1" t="s">
        <v>228</v>
      </c>
      <c r="C193" s="1" t="s">
        <v>60</v>
      </c>
      <c r="D193" s="2">
        <v>44812</v>
      </c>
      <c r="E193" s="1">
        <f>COUNTIF(A2:A193," 宴")</f>
        <v>1</v>
      </c>
      <c r="F193" s="1">
        <f>COUNTIF(C2:C193,"时代")</f>
        <v>29</v>
      </c>
    </row>
    <row r="194" spans="1:6" x14ac:dyDescent="0.55000000000000004">
      <c r="A194" s="8" t="s">
        <v>246</v>
      </c>
      <c r="B194" s="1" t="s">
        <v>229</v>
      </c>
      <c r="C194" s="1" t="s">
        <v>38</v>
      </c>
      <c r="D194" s="2">
        <v>44812</v>
      </c>
      <c r="E194" s="1">
        <f>COUNTIF(A2:A194,"山")</f>
        <v>2</v>
      </c>
      <c r="F194" s="1">
        <f>COUNTIF(C2:C194,"时代")</f>
        <v>30</v>
      </c>
    </row>
    <row r="195" spans="1:6" x14ac:dyDescent="0.55000000000000004">
      <c r="A195" s="8" t="s">
        <v>245</v>
      </c>
      <c r="B195" s="1" t="s">
        <v>230</v>
      </c>
      <c r="C195" s="1" t="s">
        <v>60</v>
      </c>
      <c r="D195" s="2">
        <v>44812</v>
      </c>
      <c r="E195" s="1">
        <f>COUNTIF(A2:A195,"赤冬")</f>
        <v>1</v>
      </c>
      <c r="F195" s="1">
        <f>COUNTIF(C2:C195,"时代")</f>
        <v>31</v>
      </c>
    </row>
    <row r="196" spans="1:6" x14ac:dyDescent="0.55000000000000004">
      <c r="A196" s="8" t="s">
        <v>244</v>
      </c>
      <c r="B196" s="1" t="s">
        <v>386</v>
      </c>
      <c r="C196" s="1" t="s">
        <v>395</v>
      </c>
      <c r="D196" s="2">
        <v>44819</v>
      </c>
      <c r="E196" s="1">
        <f>COUNTIF(A2:A196,"铃兰")</f>
        <v>2</v>
      </c>
      <c r="F196" s="1">
        <f>COUNTIF(C2:C196,"合作款")</f>
        <v>10</v>
      </c>
    </row>
    <row r="197" spans="1:6" x14ac:dyDescent="0.55000000000000004">
      <c r="A197" s="8" t="s">
        <v>243</v>
      </c>
      <c r="B197" s="1" t="s">
        <v>231</v>
      </c>
      <c r="C197" s="1" t="s">
        <v>395</v>
      </c>
      <c r="D197" s="2">
        <v>44819</v>
      </c>
      <c r="E197" s="1">
        <f>COUNTIF(A2:A197,"洛洛")</f>
        <v>1</v>
      </c>
      <c r="F197" s="1">
        <f>COUNTIF(C2:C197,"合作款")</f>
        <v>11</v>
      </c>
    </row>
    <row r="198" spans="1:6" x14ac:dyDescent="0.55000000000000004">
      <c r="A198" s="11" t="s">
        <v>242</v>
      </c>
      <c r="B198" s="12" t="s">
        <v>232</v>
      </c>
      <c r="C198" s="12" t="s">
        <v>60</v>
      </c>
      <c r="D198" s="13">
        <v>44826</v>
      </c>
      <c r="E198" s="12">
        <f>COUNTIF(A2:A198,"野鬃")</f>
        <v>1</v>
      </c>
      <c r="F198" s="12">
        <f>COUNTIF(C2:C198,"时代")</f>
        <v>32</v>
      </c>
    </row>
    <row r="199" spans="1:6" x14ac:dyDescent="0.55000000000000004">
      <c r="A199" s="1" t="s">
        <v>387</v>
      </c>
      <c r="B199" s="1" t="s">
        <v>388</v>
      </c>
      <c r="C199" s="9" t="s">
        <v>390</v>
      </c>
      <c r="D199" s="2">
        <v>44835</v>
      </c>
      <c r="E199" s="1">
        <f>COUNTIF(A2:A199,"野鬃")</f>
        <v>1</v>
      </c>
      <c r="F199" s="1">
        <f>COUNTIF(C2:C199,"忒斯特收藏")</f>
        <v>11</v>
      </c>
    </row>
    <row r="200" spans="1:6" x14ac:dyDescent="0.55000000000000004">
      <c r="A200" s="9" t="s">
        <v>409</v>
      </c>
      <c r="B200" s="1" t="s">
        <v>406</v>
      </c>
      <c r="C200" s="9" t="s">
        <v>394</v>
      </c>
      <c r="D200" s="10">
        <v>44845</v>
      </c>
      <c r="E200" s="1">
        <f>COUNTIF(A2:A200,"老鲤")</f>
        <v>1</v>
      </c>
      <c r="F200" s="1">
        <f>COUNTIF(C2:C200,"巫异盛宴")</f>
        <v>9</v>
      </c>
    </row>
    <row r="201" spans="1:6" x14ac:dyDescent="0.55000000000000004">
      <c r="A201" s="9" t="s">
        <v>410</v>
      </c>
      <c r="B201" s="9" t="s">
        <v>407</v>
      </c>
      <c r="C201" s="9" t="s">
        <v>39</v>
      </c>
      <c r="D201" s="10">
        <v>44845</v>
      </c>
      <c r="E201" s="1">
        <f>COUNTIF(A2:A201,"爱丽丝")</f>
        <v>1</v>
      </c>
      <c r="F201" s="1">
        <f>COUNTIF(C2:C201,"巫异盛宴")</f>
        <v>10</v>
      </c>
    </row>
    <row r="202" spans="1:6" x14ac:dyDescent="0.55000000000000004">
      <c r="A202" s="9" t="s">
        <v>411</v>
      </c>
      <c r="B202" s="9" t="s">
        <v>408</v>
      </c>
      <c r="C202" s="9" t="s">
        <v>39</v>
      </c>
      <c r="D202" s="10">
        <v>44845</v>
      </c>
      <c r="E202" s="1">
        <f>COUNTIF(A2:A202,"风丸")</f>
        <v>1</v>
      </c>
      <c r="F202" s="1">
        <f>COUNTIF(C2:C202,"巫异盛宴")</f>
        <v>11</v>
      </c>
    </row>
    <row r="203" spans="1:6" x14ac:dyDescent="0.55000000000000004">
      <c r="A203" s="9" t="s">
        <v>412</v>
      </c>
      <c r="B203" s="9" t="s">
        <v>413</v>
      </c>
      <c r="C203" s="9" t="s">
        <v>60</v>
      </c>
      <c r="D203" s="10">
        <v>44866</v>
      </c>
      <c r="E203" s="1">
        <f>COUNTIF(A2:A203,"异客")</f>
        <v>1</v>
      </c>
      <c r="F203" s="1">
        <f>COUNTIF(C2:C203,"时代")</f>
        <v>33</v>
      </c>
    </row>
    <row r="204" spans="1:6" x14ac:dyDescent="0.55000000000000004">
      <c r="A204" s="9" t="s">
        <v>414</v>
      </c>
      <c r="B204" s="9" t="s">
        <v>415</v>
      </c>
      <c r="C204" s="9" t="s">
        <v>60</v>
      </c>
      <c r="D204" s="10">
        <v>44866</v>
      </c>
      <c r="E204" s="1">
        <f>COUNTIF(A2:A204,"*临光*")</f>
        <v>2</v>
      </c>
      <c r="F204" s="1">
        <f>COUNTIF(C2:C204,"时代")</f>
        <v>34</v>
      </c>
    </row>
    <row r="205" spans="1:6" x14ac:dyDescent="0.55000000000000004">
      <c r="A205" s="9" t="s">
        <v>416</v>
      </c>
      <c r="B205" s="9" t="s">
        <v>417</v>
      </c>
      <c r="C205" s="9" t="s">
        <v>60</v>
      </c>
      <c r="D205" s="10">
        <v>44866</v>
      </c>
      <c r="E205" s="1">
        <f>COUNTIF(A2:A205,"迷迭香")</f>
        <v>1</v>
      </c>
      <c r="F205" s="1">
        <f>COUNTIF(C2:C205,"时代")</f>
        <v>35</v>
      </c>
    </row>
    <row r="206" spans="1:6" x14ac:dyDescent="0.55000000000000004">
      <c r="A206" s="9" t="s">
        <v>418</v>
      </c>
      <c r="B206" s="9" t="s">
        <v>419</v>
      </c>
      <c r="C206" s="9" t="s">
        <v>60</v>
      </c>
      <c r="D206" s="10">
        <v>44866</v>
      </c>
      <c r="E206" s="1">
        <f>COUNTIF(A2:A206,"蜜莓")</f>
        <v>1</v>
      </c>
      <c r="F206" s="1">
        <f>COUNTIF(C2:C206,"时代")</f>
        <v>36</v>
      </c>
    </row>
    <row r="207" spans="1:6" x14ac:dyDescent="0.55000000000000004">
      <c r="A207" s="9" t="s">
        <v>376</v>
      </c>
      <c r="B207" s="9" t="s">
        <v>420</v>
      </c>
      <c r="C207" s="9" t="s">
        <v>60</v>
      </c>
      <c r="D207" s="10">
        <v>44866</v>
      </c>
      <c r="E207" s="1">
        <f>COUNTIF(A2:A207,"空")</f>
        <v>2</v>
      </c>
      <c r="F207" s="1">
        <f>COUNTIF(C2:C207,"时代")</f>
        <v>37</v>
      </c>
    </row>
    <row r="208" spans="1:6" x14ac:dyDescent="0.55000000000000004">
      <c r="A208" s="9" t="s">
        <v>421</v>
      </c>
      <c r="B208" s="9" t="s">
        <v>422</v>
      </c>
      <c r="C208" s="9" t="s">
        <v>60</v>
      </c>
      <c r="D208" s="10">
        <v>44866</v>
      </c>
      <c r="E208" s="1">
        <f>COUNTIF(A2:A208,"夏栎")</f>
        <v>1</v>
      </c>
      <c r="F208" s="1">
        <f>COUNTIF(C2:C208,"时代")</f>
        <v>38</v>
      </c>
    </row>
    <row r="209" spans="1:6" x14ac:dyDescent="0.55000000000000004">
      <c r="A209" s="9" t="s">
        <v>423</v>
      </c>
      <c r="B209" s="9" t="s">
        <v>424</v>
      </c>
      <c r="C209" s="9" t="s">
        <v>398</v>
      </c>
      <c r="D209" s="10">
        <v>44880</v>
      </c>
      <c r="E209" s="1">
        <f>COUNTIF(A2:A209,"酸糖")</f>
        <v>1</v>
      </c>
      <c r="F209" s="1">
        <f>COUNTIF(C2:C209,"*0011*")</f>
        <v>21</v>
      </c>
    </row>
    <row r="210" spans="1:6" x14ac:dyDescent="0.55000000000000004">
      <c r="A210" s="9" t="s">
        <v>425</v>
      </c>
      <c r="B210" s="9" t="s">
        <v>426</v>
      </c>
      <c r="C210" s="9" t="s">
        <v>390</v>
      </c>
      <c r="D210" s="10">
        <v>44896</v>
      </c>
      <c r="E210" s="1">
        <f>COUNTIF(A2:A210,"水月")</f>
        <v>1</v>
      </c>
      <c r="F210" s="1">
        <f>COUNTIF(C2:C210,"忒斯特收藏")</f>
        <v>12</v>
      </c>
    </row>
    <row r="211" spans="1:6" x14ac:dyDescent="0.55000000000000004">
      <c r="A211" s="9" t="s">
        <v>427</v>
      </c>
      <c r="B211" s="9" t="s">
        <v>428</v>
      </c>
      <c r="C211" s="9" t="s">
        <v>60</v>
      </c>
      <c r="D211" s="10">
        <v>44896</v>
      </c>
      <c r="E211" s="1">
        <f>COUNTIF(A2:A211,"耶拉")</f>
        <v>1</v>
      </c>
      <c r="F211" s="1">
        <f>COUNTIF(C2:C211,"时代")</f>
        <v>39</v>
      </c>
    </row>
    <row r="212" spans="1:6" x14ac:dyDescent="0.55000000000000004">
      <c r="A212" s="1" t="s">
        <v>429</v>
      </c>
      <c r="B212" s="1" t="s">
        <v>430</v>
      </c>
      <c r="C212" s="1" t="s">
        <v>431</v>
      </c>
      <c r="D212" s="2">
        <v>44910</v>
      </c>
      <c r="E212" s="1">
        <f>COUNTIF(A2:A212,"澄闪")</f>
        <v>1</v>
      </c>
      <c r="F212" s="1">
        <f>COUNTIF(C2:C212,"冰原信使")</f>
        <v>9</v>
      </c>
    </row>
    <row r="213" spans="1:6" x14ac:dyDescent="0.55000000000000004">
      <c r="A213" s="1" t="s">
        <v>433</v>
      </c>
      <c r="B213" s="1" t="s">
        <v>432</v>
      </c>
      <c r="C213" s="1" t="s">
        <v>431</v>
      </c>
      <c r="D213" s="2">
        <v>44910</v>
      </c>
      <c r="E213" s="1">
        <f>COUNTIF(A2:A213,"埃拉托")</f>
        <v>1</v>
      </c>
      <c r="F213" s="1">
        <f>COUNTIF(C2:C213,"冰原信使")</f>
        <v>10</v>
      </c>
    </row>
    <row r="214" spans="1:6" x14ac:dyDescent="0.55000000000000004">
      <c r="A214" s="1" t="s">
        <v>435</v>
      </c>
      <c r="B214" s="1" t="s">
        <v>434</v>
      </c>
      <c r="C214" s="1" t="s">
        <v>431</v>
      </c>
      <c r="D214" s="2">
        <v>44910</v>
      </c>
      <c r="E214" s="1">
        <f>COUNTIF(A2:A214,"*格雷伊*")</f>
        <v>2</v>
      </c>
      <c r="F214" s="1">
        <f>COUNTIF(C2:C214,"冰原信使")</f>
        <v>11</v>
      </c>
    </row>
    <row r="215" spans="1:6" x14ac:dyDescent="0.55000000000000004">
      <c r="A215" s="1" t="s">
        <v>436</v>
      </c>
      <c r="B215" s="1" t="s">
        <v>437</v>
      </c>
      <c r="C215" s="1" t="s">
        <v>431</v>
      </c>
      <c r="D215" s="2">
        <v>44919</v>
      </c>
      <c r="E215" s="1">
        <f>COUNTIF(A2:A215,"布丁")</f>
        <v>1</v>
      </c>
      <c r="F215" s="1">
        <f>COUNTIF(C2:C215,"冰原信使")</f>
        <v>12</v>
      </c>
    </row>
    <row r="216" spans="1:6" x14ac:dyDescent="0.55000000000000004">
      <c r="A216" s="1" t="s">
        <v>438</v>
      </c>
      <c r="B216" s="1" t="s">
        <v>440</v>
      </c>
      <c r="C216" s="1" t="s">
        <v>439</v>
      </c>
      <c r="D216" s="2">
        <v>44927</v>
      </c>
      <c r="E216" s="1">
        <f>COUNTIF(A2:A216,"*克洛丝*")</f>
        <v>2</v>
      </c>
      <c r="F216" s="1">
        <f>COUNTIF(C2:C216,"*0011*")</f>
        <v>22</v>
      </c>
    </row>
    <row r="217" spans="1:6" x14ac:dyDescent="0.55000000000000004">
      <c r="A217" s="1" t="s">
        <v>446</v>
      </c>
      <c r="B217" s="1" t="s">
        <v>445</v>
      </c>
      <c r="C217" s="1" t="s">
        <v>439</v>
      </c>
      <c r="D217" s="2">
        <v>44936</v>
      </c>
      <c r="E217" s="1">
        <f>COUNTIF(A2:A217,"夜半")</f>
        <v>2</v>
      </c>
      <c r="F217" s="1">
        <f>COUNTIF(C2:C217,"*0011*")</f>
        <v>23</v>
      </c>
    </row>
    <row r="218" spans="1:6" x14ac:dyDescent="0.55000000000000004">
      <c r="A218" s="1" t="s">
        <v>442</v>
      </c>
      <c r="B218" s="1" t="s">
        <v>441</v>
      </c>
      <c r="C218" s="1" t="s">
        <v>439</v>
      </c>
      <c r="D218" s="2">
        <v>44943</v>
      </c>
      <c r="E218" s="1">
        <f>COUNTIF(A2:A218,"晓歌")</f>
        <v>1</v>
      </c>
      <c r="F218" s="1">
        <f>COUNTIF(C2:C218,"*0011*")</f>
        <v>24</v>
      </c>
    </row>
    <row r="219" spans="1:6" x14ac:dyDescent="0.55000000000000004">
      <c r="A219" s="1" t="s">
        <v>444</v>
      </c>
      <c r="B219" s="1" t="s">
        <v>443</v>
      </c>
      <c r="C219" s="1" t="s">
        <v>439</v>
      </c>
      <c r="D219" s="2">
        <v>44943</v>
      </c>
      <c r="E219" s="1">
        <f>COUNTIF(A2:A219,"令")</f>
        <v>1</v>
      </c>
      <c r="F219" s="1">
        <f>COUNTIF(C2:C219,"*0011*")</f>
        <v>25</v>
      </c>
    </row>
    <row r="220" spans="1:6" x14ac:dyDescent="0.55000000000000004">
      <c r="A220" s="1" t="s">
        <v>448</v>
      </c>
      <c r="B220" s="1" t="s">
        <v>447</v>
      </c>
      <c r="C220" s="1" t="s">
        <v>439</v>
      </c>
      <c r="D220" s="2">
        <v>44943</v>
      </c>
      <c r="E220" s="1">
        <f>COUNTIF(A2:A220,"桑葚")</f>
        <v>2</v>
      </c>
      <c r="F220" s="1">
        <f>COUNTIF(C2:C220,"*0011*")</f>
        <v>26</v>
      </c>
    </row>
    <row r="221" spans="1:6" x14ac:dyDescent="0.55000000000000004">
      <c r="A221" s="1" t="s">
        <v>450</v>
      </c>
      <c r="B221" s="1" t="s">
        <v>449</v>
      </c>
      <c r="C221" s="1" t="s">
        <v>451</v>
      </c>
      <c r="D221" s="2">
        <v>44955</v>
      </c>
      <c r="E221" s="1">
        <f>COUNTIF(A2:A221,"帕拉斯")</f>
        <v>2</v>
      </c>
      <c r="F221" s="1">
        <f>COUNTIF(C2:C221,"时代")</f>
        <v>40</v>
      </c>
    </row>
    <row r="222" spans="1:6" x14ac:dyDescent="0.55000000000000004">
      <c r="A222" s="1" t="s">
        <v>453</v>
      </c>
      <c r="B222" s="1" t="s">
        <v>452</v>
      </c>
      <c r="C222" s="1" t="s">
        <v>451</v>
      </c>
      <c r="D222" s="2">
        <v>44971</v>
      </c>
      <c r="E222" s="1">
        <f>COUNTIF(A2:A222,"狮蝎")</f>
        <v>2</v>
      </c>
      <c r="F222" s="1">
        <f>COUNTIF(C2:C222,"时代")</f>
        <v>41</v>
      </c>
    </row>
    <row r="223" spans="1:6" x14ac:dyDescent="0.55000000000000004">
      <c r="A223" s="1" t="s">
        <v>455</v>
      </c>
      <c r="B223" s="1" t="s">
        <v>454</v>
      </c>
      <c r="C223" s="1" t="s">
        <v>462</v>
      </c>
      <c r="D223" s="2">
        <v>44971</v>
      </c>
      <c r="E223" s="1">
        <f>COUNTIF(A2:A223,"深海色")</f>
        <v>1</v>
      </c>
      <c r="F223" s="1">
        <f>COUNTIF(C2:C223,"寒武纪系列")</f>
        <v>9</v>
      </c>
    </row>
    <row r="224" spans="1:6" x14ac:dyDescent="0.55000000000000004">
      <c r="A224" s="1" t="s">
        <v>457</v>
      </c>
      <c r="B224" s="1" t="s">
        <v>456</v>
      </c>
      <c r="C224" s="1" t="s">
        <v>451</v>
      </c>
      <c r="D224" s="2">
        <v>44971</v>
      </c>
      <c r="E224" s="1">
        <f>COUNTIF(A2:A224,"鸿雪")</f>
        <v>1</v>
      </c>
      <c r="F224" s="1">
        <f>COUNTIF(C2:C224,"时代")</f>
        <v>42</v>
      </c>
    </row>
    <row r="225" spans="1:6" x14ac:dyDescent="0.55000000000000004">
      <c r="A225" s="1" t="s">
        <v>459</v>
      </c>
      <c r="B225" s="1" t="s">
        <v>458</v>
      </c>
      <c r="C225" s="1" t="s">
        <v>451</v>
      </c>
      <c r="D225" s="2">
        <v>44971</v>
      </c>
      <c r="E225" s="1">
        <f>COUNTIF(A2:A225,"但书")</f>
        <v>1</v>
      </c>
      <c r="F225" s="1">
        <f>COUNTIF(C2:C225,"时代")</f>
        <v>43</v>
      </c>
    </row>
    <row r="226" spans="1:6" x14ac:dyDescent="0.55000000000000004">
      <c r="A226" s="14" t="s">
        <v>461</v>
      </c>
      <c r="B226" s="1" t="s">
        <v>460</v>
      </c>
      <c r="C226" s="1" t="s">
        <v>451</v>
      </c>
      <c r="D226" s="2">
        <v>44971</v>
      </c>
      <c r="E226" s="1">
        <f>COUNTIF(A2:A226,"慕斯")</f>
        <v>1</v>
      </c>
      <c r="F226" s="1">
        <f>COUNTIF(C2:C226,"时代")</f>
        <v>44</v>
      </c>
    </row>
    <row r="227" spans="1:6" x14ac:dyDescent="0.55000000000000004">
      <c r="A227" s="1" t="s">
        <v>464</v>
      </c>
      <c r="B227" s="1" t="s">
        <v>467</v>
      </c>
      <c r="C227" s="1" t="s">
        <v>451</v>
      </c>
      <c r="D227" s="2">
        <v>44992</v>
      </c>
      <c r="E227" s="1">
        <f>COUNTIF(A2:A227,"薄绿")</f>
        <v>1</v>
      </c>
      <c r="F227" s="1">
        <f>COUNTIF(C2:C227,"时代")</f>
        <v>45</v>
      </c>
    </row>
    <row r="228" spans="1:6" x14ac:dyDescent="0.55000000000000004">
      <c r="A228" s="14" t="s">
        <v>471</v>
      </c>
      <c r="B228" s="1" t="s">
        <v>470</v>
      </c>
      <c r="C228" s="1" t="s">
        <v>451</v>
      </c>
      <c r="D228" s="2">
        <v>44978</v>
      </c>
      <c r="E228" s="1">
        <f>COUNTIF(A2:A228,"见行者")</f>
        <v>1</v>
      </c>
      <c r="F228" s="1">
        <f>COUNTIF(C2:C228,"时代")</f>
        <v>46</v>
      </c>
    </row>
    <row r="229" spans="1:6" x14ac:dyDescent="0.55000000000000004">
      <c r="A229" s="1" t="s">
        <v>465</v>
      </c>
      <c r="B229" s="1" t="s">
        <v>466</v>
      </c>
      <c r="C229" s="1" t="s">
        <v>463</v>
      </c>
      <c r="D229" s="2">
        <v>44992</v>
      </c>
      <c r="E229" s="1">
        <f>COUNTIF(A2:A229,"能天使")</f>
        <v>3</v>
      </c>
      <c r="F229" s="1">
        <f>COUNTIF(C2:C229,"忒斯特收藏")</f>
        <v>13</v>
      </c>
    </row>
    <row r="230" spans="1:6" x14ac:dyDescent="0.55000000000000004">
      <c r="A230" s="1" t="s">
        <v>469</v>
      </c>
      <c r="B230" s="1" t="s">
        <v>468</v>
      </c>
      <c r="C230" s="1" t="s">
        <v>451</v>
      </c>
      <c r="D230" s="2">
        <v>44992</v>
      </c>
      <c r="E230" s="1">
        <f>COUNTIF(A2:A230,"稀音")</f>
        <v>1</v>
      </c>
      <c r="F230" s="1">
        <f>COUNTIF(C2:C230,"时代")</f>
        <v>47</v>
      </c>
    </row>
    <row r="231" spans="1:6" x14ac:dyDescent="0.55000000000000004">
      <c r="A231" s="1" t="s">
        <v>473</v>
      </c>
      <c r="B231" s="1" t="s">
        <v>472</v>
      </c>
      <c r="C231" s="1" t="s">
        <v>451</v>
      </c>
      <c r="D231" s="2">
        <v>44992</v>
      </c>
      <c r="E231" s="1">
        <f>COUNTIF(A2:A231,"铃兰")</f>
        <v>3</v>
      </c>
      <c r="F231" s="1">
        <f>COUNTIF(C2:C231,"时代")</f>
        <v>48</v>
      </c>
    </row>
    <row r="232" spans="1:6" x14ac:dyDescent="0.55000000000000004">
      <c r="A232" s="1" t="s">
        <v>475</v>
      </c>
      <c r="B232" s="1" t="s">
        <v>474</v>
      </c>
      <c r="C232" s="1" t="s">
        <v>476</v>
      </c>
      <c r="D232" s="2">
        <v>44992</v>
      </c>
      <c r="E232" s="1">
        <f>COUNTIF(A2:A232,"泰拉大陆调查团")</f>
        <v>1</v>
      </c>
      <c r="F232" s="1">
        <f>COUNTIF(C2:C232,"怪物猎人")</f>
        <v>1</v>
      </c>
    </row>
    <row r="233" spans="1:6" x14ac:dyDescent="0.55000000000000004">
      <c r="A233" s="1" t="s">
        <v>478</v>
      </c>
      <c r="B233" s="1" t="s">
        <v>477</v>
      </c>
      <c r="C233" s="1" t="s">
        <v>451</v>
      </c>
      <c r="D233" s="2">
        <v>45006</v>
      </c>
      <c r="E233" s="1">
        <f>COUNTIF(A2:A233,"星极")</f>
        <v>3</v>
      </c>
      <c r="F233" s="1">
        <f>COUNTIF(C2:C233,"时代")</f>
        <v>49</v>
      </c>
    </row>
    <row r="234" spans="1:6" x14ac:dyDescent="0.55000000000000004">
      <c r="A234" s="1" t="s">
        <v>480</v>
      </c>
      <c r="B234" s="1" t="s">
        <v>479</v>
      </c>
      <c r="C234" s="1" t="s">
        <v>451</v>
      </c>
      <c r="D234" s="2">
        <v>45022</v>
      </c>
      <c r="E234" s="1">
        <f>COUNTIF(A2:A234,"号角")</f>
        <v>1</v>
      </c>
      <c r="F234" s="1">
        <f>COUNTIF(C2:C234,"时代")</f>
        <v>50</v>
      </c>
    </row>
    <row r="235" spans="1:6" x14ac:dyDescent="0.55000000000000004">
      <c r="A235" s="1" t="s">
        <v>482</v>
      </c>
      <c r="B235" s="1" t="s">
        <v>481</v>
      </c>
      <c r="C235" s="1" t="s">
        <v>451</v>
      </c>
      <c r="D235" s="2">
        <v>45022</v>
      </c>
      <c r="E235" s="1">
        <f>COUNTIF(A2:A235,"海蒂")</f>
        <v>1</v>
      </c>
      <c r="F235" s="1">
        <f>COUNTIF(C2:C235,"时代")</f>
        <v>51</v>
      </c>
    </row>
    <row r="236" spans="1:6" x14ac:dyDescent="0.55000000000000004">
      <c r="A236" s="1" t="s">
        <v>484</v>
      </c>
      <c r="B236" s="1" t="s">
        <v>483</v>
      </c>
      <c r="C236" s="1" t="s">
        <v>451</v>
      </c>
      <c r="D236" s="2">
        <v>45022</v>
      </c>
      <c r="E236" s="1">
        <f>COUNTIF(A2:A236,"和弦")</f>
        <v>1</v>
      </c>
      <c r="F236" s="1">
        <f>COUNTIF(C2:C236,"时代")</f>
        <v>52</v>
      </c>
    </row>
    <row r="237" spans="1:6" x14ac:dyDescent="0.55000000000000004">
      <c r="A237" s="1" t="s">
        <v>486</v>
      </c>
      <c r="B237" s="1" t="s">
        <v>485</v>
      </c>
      <c r="C237" s="1" t="s">
        <v>487</v>
      </c>
      <c r="D237" s="2">
        <v>45036</v>
      </c>
      <c r="E237" s="1">
        <f>COUNTIF(A2:A237,"*斯卡蒂*")</f>
        <v>3</v>
      </c>
      <c r="F237" s="1">
        <f>COUNTIF(C2:C237,"玛尔特")</f>
        <v>5</v>
      </c>
    </row>
    <row r="238" spans="1:6" x14ac:dyDescent="0.55000000000000004">
      <c r="A238" s="1" t="s">
        <v>489</v>
      </c>
      <c r="B238" s="1" t="s">
        <v>488</v>
      </c>
      <c r="C238" s="1" t="s">
        <v>490</v>
      </c>
      <c r="D238" s="2">
        <v>45047</v>
      </c>
      <c r="E238" s="1">
        <f>COUNTIF(A2:A238,"凯尔希")</f>
        <v>1</v>
      </c>
      <c r="F238" s="1">
        <f>COUNTIF(C2:C238,"斗争血脉")</f>
        <v>21</v>
      </c>
    </row>
    <row r="239" spans="1:6" x14ac:dyDescent="0.55000000000000004">
      <c r="A239" s="1" t="s">
        <v>492</v>
      </c>
      <c r="B239" s="1" t="s">
        <v>491</v>
      </c>
      <c r="C239" s="1" t="s">
        <v>490</v>
      </c>
      <c r="D239" s="2">
        <v>45047</v>
      </c>
      <c r="E239" s="1">
        <f>COUNTIF(A2:A239,"*幽灵鲨*")</f>
        <v>2</v>
      </c>
      <c r="F239" s="1">
        <f>COUNTIF(C2:C239,"斗争血脉")</f>
        <v>22</v>
      </c>
    </row>
    <row r="240" spans="1:6" x14ac:dyDescent="0.55000000000000004">
      <c r="A240" s="1" t="s">
        <v>494</v>
      </c>
      <c r="B240" s="1" t="s">
        <v>493</v>
      </c>
      <c r="C240" s="1" t="s">
        <v>490</v>
      </c>
      <c r="D240" s="2">
        <v>45047</v>
      </c>
      <c r="E240" s="1">
        <f>COUNTIF(A2:A240,"陈")+COUNTIF(A2:A240,"假日威龙陈")</f>
        <v>2</v>
      </c>
      <c r="F240" s="1">
        <f>COUNTIF(C2:C240,"斗争血脉")</f>
        <v>23</v>
      </c>
    </row>
    <row r="241" spans="1:6" x14ac:dyDescent="0.55000000000000004">
      <c r="A241" s="1" t="s">
        <v>496</v>
      </c>
      <c r="B241" s="1" t="s">
        <v>495</v>
      </c>
      <c r="C241" s="1" t="s">
        <v>490</v>
      </c>
      <c r="D241" s="2">
        <v>45047</v>
      </c>
      <c r="E241" s="1">
        <f>COUNTIF(A2:A241,"黑键")</f>
        <v>1</v>
      </c>
      <c r="F241" s="1">
        <f>COUNTIF(C2:C241,"斗争血脉")</f>
        <v>24</v>
      </c>
    </row>
    <row r="242" spans="1:6" x14ac:dyDescent="0.55000000000000004">
      <c r="A242" s="1" t="s">
        <v>498</v>
      </c>
      <c r="B242" s="1" t="s">
        <v>497</v>
      </c>
      <c r="C242" s="1" t="s">
        <v>490</v>
      </c>
      <c r="D242" s="2">
        <v>45047</v>
      </c>
      <c r="E242" s="1">
        <f>COUNTIF(A2:A242,"梓兰")</f>
        <v>1</v>
      </c>
      <c r="F242" s="1">
        <f>COUNTIF(C2:C242,"斗争血脉")</f>
        <v>25</v>
      </c>
    </row>
    <row r="243" spans="1:6" x14ac:dyDescent="0.55000000000000004">
      <c r="A243" s="1" t="s">
        <v>500</v>
      </c>
      <c r="B243" s="1" t="s">
        <v>499</v>
      </c>
      <c r="C243" s="1" t="s">
        <v>503</v>
      </c>
      <c r="D243" s="2">
        <v>45047</v>
      </c>
      <c r="E243" s="1">
        <f>COUNTIF(A2:A243,"流明")</f>
        <v>1</v>
      </c>
      <c r="F243" s="1">
        <f>COUNTIF(C2:C243,"音律联觉")</f>
        <v>7</v>
      </c>
    </row>
    <row r="244" spans="1:6" x14ac:dyDescent="0.55000000000000004">
      <c r="A244" s="1" t="s">
        <v>502</v>
      </c>
      <c r="B244" s="1" t="s">
        <v>501</v>
      </c>
      <c r="C244" s="1" t="s">
        <v>503</v>
      </c>
      <c r="D244" s="2">
        <v>45047</v>
      </c>
      <c r="E244" s="1">
        <f>COUNTIF(A2:A244,"艾丽妮")</f>
        <v>1</v>
      </c>
      <c r="F244" s="1">
        <f>COUNTIF(C2:C244,"音律联觉")</f>
        <v>8</v>
      </c>
    </row>
    <row r="245" spans="1:6" x14ac:dyDescent="0.55000000000000004">
      <c r="A245" s="1" t="s">
        <v>505</v>
      </c>
      <c r="B245" s="1" t="s">
        <v>504</v>
      </c>
      <c r="C245" s="1" t="s">
        <v>503</v>
      </c>
      <c r="D245" s="2">
        <v>45047</v>
      </c>
      <c r="E245" s="1">
        <f>COUNTIF(A2:A245,"罗比菈塔")</f>
        <v>2</v>
      </c>
      <c r="F245" s="1">
        <f>COUNTIF(C2:C245,"音律联觉")</f>
        <v>9</v>
      </c>
    </row>
    <row r="246" spans="1:6" x14ac:dyDescent="0.55000000000000004">
      <c r="A246" s="1" t="s">
        <v>507</v>
      </c>
      <c r="B246" s="1" t="s">
        <v>506</v>
      </c>
      <c r="C246" s="1" t="s">
        <v>490</v>
      </c>
      <c r="D246" s="2">
        <v>45068</v>
      </c>
      <c r="E246" s="1">
        <f>COUNTIF(A2:A246,"正义骑士号")</f>
        <v>1</v>
      </c>
      <c r="F246" s="1">
        <f>COUNTIF(C2:C246,"斗争血脉")</f>
        <v>26</v>
      </c>
    </row>
    <row r="247" spans="1:6" x14ac:dyDescent="0.55000000000000004">
      <c r="A247" s="1" t="s">
        <v>508</v>
      </c>
      <c r="B247" s="1" t="s">
        <v>510</v>
      </c>
      <c r="C247" s="1" t="s">
        <v>509</v>
      </c>
      <c r="D247" s="2">
        <v>45085</v>
      </c>
      <c r="E247" s="1">
        <f>COUNTIF(A2:A247,"嵯峨")</f>
        <v>1</v>
      </c>
      <c r="F247" s="1">
        <f>COUNTIF(C2:C247,"忒斯特收藏")</f>
        <v>14</v>
      </c>
    </row>
    <row r="248" spans="1:6" x14ac:dyDescent="0.55000000000000004">
      <c r="A248" s="1" t="s">
        <v>512</v>
      </c>
      <c r="B248" s="1" t="s">
        <v>511</v>
      </c>
      <c r="C248" s="1" t="s">
        <v>509</v>
      </c>
      <c r="D248" s="2">
        <v>45085</v>
      </c>
      <c r="E248" s="1">
        <f>COUNTIF(A2:A248,"*炎熔*")</f>
        <v>2</v>
      </c>
      <c r="F248" s="1">
        <f>COUNTIF(C2:C248,"忒斯特收藏")</f>
        <v>15</v>
      </c>
    </row>
    <row r="249" spans="1:6" x14ac:dyDescent="0.55000000000000004">
      <c r="A249" s="1" t="s">
        <v>513</v>
      </c>
      <c r="B249" s="1" t="s">
        <v>514</v>
      </c>
      <c r="C249" s="1" t="s">
        <v>515</v>
      </c>
      <c r="D249" s="2">
        <v>45085</v>
      </c>
      <c r="E249" s="1">
        <f>COUNTIF(A2:A249,"远牙")</f>
        <v>1</v>
      </c>
      <c r="F249" s="1">
        <f>COUNTIF(C2:C249,"*0011*")</f>
        <v>27</v>
      </c>
    </row>
    <row r="250" spans="1:6" x14ac:dyDescent="0.55000000000000004">
      <c r="A250" s="1" t="s">
        <v>517</v>
      </c>
      <c r="B250" s="1" t="s">
        <v>516</v>
      </c>
      <c r="C250" s="1" t="s">
        <v>515</v>
      </c>
      <c r="D250" s="2">
        <v>45085</v>
      </c>
      <c r="E250" s="1">
        <f>COUNTIF(A2:A250,"暮落")</f>
        <v>1</v>
      </c>
      <c r="F250" s="1">
        <f>COUNTIF(C2:C250,"*0011*")</f>
        <v>28</v>
      </c>
    </row>
    <row r="251" spans="1:6" x14ac:dyDescent="0.55000000000000004">
      <c r="A251" s="1" t="s">
        <v>519</v>
      </c>
      <c r="B251" s="1" t="s">
        <v>518</v>
      </c>
      <c r="C251" s="1" t="s">
        <v>515</v>
      </c>
      <c r="D251" s="2">
        <v>45085</v>
      </c>
      <c r="E251" s="1">
        <f>COUNTIF(A2:A251,"明椒")</f>
        <v>1</v>
      </c>
      <c r="F251" s="1">
        <f>COUNTIF(C2:C251,"*0011*")</f>
        <v>29</v>
      </c>
    </row>
    <row r="252" spans="1:6" x14ac:dyDescent="0.55000000000000004">
      <c r="A252" s="14" t="s">
        <v>520</v>
      </c>
      <c r="B252" s="1" t="s">
        <v>521</v>
      </c>
      <c r="C252" s="1" t="s">
        <v>522</v>
      </c>
      <c r="D252" s="2">
        <v>45097</v>
      </c>
      <c r="E252" s="1">
        <f>COUNTIF(A2:A252,"车尔尼")</f>
        <v>1</v>
      </c>
      <c r="F252" s="1">
        <f>COUNTIF(C2:C252,"生命之地*")</f>
        <v>14</v>
      </c>
    </row>
    <row r="253" spans="1:6" x14ac:dyDescent="0.55000000000000004">
      <c r="A253" s="1" t="s">
        <v>525</v>
      </c>
      <c r="B253" s="1" t="s">
        <v>523</v>
      </c>
      <c r="C253" s="1" t="s">
        <v>524</v>
      </c>
      <c r="D253" s="2">
        <v>45106</v>
      </c>
      <c r="E253" s="1">
        <f>COUNTIF(A2:A253,"阿米娅")</f>
        <v>4</v>
      </c>
      <c r="F253" s="1">
        <f>COUNTIF(C2:C253,"CASC")</f>
        <v>1</v>
      </c>
    </row>
    <row r="254" spans="1:6" x14ac:dyDescent="0.55000000000000004">
      <c r="A254" s="1" t="s">
        <v>527</v>
      </c>
      <c r="B254" s="1" t="s">
        <v>526</v>
      </c>
      <c r="C254" s="1" t="s">
        <v>528</v>
      </c>
      <c r="D254" s="2">
        <v>45113</v>
      </c>
      <c r="E254" s="1">
        <f>COUNTIF(A2:A254,"琴柳")</f>
        <v>2</v>
      </c>
      <c r="F254" s="1">
        <f>COUNTIF(C2:C254,"珊瑚海岸")</f>
        <v>35</v>
      </c>
    </row>
    <row r="255" spans="1:6" x14ac:dyDescent="0.55000000000000004">
      <c r="A255" s="1" t="s">
        <v>530</v>
      </c>
      <c r="B255" s="1" t="s">
        <v>529</v>
      </c>
      <c r="C255" s="1" t="s">
        <v>528</v>
      </c>
      <c r="D255" s="2">
        <v>45113</v>
      </c>
      <c r="E255" s="1">
        <f>COUNTIF(A2:A255,"安比尔")</f>
        <v>1</v>
      </c>
      <c r="F255" s="1">
        <f>COUNTIF(C2:C255,"珊瑚海岸")</f>
        <v>36</v>
      </c>
    </row>
    <row r="256" spans="1:6" x14ac:dyDescent="0.55000000000000004">
      <c r="A256" s="1" t="s">
        <v>531</v>
      </c>
      <c r="B256" s="1" t="s">
        <v>532</v>
      </c>
      <c r="C256" s="1" t="s">
        <v>528</v>
      </c>
      <c r="D256" s="2">
        <v>45113</v>
      </c>
      <c r="E256" s="1">
        <f>COUNTIF(A2:A256,"蜜蜡")</f>
        <v>2</v>
      </c>
      <c r="F256" s="1">
        <f>COUNTIF(C2:C256,"珊瑚海岸")</f>
        <v>37</v>
      </c>
    </row>
    <row r="257" spans="1:6" x14ac:dyDescent="0.55000000000000004">
      <c r="A257" s="1" t="s">
        <v>533</v>
      </c>
      <c r="B257" s="1" t="s">
        <v>534</v>
      </c>
      <c r="C257" s="1" t="s">
        <v>528</v>
      </c>
      <c r="D257" s="2">
        <v>45113</v>
      </c>
      <c r="E257" s="1">
        <f>COUNTIF(A2:A257,"白铁")</f>
        <v>1</v>
      </c>
      <c r="F257" s="1">
        <f>COUNTIF(C2:C257,"珊瑚海岸")</f>
        <v>38</v>
      </c>
    </row>
    <row r="258" spans="1:6" x14ac:dyDescent="0.55000000000000004">
      <c r="A258" s="1" t="s">
        <v>536</v>
      </c>
      <c r="B258" s="1" t="s">
        <v>535</v>
      </c>
      <c r="C258" s="1" t="s">
        <v>537</v>
      </c>
      <c r="D258" s="2">
        <v>45125</v>
      </c>
      <c r="E258" s="1">
        <f>COUNTIF(A2:A258,"星源")</f>
        <v>1</v>
      </c>
      <c r="F258" s="1">
        <f>COUNTIF(C2:C258,"时代")</f>
        <v>53</v>
      </c>
    </row>
    <row r="259" spans="1:6" x14ac:dyDescent="0.55000000000000004">
      <c r="A259" s="1" t="s">
        <v>539</v>
      </c>
      <c r="B259" s="1" t="s">
        <v>538</v>
      </c>
      <c r="C259" s="1" t="s">
        <v>528</v>
      </c>
      <c r="D259" s="2">
        <v>45139</v>
      </c>
      <c r="E259" s="1">
        <f>COUNTIF(A2:A259,"澄闪")</f>
        <v>2</v>
      </c>
      <c r="F259" s="1">
        <f>COUNTIF(C2:C259,"珊瑚海岸")</f>
        <v>39</v>
      </c>
    </row>
    <row r="260" spans="1:6" x14ac:dyDescent="0.55000000000000004">
      <c r="A260" s="1" t="s">
        <v>541</v>
      </c>
      <c r="B260" s="1" t="s">
        <v>540</v>
      </c>
      <c r="C260" s="1" t="s">
        <v>528</v>
      </c>
      <c r="D260" s="2">
        <v>45139</v>
      </c>
      <c r="E260" s="1">
        <f>COUNTIF(A2:A260,"桃金娘")</f>
        <v>2</v>
      </c>
      <c r="F260" s="1">
        <f>COUNTIF(C2:C260,"珊瑚海岸")</f>
        <v>40</v>
      </c>
    </row>
    <row r="261" spans="1:6" x14ac:dyDescent="0.55000000000000004">
      <c r="A261" s="1" t="s">
        <v>543</v>
      </c>
      <c r="B261" s="1" t="s">
        <v>542</v>
      </c>
      <c r="C261" s="1" t="s">
        <v>528</v>
      </c>
      <c r="D261" s="2">
        <v>45139</v>
      </c>
      <c r="E261" s="1">
        <f>COUNTIF(A2:A261,"褐果")</f>
        <v>1</v>
      </c>
      <c r="F261" s="1">
        <f>COUNTIF(C2:C261,"珊瑚海岸")</f>
        <v>41</v>
      </c>
    </row>
    <row r="262" spans="1:6" x14ac:dyDescent="0.55000000000000004">
      <c r="A262" s="1" t="s">
        <v>545</v>
      </c>
      <c r="B262" s="1" t="s">
        <v>544</v>
      </c>
      <c r="C262" s="1" t="s">
        <v>528</v>
      </c>
      <c r="D262" s="2">
        <v>45139</v>
      </c>
      <c r="E262" s="1">
        <f>COUNTIF(A2:A262,"*嘉维尔*")</f>
        <v>2</v>
      </c>
      <c r="F262" s="1">
        <f>COUNTIF(C2:C262,"珊瑚海岸")</f>
        <v>42</v>
      </c>
    </row>
    <row r="263" spans="1:6" x14ac:dyDescent="0.55000000000000004">
      <c r="A263" s="1" t="s">
        <v>547</v>
      </c>
      <c r="B263" s="1" t="s">
        <v>546</v>
      </c>
      <c r="C263" s="1" t="s">
        <v>528</v>
      </c>
      <c r="D263" s="2">
        <v>45156</v>
      </c>
      <c r="E263" s="1">
        <f>COUNTIF(A2:A263,"锡兰")</f>
        <v>1</v>
      </c>
      <c r="F263" s="1">
        <f>COUNTIF(C2:C263,"珊瑚海岸")</f>
        <v>43</v>
      </c>
    </row>
    <row r="264" spans="1:6" x14ac:dyDescent="0.55000000000000004">
      <c r="A264" s="1" t="s">
        <v>549</v>
      </c>
      <c r="B264" s="1" t="s">
        <v>548</v>
      </c>
      <c r="C264" s="1" t="s">
        <v>550</v>
      </c>
      <c r="D264" s="2">
        <v>45160</v>
      </c>
      <c r="E264" s="1">
        <f>COUNTIF(A2:A264,"子月")</f>
        <v>1</v>
      </c>
      <c r="F264" s="1">
        <f>COUNTIF(C2:C264,"*0011*")</f>
        <v>30</v>
      </c>
    </row>
    <row r="265" spans="1:6" x14ac:dyDescent="0.55000000000000004">
      <c r="A265" s="1" t="s">
        <v>554</v>
      </c>
      <c r="B265" s="1" t="s">
        <v>553</v>
      </c>
      <c r="C265" s="1" t="s">
        <v>522</v>
      </c>
      <c r="D265" s="2">
        <v>45170</v>
      </c>
      <c r="E265" s="1">
        <f>COUNTIF(A2:A265,"提丰")</f>
        <v>1</v>
      </c>
      <c r="F265" s="1">
        <f>COUNTIF(C2:C265,"生命之地*")</f>
        <v>15</v>
      </c>
    </row>
    <row r="266" spans="1:6" x14ac:dyDescent="0.55000000000000004">
      <c r="A266" s="1" t="s">
        <v>552</v>
      </c>
      <c r="B266" s="1" t="s">
        <v>551</v>
      </c>
      <c r="C266" s="1" t="s">
        <v>528</v>
      </c>
      <c r="D266" s="2">
        <v>45261</v>
      </c>
      <c r="E266" s="1">
        <f>COUNTIF(A2:A266,"寒檀")</f>
        <v>1</v>
      </c>
      <c r="F266" s="1">
        <f>COUNTIF(C2:C266,"珊瑚海岸")</f>
        <v>44</v>
      </c>
    </row>
    <row r="267" spans="1:6" x14ac:dyDescent="0.55000000000000004">
      <c r="A267" s="1" t="s">
        <v>556</v>
      </c>
      <c r="B267" s="1" t="s">
        <v>555</v>
      </c>
      <c r="C267" s="1" t="s">
        <v>557</v>
      </c>
      <c r="D267" s="2">
        <v>45174</v>
      </c>
      <c r="E267" s="1">
        <f>COUNTIF(A2:A267,"令")</f>
        <v>2</v>
      </c>
      <c r="F267" s="1">
        <f>COUNTIF(C2:C267,"国家地理")</f>
        <v>1</v>
      </c>
    </row>
    <row r="268" spans="1:6" x14ac:dyDescent="0.55000000000000004">
      <c r="A268" s="1" t="s">
        <v>559</v>
      </c>
      <c r="B268" s="1" t="s">
        <v>558</v>
      </c>
      <c r="C268" s="1" t="s">
        <v>557</v>
      </c>
      <c r="D268" s="2">
        <v>45174</v>
      </c>
      <c r="E268" s="1">
        <f>COUNTIF(A2:A268,"仇白")</f>
        <v>1</v>
      </c>
      <c r="F268" s="1">
        <f>COUNTIF(C2:C268,"国家地理")</f>
        <v>2</v>
      </c>
    </row>
    <row r="269" spans="1:6" x14ac:dyDescent="0.55000000000000004">
      <c r="A269" s="1" t="s">
        <v>561</v>
      </c>
      <c r="B269" s="1" t="s">
        <v>560</v>
      </c>
      <c r="C269" s="1" t="s">
        <v>557</v>
      </c>
      <c r="D269" s="2">
        <v>45174</v>
      </c>
      <c r="E269" s="1">
        <f>COUNTIF(A2:A269,"芙兰卡")</f>
        <v>1</v>
      </c>
      <c r="F269" s="1">
        <f>COUNTIF(C2:C269,"国家地理")</f>
        <v>3</v>
      </c>
    </row>
    <row r="270" spans="1:6" x14ac:dyDescent="0.55000000000000004">
      <c r="A270" s="1" t="s">
        <v>562</v>
      </c>
      <c r="B270" s="1" t="s">
        <v>563</v>
      </c>
      <c r="C270" s="1" t="s">
        <v>562</v>
      </c>
      <c r="D270" s="2">
        <v>45188</v>
      </c>
      <c r="E270" s="1">
        <f>COUNTIF(A2:A270,"九色鹿")</f>
        <v>1</v>
      </c>
      <c r="F270" s="1">
        <f>COUNTIF(C2:C270,"九色鹿")</f>
        <v>1</v>
      </c>
    </row>
    <row r="271" spans="1:6" x14ac:dyDescent="0.55000000000000004">
      <c r="A271" s="1" t="s">
        <v>566</v>
      </c>
      <c r="B271" s="1" t="s">
        <v>567</v>
      </c>
      <c r="C271" s="1" t="s">
        <v>537</v>
      </c>
      <c r="D271" s="2">
        <v>45196</v>
      </c>
      <c r="E271" s="1">
        <f>COUNTIF(A2:A271,"卡缇")</f>
        <v>2</v>
      </c>
      <c r="F271" s="1">
        <f>COUNTIF(C2:C271,"时代")</f>
        <v>54</v>
      </c>
    </row>
    <row r="272" spans="1:6" x14ac:dyDescent="0.55000000000000004">
      <c r="A272" s="1" t="s">
        <v>570</v>
      </c>
      <c r="B272" s="1" t="s">
        <v>569</v>
      </c>
      <c r="C272" s="1" t="s">
        <v>568</v>
      </c>
      <c r="D272" s="2">
        <v>45207</v>
      </c>
      <c r="E272" s="1">
        <f>COUNTIF(A2:A272,"多萝西")</f>
        <v>1</v>
      </c>
      <c r="F272" s="1">
        <f>COUNTIF(C2:C272,"巫异盛宴")</f>
        <v>12</v>
      </c>
    </row>
    <row r="273" spans="1:6" x14ac:dyDescent="0.55000000000000004">
      <c r="A273" s="1" t="s">
        <v>572</v>
      </c>
      <c r="B273" s="1" t="s">
        <v>571</v>
      </c>
      <c r="C273" s="1" t="s">
        <v>568</v>
      </c>
      <c r="D273" s="2">
        <v>45207</v>
      </c>
      <c r="E273" s="1">
        <f>COUNTIF(A2:A273,"夏栎")</f>
        <v>2</v>
      </c>
      <c r="F273" s="1">
        <f>COUNTIF(C2:C273,"巫异盛宴")</f>
        <v>13</v>
      </c>
    </row>
    <row r="274" spans="1:6" x14ac:dyDescent="0.55000000000000004">
      <c r="A274" s="14" t="s">
        <v>575</v>
      </c>
      <c r="B274" s="1" t="s">
        <v>573</v>
      </c>
      <c r="C274" s="1" t="s">
        <v>568</v>
      </c>
      <c r="D274" s="2">
        <v>45207</v>
      </c>
      <c r="E274" s="1">
        <f>COUNTIF(A2:A274,"絮雨")</f>
        <v>2</v>
      </c>
      <c r="F274" s="1">
        <f>COUNTIF(C2:C274,"巫异盛宴")</f>
        <v>14</v>
      </c>
    </row>
    <row r="275" spans="1:6" x14ac:dyDescent="0.55000000000000004">
      <c r="A275" s="1" t="s">
        <v>576</v>
      </c>
      <c r="B275" s="1" t="s">
        <v>574</v>
      </c>
      <c r="C275" s="1" t="s">
        <v>568</v>
      </c>
      <c r="D275" s="2">
        <v>45207</v>
      </c>
      <c r="E275" s="1">
        <f>COUNTIF(A2:A275,"菲亚梅塔")</f>
        <v>1</v>
      </c>
      <c r="F275" s="1">
        <f>COUNTIF(C2:C275,"巫异盛宴")</f>
        <v>15</v>
      </c>
    </row>
    <row r="276" spans="1:6" x14ac:dyDescent="0.55000000000000004">
      <c r="A276" s="1" t="s">
        <v>578</v>
      </c>
      <c r="B276" s="1" t="s">
        <v>577</v>
      </c>
      <c r="C276" s="1" t="s">
        <v>537</v>
      </c>
      <c r="D276" s="2">
        <v>45221</v>
      </c>
      <c r="E276" s="1">
        <f>COUNTIF(A2:A276,"伺夜")</f>
        <v>1</v>
      </c>
      <c r="F276" s="1">
        <f>COUNTIF(C2:C276,"时代")</f>
        <v>55</v>
      </c>
    </row>
    <row r="277" spans="1:6" x14ac:dyDescent="0.55000000000000004">
      <c r="A277" s="1" t="s">
        <v>580</v>
      </c>
      <c r="B277" s="1" t="s">
        <v>579</v>
      </c>
      <c r="C277" s="1" t="s">
        <v>537</v>
      </c>
      <c r="D277" s="2">
        <v>45231</v>
      </c>
      <c r="E277" s="1">
        <f>COUNTIF(A2:A277,"苦艾")</f>
        <v>1</v>
      </c>
      <c r="F277" s="1">
        <f>COUNTIF(C2:C277,"时代")</f>
        <v>56</v>
      </c>
    </row>
    <row r="278" spans="1:6" x14ac:dyDescent="0.55000000000000004">
      <c r="A278" s="1" t="s">
        <v>565</v>
      </c>
      <c r="B278" s="1" t="s">
        <v>564</v>
      </c>
      <c r="C278" s="1" t="s">
        <v>537</v>
      </c>
      <c r="D278" s="2">
        <v>45231</v>
      </c>
      <c r="E278" s="1">
        <f>COUNTIF(A2:A278,"流星")</f>
        <v>2</v>
      </c>
      <c r="F278" s="1">
        <f>COUNTIF(C2:C278,"时代")</f>
        <v>57</v>
      </c>
    </row>
    <row r="279" spans="1:6" x14ac:dyDescent="0.55000000000000004">
      <c r="A279" s="1" t="s">
        <v>582</v>
      </c>
      <c r="B279" s="1" t="s">
        <v>581</v>
      </c>
      <c r="C279" s="1" t="s">
        <v>537</v>
      </c>
      <c r="D279" s="2">
        <v>45231</v>
      </c>
      <c r="E279" s="1">
        <f>COUNTIF(A2:A279,"风笛")</f>
        <v>2</v>
      </c>
      <c r="F279" s="1">
        <f>COUNTIF(C2:C279,"时代")</f>
        <v>58</v>
      </c>
    </row>
    <row r="280" spans="1:6" x14ac:dyDescent="0.55000000000000004">
      <c r="A280" s="1" t="s">
        <v>580</v>
      </c>
      <c r="B280" s="1" t="s">
        <v>579</v>
      </c>
      <c r="C280" s="1" t="s">
        <v>537</v>
      </c>
      <c r="D280" s="2">
        <v>45231</v>
      </c>
      <c r="E280" s="1">
        <f>COUNTIF(A2:A280,"苦艾")</f>
        <v>2</v>
      </c>
      <c r="F280" s="1">
        <f>COUNTIF(C2:C280,"时代")</f>
        <v>59</v>
      </c>
    </row>
    <row r="281" spans="1:6" x14ac:dyDescent="0.55000000000000004">
      <c r="A281" s="1" t="s">
        <v>584</v>
      </c>
      <c r="B281" s="1" t="s">
        <v>583</v>
      </c>
      <c r="C281" s="1" t="s">
        <v>537</v>
      </c>
      <c r="D281" s="2">
        <v>45231</v>
      </c>
      <c r="E281" s="1">
        <f>COUNTIF(A2:A281,"灰毫")</f>
        <v>1</v>
      </c>
      <c r="F281" s="1">
        <f>COUNTIF(C2:C281,"时代")</f>
        <v>60</v>
      </c>
    </row>
    <row r="282" spans="1:6" x14ac:dyDescent="0.55000000000000004">
      <c r="A282" s="1" t="s">
        <v>588</v>
      </c>
      <c r="B282" s="1" t="s">
        <v>587</v>
      </c>
      <c r="C282" s="1" t="s">
        <v>589</v>
      </c>
      <c r="D282" s="2">
        <v>45231</v>
      </c>
      <c r="E282" s="1">
        <f>COUNTIF(A2:A282,"*德克萨斯*")</f>
        <v>3</v>
      </c>
      <c r="F282" s="1">
        <f>COUNTIF(C2:C282,"命途迭代")</f>
        <v>1</v>
      </c>
    </row>
    <row r="283" spans="1:6" x14ac:dyDescent="0.55000000000000004">
      <c r="A283" s="1" t="s">
        <v>591</v>
      </c>
      <c r="B283" s="1" t="s">
        <v>590</v>
      </c>
      <c r="C283" s="1" t="s">
        <v>515</v>
      </c>
      <c r="D283" s="2">
        <v>45251</v>
      </c>
      <c r="E283" s="1">
        <f>COUNTIF(A2:A283,"炎客")</f>
        <v>2</v>
      </c>
      <c r="F283" s="1">
        <f>COUNTIF(C2:C283,"*0011*")</f>
        <v>31</v>
      </c>
    </row>
    <row r="284" spans="1:6" x14ac:dyDescent="0.55000000000000004">
      <c r="A284" s="1" t="s">
        <v>552</v>
      </c>
      <c r="B284" s="1" t="s">
        <v>551</v>
      </c>
      <c r="C284" s="1" t="s">
        <v>528</v>
      </c>
      <c r="D284" s="2">
        <v>45261</v>
      </c>
      <c r="E284" s="1">
        <f>COUNTIF(A2:A284,"寒檀")</f>
        <v>2</v>
      </c>
      <c r="F284" s="1">
        <f>COUNTIF(C2:C284,"珊瑚海岸")</f>
        <v>45</v>
      </c>
    </row>
    <row r="285" spans="1:6" x14ac:dyDescent="0.55000000000000004">
      <c r="A285" s="1" t="s">
        <v>593</v>
      </c>
      <c r="B285" s="1" t="s">
        <v>592</v>
      </c>
      <c r="C285" s="1" t="s">
        <v>594</v>
      </c>
      <c r="D285" s="2">
        <v>45265</v>
      </c>
      <c r="E285" s="1">
        <f>COUNTIF(A2:A285,"斥罪")</f>
        <v>1</v>
      </c>
      <c r="F285" s="1">
        <f>COUNTIF(C2:C285,"冰原信使")</f>
        <v>13</v>
      </c>
    </row>
    <row r="286" spans="1:6" x14ac:dyDescent="0.55000000000000004">
      <c r="A286" s="1" t="s">
        <v>596</v>
      </c>
      <c r="B286" s="1" t="s">
        <v>595</v>
      </c>
      <c r="C286" s="1" t="s">
        <v>594</v>
      </c>
      <c r="D286" s="2">
        <v>45265</v>
      </c>
      <c r="E286" s="1">
        <f>COUNTIF(A2:A286,"月禾")</f>
        <v>2</v>
      </c>
      <c r="F286" s="1">
        <f>COUNTIF(C2:C286,"冰原信使")</f>
        <v>14</v>
      </c>
    </row>
    <row r="287" spans="1:6" x14ac:dyDescent="0.55000000000000004">
      <c r="A287" s="1" t="s">
        <v>598</v>
      </c>
      <c r="B287" s="1" t="s">
        <v>597</v>
      </c>
      <c r="C287" s="1" t="s">
        <v>594</v>
      </c>
      <c r="D287" s="2">
        <v>45265</v>
      </c>
      <c r="E287" s="1">
        <f>COUNTIF(A2:A287,"雪绒")</f>
        <v>1</v>
      </c>
      <c r="F287" s="1">
        <f>COUNTIF(C2:C287,"冰原信使")</f>
        <v>15</v>
      </c>
    </row>
    <row r="288" spans="1:6" x14ac:dyDescent="0.55000000000000004">
      <c r="A288" s="1" t="s">
        <v>586</v>
      </c>
      <c r="B288" s="1" t="s">
        <v>585</v>
      </c>
      <c r="C288" s="1" t="s">
        <v>537</v>
      </c>
      <c r="D288" s="2">
        <v>45282</v>
      </c>
      <c r="E288" s="1">
        <f>COUNTIF(A2:A288,"谜图")</f>
        <v>1</v>
      </c>
      <c r="F288" s="1">
        <f>COUNTIF(C2:C288,"时代")</f>
        <v>61</v>
      </c>
    </row>
    <row r="289" spans="1:6" x14ac:dyDescent="0.55000000000000004">
      <c r="A289" s="1" t="s">
        <v>600</v>
      </c>
      <c r="B289" s="1" t="s">
        <v>599</v>
      </c>
      <c r="C289" s="1" t="s">
        <v>537</v>
      </c>
      <c r="D289" s="2">
        <v>45284</v>
      </c>
      <c r="E289" s="1">
        <f>COUNTIF(A2:A289,"安赛尔")</f>
        <v>2</v>
      </c>
      <c r="F289" s="1">
        <f>COUNTIF(C2:C289,"时代")</f>
        <v>62</v>
      </c>
    </row>
    <row r="290" spans="1:6" x14ac:dyDescent="0.55000000000000004">
      <c r="A290" s="1" t="s">
        <v>602</v>
      </c>
      <c r="B290" s="1" t="s">
        <v>601</v>
      </c>
      <c r="C290" s="1" t="s">
        <v>537</v>
      </c>
      <c r="D290" s="2">
        <v>45300</v>
      </c>
      <c r="E290" s="1">
        <f>COUNTIF(A2:A290,"安赛尔")</f>
        <v>2</v>
      </c>
      <c r="F290" s="1">
        <f>COUNTIF(C2:C290,"时代")</f>
        <v>63</v>
      </c>
    </row>
    <row r="291" spans="1:6" x14ac:dyDescent="0.55000000000000004">
      <c r="A291" s="1" t="s">
        <v>603</v>
      </c>
      <c r="B291" s="1" t="s">
        <v>604</v>
      </c>
      <c r="C291" s="1" t="s">
        <v>537</v>
      </c>
      <c r="D291" s="2">
        <v>45300</v>
      </c>
      <c r="E291" s="1">
        <f>COUNTIF(A2:A291,"安赛尔")</f>
        <v>2</v>
      </c>
      <c r="F291" s="1">
        <f>COUNTIF(C2:C291,"时代")</f>
        <v>64</v>
      </c>
    </row>
    <row r="292" spans="1:6" x14ac:dyDescent="0.55000000000000004">
      <c r="A292" s="1" t="s">
        <v>606</v>
      </c>
      <c r="B292" s="1" t="s">
        <v>605</v>
      </c>
      <c r="C292" s="1" t="s">
        <v>537</v>
      </c>
      <c r="D292" s="2">
        <v>45300</v>
      </c>
      <c r="E292" s="1">
        <f>COUNTIF(A2:A292,"安赛尔")</f>
        <v>2</v>
      </c>
      <c r="F292" s="1">
        <f>COUNTIF(C2:C292,"时代")</f>
        <v>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</dc:creator>
  <cp:lastModifiedBy>风 研</cp:lastModifiedBy>
  <dcterms:created xsi:type="dcterms:W3CDTF">2015-06-05T18:19:34Z</dcterms:created>
  <dcterms:modified xsi:type="dcterms:W3CDTF">2024-01-16T09:18:14Z</dcterms:modified>
</cp:coreProperties>
</file>